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Geothermal\ARUP\"/>
    </mc:Choice>
  </mc:AlternateContent>
  <xr:revisionPtr revIDLastSave="0" documentId="13_ncr:1_{95DB5CEF-6EBF-447C-A47B-87DD5BC6E99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puts" sheetId="12" r:id="rId1"/>
    <sheet name="Annual Energy Calc" sheetId="15" r:id="rId2"/>
    <sheet name="Peak Load Calc" sheetId="16" r:id="rId3"/>
    <sheet name="Outputs" sheetId="17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1" hidden="1">'Annual Energy Calc'!$B$13:$AP$101</definedName>
    <definedName name="_xlnm._FilterDatabase" localSheetId="3" hidden="1">Outputs!$A$13:$I$105</definedName>
    <definedName name="_xlnm._FilterDatabase" localSheetId="2" hidden="1">'Peak Load Calc'!$A$13:$AU$132</definedName>
    <definedName name="BldgUses">[1]Lookups!$B$4:$B$16</definedName>
    <definedName name="Btu_per_kBtu">Inputs!$C$15</definedName>
    <definedName name="Btu_per_therm">Inputs!$C$18</definedName>
    <definedName name="Btu_per_ton">[2]ASSUMPTIONS!$D$72</definedName>
    <definedName name="Btu_per_W">[2]ASSUMPTIONS!$D$73</definedName>
    <definedName name="Btu_per_watt">Inputs!$C$17</definedName>
    <definedName name="Nodes_5">[1]Lookups!$E$4:$E$10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4" i="16" l="1"/>
  <c r="Y17" i="16"/>
  <c r="Y14" i="16"/>
  <c r="J130" i="16"/>
  <c r="K104" i="15"/>
  <c r="E31" i="12"/>
  <c r="D64" i="12"/>
  <c r="D65" i="12"/>
  <c r="D66" i="12"/>
  <c r="D67" i="12"/>
  <c r="D68" i="12"/>
  <c r="D69" i="12"/>
  <c r="D70" i="12"/>
  <c r="D71" i="12"/>
  <c r="D73" i="12"/>
  <c r="D74" i="12"/>
  <c r="D63" i="12"/>
  <c r="C15" i="17" l="1"/>
  <c r="C16" i="17"/>
  <c r="C17" i="17"/>
  <c r="C18" i="17"/>
  <c r="J28" i="17" l="1"/>
  <c r="AA133" i="16"/>
  <c r="AA134" i="16"/>
  <c r="H127" i="12"/>
  <c r="H128" i="12"/>
  <c r="H129" i="12"/>
  <c r="J15" i="16"/>
  <c r="AA15" i="16" s="1"/>
  <c r="J16" i="16"/>
  <c r="AA16" i="16" s="1"/>
  <c r="J17" i="16"/>
  <c r="J18" i="16"/>
  <c r="AA18" i="16" s="1"/>
  <c r="J19" i="16"/>
  <c r="AA19" i="16" s="1"/>
  <c r="J20" i="16"/>
  <c r="AA20" i="16" s="1"/>
  <c r="J21" i="16"/>
  <c r="J22" i="16"/>
  <c r="AA22" i="16" s="1"/>
  <c r="J23" i="16"/>
  <c r="AA23" i="16" s="1"/>
  <c r="J24" i="16"/>
  <c r="J25" i="16"/>
  <c r="AA25" i="16" s="1"/>
  <c r="J26" i="16"/>
  <c r="AA26" i="16" s="1"/>
  <c r="J27" i="16"/>
  <c r="AA27" i="16" s="1"/>
  <c r="J28" i="16"/>
  <c r="AA28" i="16" s="1"/>
  <c r="J29" i="16"/>
  <c r="J30" i="16"/>
  <c r="AA30" i="16" s="1"/>
  <c r="J31" i="16"/>
  <c r="AA31" i="16" s="1"/>
  <c r="J32" i="16"/>
  <c r="J33" i="16"/>
  <c r="AA33" i="16" s="1"/>
  <c r="J34" i="16"/>
  <c r="AA34" i="16" s="1"/>
  <c r="J35" i="16"/>
  <c r="J36" i="16"/>
  <c r="AA36" i="16" s="1"/>
  <c r="J37" i="16"/>
  <c r="AA37" i="16" s="1"/>
  <c r="J38" i="16"/>
  <c r="AA38" i="16" s="1"/>
  <c r="J39" i="16"/>
  <c r="J40" i="16"/>
  <c r="AA40" i="16" s="1"/>
  <c r="J41" i="16"/>
  <c r="AA41" i="16" s="1"/>
  <c r="J42" i="16"/>
  <c r="AA42" i="16" s="1"/>
  <c r="J43" i="16"/>
  <c r="AA43" i="16" s="1"/>
  <c r="J44" i="16"/>
  <c r="AA44" i="16" s="1"/>
  <c r="J45" i="16"/>
  <c r="AA45" i="16" s="1"/>
  <c r="J46" i="16"/>
  <c r="AA46" i="16" s="1"/>
  <c r="J47" i="16"/>
  <c r="AA47" i="16" s="1"/>
  <c r="J48" i="16"/>
  <c r="AA48" i="16" s="1"/>
  <c r="J49" i="16"/>
  <c r="AA49" i="16" s="1"/>
  <c r="J50" i="16"/>
  <c r="AA50" i="16" s="1"/>
  <c r="J51" i="16"/>
  <c r="AA51" i="16" s="1"/>
  <c r="J52" i="16"/>
  <c r="AA52" i="16" s="1"/>
  <c r="J53" i="16"/>
  <c r="AA53" i="16" s="1"/>
  <c r="J54" i="16"/>
  <c r="AA54" i="16" s="1"/>
  <c r="J55" i="16"/>
  <c r="AA55" i="16" s="1"/>
  <c r="J56" i="16"/>
  <c r="J57" i="16"/>
  <c r="AA57" i="16" s="1"/>
  <c r="J58" i="16"/>
  <c r="J59" i="16"/>
  <c r="AA59" i="16" s="1"/>
  <c r="J60" i="16"/>
  <c r="J61" i="16"/>
  <c r="AA61" i="16" s="1"/>
  <c r="J62" i="16"/>
  <c r="AA62" i="16" s="1"/>
  <c r="J63" i="16"/>
  <c r="J64" i="16"/>
  <c r="J65" i="16"/>
  <c r="AA65" i="16" s="1"/>
  <c r="J66" i="16"/>
  <c r="AA66" i="16" s="1"/>
  <c r="J67" i="16"/>
  <c r="AA67" i="16" s="1"/>
  <c r="J68" i="16"/>
  <c r="AA68" i="16" s="1"/>
  <c r="J69" i="16"/>
  <c r="AA69" i="16" s="1"/>
  <c r="J70" i="16"/>
  <c r="AA70" i="16" s="1"/>
  <c r="J71" i="16"/>
  <c r="AA71" i="16" s="1"/>
  <c r="J72" i="16"/>
  <c r="AA72" i="16" s="1"/>
  <c r="J73" i="16"/>
  <c r="AA73" i="16" s="1"/>
  <c r="J74" i="16"/>
  <c r="AA74" i="16" s="1"/>
  <c r="J75" i="16"/>
  <c r="AA75" i="16" s="1"/>
  <c r="J76" i="16"/>
  <c r="AA76" i="16" s="1"/>
  <c r="J77" i="16"/>
  <c r="AA77" i="16" s="1"/>
  <c r="J78" i="16"/>
  <c r="AA78" i="16" s="1"/>
  <c r="J79" i="16"/>
  <c r="J80" i="16"/>
  <c r="AA80" i="16" s="1"/>
  <c r="J81" i="16"/>
  <c r="AA81" i="16" s="1"/>
  <c r="J82" i="16"/>
  <c r="AA82" i="16" s="1"/>
  <c r="J83" i="16"/>
  <c r="AA83" i="16" s="1"/>
  <c r="J84" i="16"/>
  <c r="AA84" i="16" s="1"/>
  <c r="J85" i="16"/>
  <c r="J86" i="16"/>
  <c r="AA86" i="16" s="1"/>
  <c r="J87" i="16"/>
  <c r="AA87" i="16" s="1"/>
  <c r="J88" i="16"/>
  <c r="AA88" i="16" s="1"/>
  <c r="J89" i="16"/>
  <c r="AA89" i="16" s="1"/>
  <c r="J90" i="16"/>
  <c r="J91" i="16"/>
  <c r="AA91" i="16" s="1"/>
  <c r="J92" i="16"/>
  <c r="J93" i="16"/>
  <c r="AA93" i="16" s="1"/>
  <c r="J94" i="16"/>
  <c r="AA94" i="16" s="1"/>
  <c r="J95" i="16"/>
  <c r="AA95" i="16" s="1"/>
  <c r="J96" i="16"/>
  <c r="J97" i="16"/>
  <c r="AA97" i="16" s="1"/>
  <c r="J98" i="16"/>
  <c r="AA98" i="16" s="1"/>
  <c r="J99" i="16"/>
  <c r="AA99" i="16" s="1"/>
  <c r="J100" i="16"/>
  <c r="J101" i="16"/>
  <c r="J104" i="16"/>
  <c r="AA104" i="16" s="1"/>
  <c r="J105" i="16"/>
  <c r="J106" i="16"/>
  <c r="AA106" i="16" s="1"/>
  <c r="J107" i="16"/>
  <c r="J108" i="16"/>
  <c r="J109" i="16"/>
  <c r="J110" i="16"/>
  <c r="AA110" i="16" s="1"/>
  <c r="J111" i="16"/>
  <c r="AA111" i="16" s="1"/>
  <c r="J112" i="16"/>
  <c r="AA112" i="16" s="1"/>
  <c r="J113" i="16"/>
  <c r="J114" i="16"/>
  <c r="J117" i="16"/>
  <c r="J118" i="16"/>
  <c r="AA118" i="16" s="1"/>
  <c r="J119" i="16"/>
  <c r="AA119" i="16" s="1"/>
  <c r="J120" i="16"/>
  <c r="AA120" i="16" s="1"/>
  <c r="J121" i="16"/>
  <c r="AA121" i="16" s="1"/>
  <c r="J122" i="16"/>
  <c r="AA122" i="16" s="1"/>
  <c r="J123" i="16"/>
  <c r="AA123" i="16" s="1"/>
  <c r="J124" i="16"/>
  <c r="AA124" i="16" s="1"/>
  <c r="J125" i="16"/>
  <c r="AA125" i="16" s="1"/>
  <c r="J126" i="16"/>
  <c r="AA126" i="16" s="1"/>
  <c r="J127" i="16"/>
  <c r="AA127" i="16" s="1"/>
  <c r="J128" i="16"/>
  <c r="AA128" i="16" s="1"/>
  <c r="J129" i="16"/>
  <c r="AA129" i="16" s="1"/>
  <c r="AA130" i="16"/>
  <c r="J131" i="16"/>
  <c r="AA131" i="16" s="1"/>
  <c r="J132" i="16"/>
  <c r="AA132" i="16" s="1"/>
  <c r="J14" i="16"/>
  <c r="AA14" i="16" s="1"/>
  <c r="AA114" i="16" l="1"/>
  <c r="AA96" i="16"/>
  <c r="AA64" i="16"/>
  <c r="AA56" i="16"/>
  <c r="AA32" i="16"/>
  <c r="AA24" i="16"/>
  <c r="AA113" i="16"/>
  <c r="AA105" i="16"/>
  <c r="AA79" i="16"/>
  <c r="AA63" i="16"/>
  <c r="AA39" i="16"/>
  <c r="AA101" i="16"/>
  <c r="AA85" i="16"/>
  <c r="AA29" i="16"/>
  <c r="AA21" i="16"/>
  <c r="AA100" i="16"/>
  <c r="AA92" i="16"/>
  <c r="AA60" i="16"/>
  <c r="AA109" i="16"/>
  <c r="AA35" i="16"/>
  <c r="AA108" i="16"/>
  <c r="AA90" i="16"/>
  <c r="AA58" i="16"/>
  <c r="AA117" i="16"/>
  <c r="AA107" i="16"/>
  <c r="AA17" i="16"/>
  <c r="D28" i="17"/>
  <c r="C28" i="17"/>
  <c r="G28" i="17" l="1"/>
  <c r="I28" i="17"/>
  <c r="E28" i="17"/>
  <c r="H28" i="17" s="1"/>
  <c r="F28" i="17"/>
  <c r="D73" i="17"/>
  <c r="C36" i="17" l="1"/>
  <c r="C14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D68" i="17" l="1"/>
  <c r="D72" i="17"/>
  <c r="D69" i="17"/>
  <c r="D70" i="17"/>
  <c r="D71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E73" i="17"/>
  <c r="E74" i="17"/>
  <c r="E78" i="17"/>
  <c r="E83" i="17"/>
  <c r="E84" i="17"/>
  <c r="E85" i="17"/>
  <c r="F85" i="17"/>
  <c r="F73" i="17"/>
  <c r="F74" i="17"/>
  <c r="F78" i="17"/>
  <c r="F83" i="17"/>
  <c r="F84" i="17"/>
  <c r="H85" i="17" l="1"/>
  <c r="G85" i="17"/>
  <c r="H14" i="17" l="1"/>
  <c r="D58" i="17"/>
  <c r="E58" i="17"/>
  <c r="D59" i="17"/>
  <c r="E59" i="17"/>
  <c r="D60" i="17"/>
  <c r="E60" i="17"/>
  <c r="D61" i="17"/>
  <c r="E61" i="17"/>
  <c r="D62" i="17"/>
  <c r="E62" i="17"/>
  <c r="G74" i="17" l="1"/>
  <c r="H73" i="17"/>
  <c r="H83" i="17"/>
  <c r="G78" i="17"/>
  <c r="G83" i="17"/>
  <c r="G84" i="17"/>
  <c r="H74" i="17"/>
  <c r="G73" i="17"/>
  <c r="H84" i="17"/>
  <c r="H78" i="17"/>
  <c r="I19" i="17"/>
  <c r="H19" i="17"/>
  <c r="I18" i="17"/>
  <c r="H18" i="17"/>
  <c r="I17" i="17"/>
  <c r="E17" i="17" s="1"/>
  <c r="H17" i="17"/>
  <c r="D17" i="17" s="1"/>
  <c r="I16" i="17"/>
  <c r="H16" i="17"/>
  <c r="I15" i="17"/>
  <c r="H15" i="17"/>
  <c r="I14" i="17"/>
  <c r="U123" i="16" l="1"/>
  <c r="U122" i="16"/>
  <c r="U121" i="16"/>
  <c r="U120" i="16"/>
  <c r="Y134" i="16"/>
  <c r="U134" i="16"/>
  <c r="T134" i="16"/>
  <c r="S134" i="16"/>
  <c r="R134" i="16"/>
  <c r="V134" i="16" s="1"/>
  <c r="L134" i="16"/>
  <c r="M134" i="16" s="1"/>
  <c r="Y133" i="16"/>
  <c r="U133" i="16"/>
  <c r="T133" i="16"/>
  <c r="S133" i="16"/>
  <c r="R133" i="16"/>
  <c r="V133" i="16" s="1"/>
  <c r="L133" i="16"/>
  <c r="M133" i="16" s="1"/>
  <c r="Y132" i="16"/>
  <c r="Z132" i="16" s="1"/>
  <c r="AB132" i="16" s="1"/>
  <c r="U132" i="16"/>
  <c r="T132" i="16"/>
  <c r="S132" i="16"/>
  <c r="R132" i="16"/>
  <c r="Y131" i="16"/>
  <c r="Z131" i="16" s="1"/>
  <c r="AB131" i="16" s="1"/>
  <c r="U131" i="16"/>
  <c r="T131" i="16"/>
  <c r="S131" i="16"/>
  <c r="R131" i="16"/>
  <c r="Y130" i="16"/>
  <c r="Z130" i="16" s="1"/>
  <c r="AB130" i="16" s="1"/>
  <c r="U130" i="16"/>
  <c r="T130" i="16"/>
  <c r="S130" i="16"/>
  <c r="R130" i="16"/>
  <c r="Y129" i="16"/>
  <c r="Z129" i="16" s="1"/>
  <c r="AB129" i="16" s="1"/>
  <c r="U129" i="16"/>
  <c r="T129" i="16"/>
  <c r="S129" i="16"/>
  <c r="R129" i="16"/>
  <c r="Y128" i="16"/>
  <c r="Z128" i="16" s="1"/>
  <c r="AB128" i="16" s="1"/>
  <c r="U128" i="16"/>
  <c r="T128" i="16"/>
  <c r="S128" i="16"/>
  <c r="R128" i="16"/>
  <c r="Y127" i="16"/>
  <c r="Z127" i="16" s="1"/>
  <c r="AB127" i="16" s="1"/>
  <c r="U127" i="16"/>
  <c r="T127" i="16"/>
  <c r="S127" i="16"/>
  <c r="R127" i="16"/>
  <c r="Y126" i="16"/>
  <c r="Z126" i="16" s="1"/>
  <c r="AB126" i="16" s="1"/>
  <c r="U126" i="16"/>
  <c r="T126" i="16"/>
  <c r="S126" i="16"/>
  <c r="R126" i="16"/>
  <c r="Y124" i="16"/>
  <c r="Z124" i="16" s="1"/>
  <c r="AB124" i="16" s="1"/>
  <c r="U124" i="16"/>
  <c r="T124" i="16"/>
  <c r="S124" i="16"/>
  <c r="R124" i="16"/>
  <c r="Y123" i="16"/>
  <c r="Z123" i="16" s="1"/>
  <c r="AB123" i="16" s="1"/>
  <c r="T123" i="16"/>
  <c r="S123" i="16"/>
  <c r="R123" i="16"/>
  <c r="N133" i="16" l="1"/>
  <c r="W133" i="16" s="1"/>
  <c r="V132" i="16"/>
  <c r="V126" i="16"/>
  <c r="V130" i="16"/>
  <c r="V127" i="16"/>
  <c r="V128" i="16"/>
  <c r="V124" i="16"/>
  <c r="V131" i="16"/>
  <c r="V123" i="16"/>
  <c r="V129" i="16"/>
  <c r="P134" i="16"/>
  <c r="O134" i="16"/>
  <c r="Q134" i="16"/>
  <c r="N134" i="16"/>
  <c r="W134" i="16" s="1"/>
  <c r="O133" i="16"/>
  <c r="P133" i="16"/>
  <c r="Q133" i="16"/>
  <c r="AD122" i="16"/>
  <c r="Y122" i="16"/>
  <c r="Z122" i="16" s="1"/>
  <c r="AB122" i="16" s="1"/>
  <c r="T122" i="16"/>
  <c r="S122" i="16"/>
  <c r="R122" i="16"/>
  <c r="AD121" i="16"/>
  <c r="Y121" i="16"/>
  <c r="Z121" i="16" s="1"/>
  <c r="AB121" i="16" s="1"/>
  <c r="T121" i="16"/>
  <c r="S121" i="16"/>
  <c r="R121" i="16"/>
  <c r="AD120" i="16"/>
  <c r="Y120" i="16"/>
  <c r="Z120" i="16" s="1"/>
  <c r="AB120" i="16" s="1"/>
  <c r="T120" i="16"/>
  <c r="S120" i="16"/>
  <c r="R120" i="16"/>
  <c r="Y119" i="16"/>
  <c r="Z119" i="16" s="1"/>
  <c r="AB119" i="16" s="1"/>
  <c r="U119" i="16"/>
  <c r="AD119" i="16" s="1"/>
  <c r="T119" i="16"/>
  <c r="S119" i="16"/>
  <c r="R119" i="16"/>
  <c r="Y118" i="16"/>
  <c r="Z118" i="16" s="1"/>
  <c r="AB118" i="16" s="1"/>
  <c r="U118" i="16"/>
  <c r="AD118" i="16" s="1"/>
  <c r="T118" i="16"/>
  <c r="S118" i="16"/>
  <c r="R118" i="16"/>
  <c r="Y117" i="16"/>
  <c r="Z117" i="16" s="1"/>
  <c r="AB117" i="16" s="1"/>
  <c r="U117" i="16"/>
  <c r="AD117" i="16" s="1"/>
  <c r="T117" i="16"/>
  <c r="S117" i="16"/>
  <c r="R117" i="16"/>
  <c r="V119" i="16" l="1"/>
  <c r="V118" i="16"/>
  <c r="V117" i="16"/>
  <c r="V121" i="16"/>
  <c r="V120" i="16"/>
  <c r="V122" i="16"/>
  <c r="X60" i="16"/>
  <c r="X90" i="16"/>
  <c r="X85" i="16"/>
  <c r="X82" i="16"/>
  <c r="X68" i="16"/>
  <c r="X64" i="16"/>
  <c r="X63" i="16"/>
  <c r="X54" i="16"/>
  <c r="F59" i="17" l="1"/>
  <c r="F58" i="17"/>
  <c r="G59" i="17"/>
  <c r="G62" i="17"/>
  <c r="F62" i="17"/>
  <c r="F61" i="17"/>
  <c r="F60" i="17"/>
  <c r="G61" i="17"/>
  <c r="G60" i="17"/>
  <c r="G58" i="17"/>
  <c r="G63" i="12" l="1"/>
  <c r="D38" i="12"/>
  <c r="C38" i="12"/>
  <c r="L129" i="16" l="1"/>
  <c r="M129" i="16" s="1"/>
  <c r="L118" i="16"/>
  <c r="M118" i="16" s="1"/>
  <c r="C4" i="17"/>
  <c r="C3" i="17"/>
  <c r="C2" i="17"/>
  <c r="Q118" i="16" l="1"/>
  <c r="P118" i="16"/>
  <c r="O118" i="16"/>
  <c r="N118" i="16"/>
  <c r="W118" i="16" s="1"/>
  <c r="O129" i="16"/>
  <c r="Q129" i="16"/>
  <c r="N129" i="16"/>
  <c r="P129" i="16"/>
  <c r="C19" i="17"/>
  <c r="W129" i="16" l="1"/>
  <c r="Y15" i="16"/>
  <c r="Z15" i="16" l="1"/>
  <c r="AB15" i="16" s="1"/>
  <c r="I72" i="12"/>
  <c r="F30" i="12"/>
  <c r="F31" i="12"/>
  <c r="F32" i="12"/>
  <c r="Q114" i="15" s="1"/>
  <c r="F33" i="12"/>
  <c r="F34" i="12"/>
  <c r="Q108" i="15" s="1"/>
  <c r="F35" i="12"/>
  <c r="F36" i="12"/>
  <c r="F37" i="12"/>
  <c r="F39" i="12"/>
  <c r="F40" i="12"/>
  <c r="F29" i="12"/>
  <c r="Q111" i="15" l="1"/>
  <c r="Q110" i="15"/>
  <c r="Q106" i="15"/>
  <c r="Q112" i="15"/>
  <c r="Q113" i="15"/>
  <c r="Q104" i="15"/>
  <c r="Q109" i="15"/>
  <c r="Q105" i="15"/>
  <c r="Y101" i="16"/>
  <c r="Z101" i="16" s="1"/>
  <c r="AB101" i="16" s="1"/>
  <c r="Y104" i="16"/>
  <c r="Z104" i="16" s="1"/>
  <c r="AB104" i="16" s="1"/>
  <c r="Y105" i="16"/>
  <c r="Z105" i="16" s="1"/>
  <c r="AB105" i="16" s="1"/>
  <c r="Y106" i="16"/>
  <c r="Z106" i="16" s="1"/>
  <c r="AB106" i="16" s="1"/>
  <c r="Y107" i="16"/>
  <c r="Z107" i="16" s="1"/>
  <c r="AB107" i="16" s="1"/>
  <c r="Y108" i="16"/>
  <c r="Z108" i="16" s="1"/>
  <c r="AB108" i="16" s="1"/>
  <c r="Y109" i="16"/>
  <c r="Z109" i="16" s="1"/>
  <c r="AB109" i="16" s="1"/>
  <c r="Y57" i="16"/>
  <c r="Z57" i="16" s="1"/>
  <c r="AB57" i="16" s="1"/>
  <c r="Y110" i="16"/>
  <c r="Z110" i="16" s="1"/>
  <c r="AB110" i="16" s="1"/>
  <c r="Y111" i="16"/>
  <c r="Z111" i="16" s="1"/>
  <c r="AB111" i="16" s="1"/>
  <c r="Y112" i="16"/>
  <c r="Y113" i="16"/>
  <c r="Y114" i="16"/>
  <c r="Z114" i="16" s="1"/>
  <c r="AB114" i="16" s="1"/>
  <c r="Y16" i="16"/>
  <c r="Z16" i="16" s="1"/>
  <c r="AB16" i="16" s="1"/>
  <c r="Y18" i="16"/>
  <c r="Y19" i="16"/>
  <c r="Z19" i="16" s="1"/>
  <c r="AB19" i="16" s="1"/>
  <c r="Y21" i="16"/>
  <c r="Z21" i="16" s="1"/>
  <c r="AB21" i="16" s="1"/>
  <c r="Y22" i="16"/>
  <c r="Z22" i="16" s="1"/>
  <c r="AB22" i="16" s="1"/>
  <c r="Y23" i="16"/>
  <c r="Z23" i="16" s="1"/>
  <c r="AB23" i="16" s="1"/>
  <c r="Y24" i="16"/>
  <c r="Z24" i="16" s="1"/>
  <c r="AB24" i="16" s="1"/>
  <c r="Y25" i="16"/>
  <c r="Z25" i="16" s="1"/>
  <c r="AB25" i="16" s="1"/>
  <c r="Y26" i="16"/>
  <c r="Z26" i="16" s="1"/>
  <c r="AB26" i="16" s="1"/>
  <c r="Y27" i="16"/>
  <c r="Z27" i="16" s="1"/>
  <c r="AB27" i="16" s="1"/>
  <c r="Y28" i="16"/>
  <c r="Z28" i="16" s="1"/>
  <c r="AB28" i="16" s="1"/>
  <c r="Y29" i="16"/>
  <c r="Z29" i="16" s="1"/>
  <c r="AB29" i="16" s="1"/>
  <c r="Y30" i="16"/>
  <c r="Z30" i="16" s="1"/>
  <c r="AB30" i="16" s="1"/>
  <c r="Y31" i="16"/>
  <c r="Z31" i="16" s="1"/>
  <c r="AB31" i="16" s="1"/>
  <c r="Y32" i="16"/>
  <c r="Z32" i="16" s="1"/>
  <c r="AB32" i="16" s="1"/>
  <c r="Y33" i="16"/>
  <c r="Z33" i="16" s="1"/>
  <c r="AB33" i="16" s="1"/>
  <c r="Y34" i="16"/>
  <c r="Z34" i="16" s="1"/>
  <c r="AB34" i="16" s="1"/>
  <c r="Y35" i="16"/>
  <c r="Z35" i="16" s="1"/>
  <c r="AB35" i="16" s="1"/>
  <c r="Y36" i="16"/>
  <c r="Z36" i="16" s="1"/>
  <c r="AB36" i="16" s="1"/>
  <c r="Y37" i="16"/>
  <c r="Z37" i="16" s="1"/>
  <c r="AB37" i="16" s="1"/>
  <c r="Y38" i="16"/>
  <c r="Z38" i="16" s="1"/>
  <c r="AB38" i="16" s="1"/>
  <c r="Y40" i="16"/>
  <c r="Z40" i="16" s="1"/>
  <c r="AB40" i="16" s="1"/>
  <c r="Y41" i="16"/>
  <c r="Z41" i="16" s="1"/>
  <c r="AB41" i="16" s="1"/>
  <c r="Y42" i="16"/>
  <c r="Z42" i="16" s="1"/>
  <c r="AB42" i="16" s="1"/>
  <c r="Y43" i="16"/>
  <c r="Z43" i="16" s="1"/>
  <c r="AB43" i="16" s="1"/>
  <c r="Y44" i="16"/>
  <c r="Z44" i="16" s="1"/>
  <c r="AB44" i="16" s="1"/>
  <c r="Y45" i="16"/>
  <c r="Z45" i="16" s="1"/>
  <c r="AB45" i="16" s="1"/>
  <c r="Y46" i="16"/>
  <c r="Z46" i="16" s="1"/>
  <c r="AB46" i="16" s="1"/>
  <c r="Y48" i="16"/>
  <c r="Z48" i="16" s="1"/>
  <c r="AB48" i="16" s="1"/>
  <c r="Y50" i="16"/>
  <c r="Z50" i="16" s="1"/>
  <c r="AB50" i="16" s="1"/>
  <c r="Y51" i="16"/>
  <c r="Z51" i="16" s="1"/>
  <c r="AB51" i="16" s="1"/>
  <c r="Y52" i="16"/>
  <c r="Z52" i="16" s="1"/>
  <c r="AB52" i="16" s="1"/>
  <c r="Y53" i="16"/>
  <c r="Z53" i="16" s="1"/>
  <c r="AB53" i="16" s="1"/>
  <c r="Y54" i="16"/>
  <c r="Z54" i="16" s="1"/>
  <c r="AB54" i="16" s="1"/>
  <c r="Y55" i="16"/>
  <c r="Z55" i="16" s="1"/>
  <c r="AB55" i="16" s="1"/>
  <c r="Y56" i="16"/>
  <c r="Z56" i="16" s="1"/>
  <c r="AB56" i="16" s="1"/>
  <c r="Y58" i="16"/>
  <c r="Z58" i="16" s="1"/>
  <c r="AB58" i="16" s="1"/>
  <c r="Y59" i="16"/>
  <c r="Z59" i="16" s="1"/>
  <c r="AB59" i="16" s="1"/>
  <c r="Y60" i="16"/>
  <c r="Z60" i="16" s="1"/>
  <c r="AB60" i="16" s="1"/>
  <c r="Y61" i="16"/>
  <c r="Z61" i="16" s="1"/>
  <c r="AB61" i="16" s="1"/>
  <c r="Y62" i="16"/>
  <c r="Z62" i="16" s="1"/>
  <c r="AB62" i="16" s="1"/>
  <c r="Y63" i="16"/>
  <c r="Z63" i="16" s="1"/>
  <c r="AB63" i="16" s="1"/>
  <c r="Y64" i="16"/>
  <c r="Z64" i="16" s="1"/>
  <c r="AB64" i="16" s="1"/>
  <c r="Y65" i="16"/>
  <c r="Z65" i="16" s="1"/>
  <c r="AB65" i="16" s="1"/>
  <c r="Y66" i="16"/>
  <c r="Z66" i="16" s="1"/>
  <c r="AB66" i="16" s="1"/>
  <c r="Y68" i="16"/>
  <c r="Z68" i="16" s="1"/>
  <c r="AB68" i="16" s="1"/>
  <c r="Y69" i="16"/>
  <c r="Z69" i="16" s="1"/>
  <c r="AB69" i="16" s="1"/>
  <c r="Y70" i="16"/>
  <c r="Z70" i="16" s="1"/>
  <c r="AB70" i="16" s="1"/>
  <c r="Y72" i="16"/>
  <c r="Z72" i="16" s="1"/>
  <c r="AB72" i="16" s="1"/>
  <c r="Y73" i="16"/>
  <c r="Z73" i="16" s="1"/>
  <c r="AB73" i="16" s="1"/>
  <c r="Y74" i="16"/>
  <c r="Z74" i="16" s="1"/>
  <c r="AB74" i="16" s="1"/>
  <c r="Y75" i="16"/>
  <c r="Z75" i="16" s="1"/>
  <c r="AB75" i="16" s="1"/>
  <c r="Y76" i="16"/>
  <c r="Z76" i="16" s="1"/>
  <c r="AB76" i="16" s="1"/>
  <c r="Y77" i="16"/>
  <c r="Z77" i="16" s="1"/>
  <c r="AB77" i="16" s="1"/>
  <c r="Y78" i="16"/>
  <c r="Z78" i="16" s="1"/>
  <c r="AB78" i="16" s="1"/>
  <c r="Y79" i="16"/>
  <c r="Z79" i="16" s="1"/>
  <c r="AB79" i="16" s="1"/>
  <c r="Y80" i="16"/>
  <c r="Z80" i="16" s="1"/>
  <c r="AB80" i="16" s="1"/>
  <c r="Y81" i="16"/>
  <c r="Z81" i="16" s="1"/>
  <c r="AB81" i="16" s="1"/>
  <c r="Y82" i="16"/>
  <c r="Z82" i="16" s="1"/>
  <c r="AB82" i="16" s="1"/>
  <c r="Y83" i="16"/>
  <c r="Z83" i="16" s="1"/>
  <c r="AB83" i="16" s="1"/>
  <c r="Y84" i="16"/>
  <c r="Z84" i="16" s="1"/>
  <c r="AB84" i="16" s="1"/>
  <c r="Y85" i="16"/>
  <c r="Z85" i="16" s="1"/>
  <c r="AB85" i="16" s="1"/>
  <c r="Y86" i="16"/>
  <c r="Z86" i="16" s="1"/>
  <c r="AB86" i="16" s="1"/>
  <c r="Y87" i="16"/>
  <c r="Z87" i="16" s="1"/>
  <c r="AB87" i="16" s="1"/>
  <c r="Y88" i="16"/>
  <c r="Z88" i="16" s="1"/>
  <c r="AB88" i="16" s="1"/>
  <c r="Y89" i="16"/>
  <c r="Z89" i="16" s="1"/>
  <c r="AB89" i="16" s="1"/>
  <c r="Y90" i="16"/>
  <c r="Z90" i="16" s="1"/>
  <c r="AB90" i="16" s="1"/>
  <c r="Y91" i="16"/>
  <c r="Z91" i="16" s="1"/>
  <c r="AB91" i="16" s="1"/>
  <c r="Y92" i="16"/>
  <c r="Y93" i="16"/>
  <c r="Z93" i="16" s="1"/>
  <c r="AB93" i="16" s="1"/>
  <c r="Y94" i="16"/>
  <c r="Z94" i="16" s="1"/>
  <c r="AB94" i="16" s="1"/>
  <c r="Y95" i="16"/>
  <c r="Z95" i="16" s="1"/>
  <c r="AB95" i="16" s="1"/>
  <c r="Y96" i="16"/>
  <c r="Z96" i="16" s="1"/>
  <c r="AB96" i="16" s="1"/>
  <c r="Y97" i="16"/>
  <c r="Z97" i="16" s="1"/>
  <c r="AB97" i="16" s="1"/>
  <c r="Y99" i="16"/>
  <c r="Z99" i="16" s="1"/>
  <c r="AB99" i="16" s="1"/>
  <c r="Y100" i="16"/>
  <c r="Z100" i="16" s="1"/>
  <c r="AB100" i="16" s="1"/>
  <c r="Z14" i="16" l="1"/>
  <c r="E18" i="17"/>
  <c r="G18" i="17" s="1"/>
  <c r="Z18" i="16"/>
  <c r="AB18" i="16" s="1"/>
  <c r="Z17" i="16"/>
  <c r="AB17" i="16" s="1"/>
  <c r="E57" i="17"/>
  <c r="G57" i="17" s="1"/>
  <c r="Z92" i="16"/>
  <c r="AB92" i="16" s="1"/>
  <c r="E56" i="17"/>
  <c r="G56" i="17" s="1"/>
  <c r="Z113" i="16"/>
  <c r="AB113" i="16" s="1"/>
  <c r="E55" i="17"/>
  <c r="G55" i="17" s="1"/>
  <c r="Z112" i="16"/>
  <c r="AB112" i="16" s="1"/>
  <c r="E49" i="17"/>
  <c r="G49" i="17" s="1"/>
  <c r="E45" i="17"/>
  <c r="G45" i="17" s="1"/>
  <c r="E50" i="17"/>
  <c r="G50" i="17" s="1"/>
  <c r="E41" i="17"/>
  <c r="G41" i="17" s="1"/>
  <c r="E52" i="17"/>
  <c r="G52" i="17" s="1"/>
  <c r="E54" i="17"/>
  <c r="G54" i="17" s="1"/>
  <c r="E36" i="17"/>
  <c r="E46" i="17"/>
  <c r="G46" i="17" s="1"/>
  <c r="E53" i="17"/>
  <c r="G53" i="17" s="1"/>
  <c r="E39" i="17"/>
  <c r="E47" i="17"/>
  <c r="G47" i="17" s="1"/>
  <c r="E44" i="17"/>
  <c r="G44" i="17" s="1"/>
  <c r="E40" i="17"/>
  <c r="G17" i="17"/>
  <c r="G66" i="12"/>
  <c r="C72" i="12"/>
  <c r="D72" i="12" s="1"/>
  <c r="C55" i="12"/>
  <c r="E30" i="12"/>
  <c r="E32" i="12"/>
  <c r="E33" i="12"/>
  <c r="E34" i="12"/>
  <c r="E35" i="12"/>
  <c r="E36" i="12"/>
  <c r="E37" i="12"/>
  <c r="E39" i="12"/>
  <c r="E40" i="12"/>
  <c r="E29" i="12"/>
  <c r="F38" i="12"/>
  <c r="Q107" i="15" s="1"/>
  <c r="L127" i="16" l="1"/>
  <c r="M127" i="16" s="1"/>
  <c r="L132" i="16"/>
  <c r="M132" i="16" s="1"/>
  <c r="L122" i="16"/>
  <c r="M122" i="16" s="1"/>
  <c r="AB14" i="16"/>
  <c r="J29" i="17" s="1"/>
  <c r="G40" i="17"/>
  <c r="F68" i="17"/>
  <c r="H68" i="17" s="1"/>
  <c r="G36" i="17"/>
  <c r="F87" i="17"/>
  <c r="H87" i="17" s="1"/>
  <c r="F86" i="17"/>
  <c r="H86" i="17" s="1"/>
  <c r="G39" i="17"/>
  <c r="E38" i="12"/>
  <c r="T107" i="16"/>
  <c r="S107" i="16"/>
  <c r="R107" i="16"/>
  <c r="E87" i="12"/>
  <c r="T125" i="16" s="1"/>
  <c r="D87" i="12"/>
  <c r="S125" i="16" s="1"/>
  <c r="C87" i="12"/>
  <c r="R125" i="16" s="1"/>
  <c r="H72" i="12"/>
  <c r="E72" i="12"/>
  <c r="F72" i="12"/>
  <c r="I55" i="12"/>
  <c r="T107" i="15" s="1"/>
  <c r="H55" i="12"/>
  <c r="S107" i="15" s="1"/>
  <c r="G55" i="12"/>
  <c r="R107" i="15" s="1"/>
  <c r="E55" i="12"/>
  <c r="D55" i="12"/>
  <c r="T57" i="16"/>
  <c r="S57" i="16"/>
  <c r="R57" i="16"/>
  <c r="T109" i="16"/>
  <c r="S109" i="16"/>
  <c r="R109" i="16"/>
  <c r="T108" i="16"/>
  <c r="S108" i="16"/>
  <c r="R108" i="16"/>
  <c r="U114" i="16"/>
  <c r="T114" i="16"/>
  <c r="S114" i="16"/>
  <c r="R114" i="16"/>
  <c r="U113" i="16"/>
  <c r="T113" i="16"/>
  <c r="S113" i="16"/>
  <c r="R113" i="16"/>
  <c r="U112" i="16"/>
  <c r="T112" i="16"/>
  <c r="S112" i="16"/>
  <c r="R112" i="16"/>
  <c r="U111" i="16"/>
  <c r="T111" i="16"/>
  <c r="S111" i="16"/>
  <c r="R111" i="16"/>
  <c r="U110" i="16"/>
  <c r="T110" i="16"/>
  <c r="S110" i="16"/>
  <c r="R110" i="16"/>
  <c r="U106" i="16"/>
  <c r="T106" i="16"/>
  <c r="S106" i="16"/>
  <c r="R106" i="16"/>
  <c r="U105" i="16"/>
  <c r="T105" i="16"/>
  <c r="S105" i="16"/>
  <c r="R105" i="16"/>
  <c r="U57" i="15"/>
  <c r="T57" i="15"/>
  <c r="S57" i="15"/>
  <c r="R57" i="15"/>
  <c r="U109" i="15"/>
  <c r="T109" i="15"/>
  <c r="S109" i="15"/>
  <c r="R109" i="15"/>
  <c r="T114" i="15"/>
  <c r="S114" i="15"/>
  <c r="R114" i="15"/>
  <c r="T112" i="15"/>
  <c r="S112" i="15"/>
  <c r="R112" i="15"/>
  <c r="P122" i="16" l="1"/>
  <c r="O122" i="16"/>
  <c r="Q122" i="16"/>
  <c r="N122" i="16"/>
  <c r="W122" i="16" s="1"/>
  <c r="Y125" i="16"/>
  <c r="Z125" i="16" s="1"/>
  <c r="AB125" i="16" s="1"/>
  <c r="Y39" i="16"/>
  <c r="Z39" i="16" s="1"/>
  <c r="AB39" i="16" s="1"/>
  <c r="N132" i="16"/>
  <c r="P132" i="16"/>
  <c r="O132" i="16"/>
  <c r="Q132" i="16"/>
  <c r="Q127" i="16"/>
  <c r="O127" i="16"/>
  <c r="P127" i="16"/>
  <c r="N127" i="16"/>
  <c r="Y67" i="16"/>
  <c r="Y98" i="16"/>
  <c r="Y47" i="16"/>
  <c r="Y71" i="16"/>
  <c r="Z71" i="16" s="1"/>
  <c r="AB71" i="16" s="1"/>
  <c r="J25" i="17" s="1"/>
  <c r="Y49" i="16"/>
  <c r="Y20" i="16"/>
  <c r="F55" i="12"/>
  <c r="F87" i="12"/>
  <c r="U125" i="16" s="1"/>
  <c r="V125" i="16" s="1"/>
  <c r="J55" i="12"/>
  <c r="V114" i="15"/>
  <c r="V109" i="15"/>
  <c r="V112" i="15"/>
  <c r="V57" i="15"/>
  <c r="W132" i="16" l="1"/>
  <c r="W127" i="16"/>
  <c r="Z20" i="16"/>
  <c r="E16" i="17"/>
  <c r="G16" i="17" s="1"/>
  <c r="Z49" i="16"/>
  <c r="AB49" i="16" s="1"/>
  <c r="E15" i="17"/>
  <c r="G15" i="17" s="1"/>
  <c r="E43" i="17"/>
  <c r="G43" i="17" s="1"/>
  <c r="Z47" i="16"/>
  <c r="AB47" i="16" s="1"/>
  <c r="E51" i="17"/>
  <c r="G51" i="17" s="1"/>
  <c r="Z98" i="16"/>
  <c r="AB98" i="16" s="1"/>
  <c r="E38" i="17"/>
  <c r="G38" i="17" s="1"/>
  <c r="Z67" i="16"/>
  <c r="AB67" i="16" s="1"/>
  <c r="E37" i="17"/>
  <c r="E14" i="17"/>
  <c r="E42" i="17"/>
  <c r="E48" i="17"/>
  <c r="G48" i="17" s="1"/>
  <c r="C4" i="15"/>
  <c r="C3" i="15"/>
  <c r="C2" i="15"/>
  <c r="F75" i="17" l="1"/>
  <c r="H75" i="17" s="1"/>
  <c r="D99" i="17"/>
  <c r="H100" i="17"/>
  <c r="C99" i="17"/>
  <c r="G100" i="17"/>
  <c r="D102" i="17"/>
  <c r="C102" i="17"/>
  <c r="G99" i="17"/>
  <c r="D100" i="17"/>
  <c r="H102" i="17"/>
  <c r="H99" i="17"/>
  <c r="G102" i="17"/>
  <c r="C100" i="17"/>
  <c r="H101" i="17"/>
  <c r="D101" i="17"/>
  <c r="G101" i="17"/>
  <c r="C101" i="17"/>
  <c r="F79" i="17"/>
  <c r="H79" i="17" s="1"/>
  <c r="J26" i="17"/>
  <c r="AB20" i="16"/>
  <c r="J27" i="17" s="1"/>
  <c r="E94" i="17"/>
  <c r="C94" i="17"/>
  <c r="E93" i="17"/>
  <c r="C93" i="17"/>
  <c r="E19" i="17"/>
  <c r="G19" i="17" s="1"/>
  <c r="G14" i="17"/>
  <c r="F76" i="17"/>
  <c r="H76" i="17" s="1"/>
  <c r="F77" i="17"/>
  <c r="H77" i="17" s="1"/>
  <c r="G37" i="17"/>
  <c r="F69" i="17"/>
  <c r="H69" i="17" s="1"/>
  <c r="F70" i="17"/>
  <c r="H70" i="17" s="1"/>
  <c r="F71" i="17"/>
  <c r="H71" i="17" s="1"/>
  <c r="F72" i="17"/>
  <c r="H72" i="17" s="1"/>
  <c r="F80" i="17"/>
  <c r="H80" i="17" s="1"/>
  <c r="G42" i="17"/>
  <c r="F82" i="17"/>
  <c r="H82" i="17" s="1"/>
  <c r="F81" i="17"/>
  <c r="H81" i="17" s="1"/>
  <c r="R104" i="16"/>
  <c r="S104" i="16"/>
  <c r="T104" i="16"/>
  <c r="U104" i="16"/>
  <c r="T16" i="16"/>
  <c r="S16" i="16"/>
  <c r="R16" i="16"/>
  <c r="R25" i="16"/>
  <c r="S25" i="16"/>
  <c r="T25" i="16"/>
  <c r="R41" i="16"/>
  <c r="S41" i="16"/>
  <c r="T41" i="16"/>
  <c r="R58" i="16"/>
  <c r="S58" i="16"/>
  <c r="T58" i="16"/>
  <c r="R63" i="16"/>
  <c r="S63" i="16"/>
  <c r="T63" i="16"/>
  <c r="R64" i="16"/>
  <c r="S64" i="16"/>
  <c r="T64" i="16"/>
  <c r="R76" i="16"/>
  <c r="S76" i="16"/>
  <c r="T76" i="16"/>
  <c r="R94" i="16"/>
  <c r="S94" i="16"/>
  <c r="T94" i="16"/>
  <c r="R44" i="16"/>
  <c r="S44" i="16"/>
  <c r="T44" i="16"/>
  <c r="R45" i="16"/>
  <c r="S45" i="16"/>
  <c r="T45" i="16"/>
  <c r="R60" i="16"/>
  <c r="S60" i="16"/>
  <c r="T60" i="16"/>
  <c r="R33" i="16"/>
  <c r="S33" i="16"/>
  <c r="T33" i="16"/>
  <c r="R62" i="16"/>
  <c r="S62" i="16"/>
  <c r="T62" i="16"/>
  <c r="R91" i="16"/>
  <c r="S91" i="16"/>
  <c r="T91" i="16"/>
  <c r="T55" i="16"/>
  <c r="S55" i="16"/>
  <c r="R55" i="16"/>
  <c r="G64" i="12"/>
  <c r="L123" i="16" s="1"/>
  <c r="M123" i="16" s="1"/>
  <c r="L114" i="16"/>
  <c r="M114" i="16" s="1"/>
  <c r="G69" i="12"/>
  <c r="G72" i="12"/>
  <c r="L125" i="16" s="1"/>
  <c r="M125" i="16" s="1"/>
  <c r="G73" i="12"/>
  <c r="G65" i="12"/>
  <c r="E100" i="17" l="1"/>
  <c r="F100" i="17" s="1"/>
  <c r="I102" i="17"/>
  <c r="J102" i="17" s="1"/>
  <c r="I101" i="17"/>
  <c r="J101" i="17" s="1"/>
  <c r="G103" i="17"/>
  <c r="E102" i="17"/>
  <c r="F102" i="17" s="1"/>
  <c r="C103" i="17"/>
  <c r="E101" i="17"/>
  <c r="F101" i="17" s="1"/>
  <c r="I99" i="17"/>
  <c r="J99" i="17" s="1"/>
  <c r="H103" i="17"/>
  <c r="I100" i="17"/>
  <c r="J100" i="17" s="1"/>
  <c r="D103" i="17"/>
  <c r="E99" i="17"/>
  <c r="F99" i="17" s="1"/>
  <c r="O123" i="16"/>
  <c r="P123" i="16"/>
  <c r="N123" i="16"/>
  <c r="Q123" i="16"/>
  <c r="L119" i="16"/>
  <c r="M119" i="16" s="1"/>
  <c r="L120" i="16"/>
  <c r="M120" i="16" s="1"/>
  <c r="Q125" i="16"/>
  <c r="N125" i="16"/>
  <c r="P125" i="16"/>
  <c r="O125" i="16"/>
  <c r="F93" i="17"/>
  <c r="G93" i="17" s="1"/>
  <c r="F94" i="17"/>
  <c r="G94" i="17" s="1"/>
  <c r="J30" i="17"/>
  <c r="P114" i="16"/>
  <c r="Q114" i="16"/>
  <c r="O114" i="16"/>
  <c r="N114" i="16"/>
  <c r="G71" i="12"/>
  <c r="G74" i="12"/>
  <c r="G70" i="12"/>
  <c r="G68" i="12"/>
  <c r="G67" i="12"/>
  <c r="L111" i="16" s="1"/>
  <c r="M111" i="16" s="1"/>
  <c r="N111" i="16" s="1"/>
  <c r="W123" i="16" l="1"/>
  <c r="I103" i="17"/>
  <c r="J103" i="17" s="1"/>
  <c r="W125" i="16"/>
  <c r="E103" i="17"/>
  <c r="F103" i="17" s="1"/>
  <c r="O119" i="16"/>
  <c r="P119" i="16"/>
  <c r="N119" i="16"/>
  <c r="W119" i="16" s="1"/>
  <c r="Q119" i="16"/>
  <c r="N120" i="16"/>
  <c r="Q120" i="16"/>
  <c r="O120" i="16"/>
  <c r="P120" i="16"/>
  <c r="L130" i="16"/>
  <c r="M130" i="16" s="1"/>
  <c r="L128" i="16"/>
  <c r="M128" i="16" s="1"/>
  <c r="L121" i="16"/>
  <c r="M121" i="16" s="1"/>
  <c r="L126" i="16"/>
  <c r="M126" i="16" s="1"/>
  <c r="L131" i="16"/>
  <c r="M131" i="16" s="1"/>
  <c r="L124" i="16"/>
  <c r="M124" i="16" s="1"/>
  <c r="L117" i="16"/>
  <c r="M117" i="16" s="1"/>
  <c r="W114" i="16"/>
  <c r="L108" i="16"/>
  <c r="M108" i="16" s="1"/>
  <c r="N108" i="16" s="1"/>
  <c r="L107" i="16"/>
  <c r="M107" i="16" s="1"/>
  <c r="N107" i="16" s="1"/>
  <c r="L112" i="16"/>
  <c r="M112" i="16" s="1"/>
  <c r="L113" i="16"/>
  <c r="M113" i="16" s="1"/>
  <c r="Q111" i="16"/>
  <c r="P111" i="16"/>
  <c r="O111" i="16"/>
  <c r="W111" i="16" s="1"/>
  <c r="L57" i="16"/>
  <c r="M57" i="16" s="1"/>
  <c r="O57" i="16" s="1"/>
  <c r="L110" i="16"/>
  <c r="M110" i="16" s="1"/>
  <c r="L106" i="16"/>
  <c r="M106" i="16" s="1"/>
  <c r="L105" i="16"/>
  <c r="M105" i="16" s="1"/>
  <c r="L109" i="16"/>
  <c r="M109" i="16" s="1"/>
  <c r="L104" i="16"/>
  <c r="M104" i="16" s="1"/>
  <c r="O124" i="16" l="1"/>
  <c r="N124" i="16"/>
  <c r="Q124" i="16"/>
  <c r="P124" i="16"/>
  <c r="N131" i="16"/>
  <c r="Q131" i="16"/>
  <c r="P131" i="16"/>
  <c r="O131" i="16"/>
  <c r="W120" i="16"/>
  <c r="Q117" i="16"/>
  <c r="O117" i="16"/>
  <c r="P117" i="16"/>
  <c r="N117" i="16"/>
  <c r="O126" i="16"/>
  <c r="N126" i="16"/>
  <c r="Q126" i="16"/>
  <c r="P126" i="16"/>
  <c r="P121" i="16"/>
  <c r="O121" i="16"/>
  <c r="Q121" i="16"/>
  <c r="N121" i="16"/>
  <c r="O128" i="16"/>
  <c r="N128" i="16"/>
  <c r="W128" i="16" s="1"/>
  <c r="Q128" i="16"/>
  <c r="P128" i="16"/>
  <c r="O130" i="16"/>
  <c r="P130" i="16"/>
  <c r="N130" i="16"/>
  <c r="Q130" i="16"/>
  <c r="O107" i="16"/>
  <c r="W107" i="16" s="1"/>
  <c r="Q108" i="16"/>
  <c r="P108" i="16"/>
  <c r="O108" i="16"/>
  <c r="W108" i="16" s="1"/>
  <c r="P57" i="16"/>
  <c r="N57" i="16"/>
  <c r="W57" i="16" s="1"/>
  <c r="P112" i="16"/>
  <c r="Q112" i="16"/>
  <c r="N112" i="16"/>
  <c r="O112" i="16"/>
  <c r="Q110" i="16"/>
  <c r="O110" i="16"/>
  <c r="N110" i="16"/>
  <c r="P110" i="16"/>
  <c r="Q57" i="16"/>
  <c r="P107" i="16"/>
  <c r="Q107" i="16"/>
  <c r="O113" i="16"/>
  <c r="P113" i="16"/>
  <c r="Q113" i="16"/>
  <c r="N113" i="16"/>
  <c r="O104" i="16"/>
  <c r="Q104" i="16"/>
  <c r="P104" i="16"/>
  <c r="N104" i="16"/>
  <c r="Q109" i="16"/>
  <c r="N109" i="16"/>
  <c r="P109" i="16"/>
  <c r="O109" i="16"/>
  <c r="Q106" i="16"/>
  <c r="N106" i="16"/>
  <c r="O106" i="16"/>
  <c r="P106" i="16"/>
  <c r="Q105" i="16"/>
  <c r="O105" i="16"/>
  <c r="P105" i="16"/>
  <c r="N105" i="16"/>
  <c r="W121" i="16" l="1"/>
  <c r="W117" i="16"/>
  <c r="W126" i="16"/>
  <c r="W124" i="16"/>
  <c r="W130" i="16"/>
  <c r="W131" i="16"/>
  <c r="W110" i="16"/>
  <c r="W105" i="16"/>
  <c r="W113" i="16"/>
  <c r="D56" i="17" s="1"/>
  <c r="F56" i="17" s="1"/>
  <c r="W112" i="16"/>
  <c r="D55" i="17" s="1"/>
  <c r="F55" i="17" s="1"/>
  <c r="W109" i="16"/>
  <c r="W104" i="16"/>
  <c r="W106" i="16"/>
  <c r="P90" i="16"/>
  <c r="AL90" i="16" s="1"/>
  <c r="P85" i="16"/>
  <c r="AL85" i="16" s="1"/>
  <c r="P60" i="16"/>
  <c r="V87" i="15"/>
  <c r="V48" i="15"/>
  <c r="V26" i="15"/>
  <c r="T97" i="16"/>
  <c r="AT97" i="16" s="1"/>
  <c r="S97" i="16"/>
  <c r="R97" i="16"/>
  <c r="AT94" i="16"/>
  <c r="AS94" i="16"/>
  <c r="AR94" i="16"/>
  <c r="AT91" i="16"/>
  <c r="AS91" i="16"/>
  <c r="AT76" i="16"/>
  <c r="AS76" i="16"/>
  <c r="T74" i="16"/>
  <c r="AT74" i="16" s="1"/>
  <c r="S74" i="16"/>
  <c r="AS74" i="16" s="1"/>
  <c r="R74" i="16"/>
  <c r="T71" i="16"/>
  <c r="AT71" i="16" s="1"/>
  <c r="S71" i="16"/>
  <c r="AS71" i="16" s="1"/>
  <c r="R71" i="16"/>
  <c r="AR71" i="16" s="1"/>
  <c r="T67" i="16"/>
  <c r="S67" i="16"/>
  <c r="R67" i="16"/>
  <c r="AR67" i="16" s="1"/>
  <c r="AT64" i="16"/>
  <c r="AS64" i="16"/>
  <c r="AR64" i="16"/>
  <c r="AR63" i="16"/>
  <c r="AT62" i="16"/>
  <c r="AS62" i="16"/>
  <c r="AR62" i="16"/>
  <c r="AT58" i="16"/>
  <c r="AS58" i="16"/>
  <c r="T50" i="16"/>
  <c r="AT50" i="16" s="1"/>
  <c r="S50" i="16"/>
  <c r="R50" i="16"/>
  <c r="AR50" i="16" s="1"/>
  <c r="S85" i="16"/>
  <c r="AS85" i="16" s="1"/>
  <c r="R85" i="16"/>
  <c r="AR85" i="16" s="1"/>
  <c r="U90" i="16"/>
  <c r="AU90" i="16" s="1"/>
  <c r="S90" i="16"/>
  <c r="AS90" i="16" s="1"/>
  <c r="R90" i="16"/>
  <c r="AR90" i="16" s="1"/>
  <c r="U70" i="16"/>
  <c r="AU70" i="16" s="1"/>
  <c r="S70" i="16"/>
  <c r="AS70" i="16" s="1"/>
  <c r="R70" i="16"/>
  <c r="AR70" i="16" s="1"/>
  <c r="U40" i="16"/>
  <c r="T40" i="16"/>
  <c r="S54" i="16"/>
  <c r="R54" i="16"/>
  <c r="AR54" i="16" s="1"/>
  <c r="AT55" i="16"/>
  <c r="AU55" i="16"/>
  <c r="T97" i="15"/>
  <c r="T94" i="15"/>
  <c r="T91" i="15"/>
  <c r="T76" i="15"/>
  <c r="T74" i="15"/>
  <c r="T71" i="15"/>
  <c r="T67" i="15"/>
  <c r="T63" i="15"/>
  <c r="T64" i="15"/>
  <c r="T62" i="15"/>
  <c r="S62" i="15"/>
  <c r="T58" i="15"/>
  <c r="S58" i="15"/>
  <c r="T55" i="15"/>
  <c r="S55" i="15"/>
  <c r="T50" i="15"/>
  <c r="S50" i="15"/>
  <c r="T41" i="15"/>
  <c r="S41" i="15"/>
  <c r="T33" i="15"/>
  <c r="S33" i="15"/>
  <c r="T25" i="15"/>
  <c r="S25" i="15"/>
  <c r="T16" i="15"/>
  <c r="S16" i="15"/>
  <c r="AR26" i="16"/>
  <c r="AS26" i="16"/>
  <c r="AT26" i="16"/>
  <c r="AU26" i="16"/>
  <c r="AR40" i="16"/>
  <c r="AS40" i="16"/>
  <c r="AR48" i="16"/>
  <c r="AS48" i="16"/>
  <c r="AT48" i="16"/>
  <c r="AU48" i="16"/>
  <c r="AU50" i="16"/>
  <c r="AT54" i="16"/>
  <c r="AU54" i="16"/>
  <c r="AU58" i="16"/>
  <c r="AU62" i="16"/>
  <c r="AU63" i="16"/>
  <c r="AU64" i="16"/>
  <c r="AU67" i="16"/>
  <c r="AT70" i="16"/>
  <c r="AU71" i="16"/>
  <c r="AU74" i="16"/>
  <c r="AU76" i="16"/>
  <c r="AT85" i="16"/>
  <c r="AU85" i="16"/>
  <c r="AT86" i="16"/>
  <c r="AR87" i="16"/>
  <c r="AS87" i="16"/>
  <c r="AT87" i="16"/>
  <c r="AU87" i="16"/>
  <c r="AT90" i="16"/>
  <c r="AU91" i="16"/>
  <c r="AU94" i="16"/>
  <c r="AU97" i="16"/>
  <c r="AD104" i="16"/>
  <c r="AD105" i="16"/>
  <c r="AD106" i="16"/>
  <c r="AD107" i="16"/>
  <c r="AD108" i="16"/>
  <c r="AD109" i="16"/>
  <c r="AD57" i="16"/>
  <c r="AD110" i="16"/>
  <c r="V111" i="16"/>
  <c r="AD111" i="16"/>
  <c r="V112" i="16"/>
  <c r="AD112" i="16"/>
  <c r="V113" i="16"/>
  <c r="AD113" i="16"/>
  <c r="V114" i="16"/>
  <c r="AD114" i="16"/>
  <c r="R14" i="16"/>
  <c r="AR14" i="16" s="1"/>
  <c r="S14" i="16"/>
  <c r="AS14" i="16" s="1"/>
  <c r="T14" i="16"/>
  <c r="AT14" i="16" s="1"/>
  <c r="U14" i="16"/>
  <c r="AU14" i="16" s="1"/>
  <c r="R15" i="16"/>
  <c r="AR15" i="16" s="1"/>
  <c r="S15" i="16"/>
  <c r="AS15" i="16" s="1"/>
  <c r="T15" i="16"/>
  <c r="AT15" i="16" s="1"/>
  <c r="U15" i="16"/>
  <c r="AU15" i="16" s="1"/>
  <c r="R17" i="16"/>
  <c r="AR17" i="16" s="1"/>
  <c r="S17" i="16"/>
  <c r="AS17" i="16" s="1"/>
  <c r="T17" i="16"/>
  <c r="AT17" i="16" s="1"/>
  <c r="U17" i="16"/>
  <c r="AU17" i="16" s="1"/>
  <c r="R18" i="16"/>
  <c r="AR18" i="16" s="1"/>
  <c r="S18" i="16"/>
  <c r="AS18" i="16" s="1"/>
  <c r="T18" i="16"/>
  <c r="AT18" i="16" s="1"/>
  <c r="U18" i="16"/>
  <c r="R19" i="16"/>
  <c r="AR19" i="16" s="1"/>
  <c r="S19" i="16"/>
  <c r="AS19" i="16" s="1"/>
  <c r="T19" i="16"/>
  <c r="AT19" i="16" s="1"/>
  <c r="U19" i="16"/>
  <c r="AU19" i="16" s="1"/>
  <c r="R20" i="16"/>
  <c r="AR20" i="16" s="1"/>
  <c r="S20" i="16"/>
  <c r="AS20" i="16" s="1"/>
  <c r="T20" i="16"/>
  <c r="AT20" i="16" s="1"/>
  <c r="U20" i="16"/>
  <c r="R21" i="16"/>
  <c r="AR21" i="16" s="1"/>
  <c r="S21" i="16"/>
  <c r="AS21" i="16" s="1"/>
  <c r="T21" i="16"/>
  <c r="AT21" i="16" s="1"/>
  <c r="U21" i="16"/>
  <c r="AU21" i="16" s="1"/>
  <c r="R22" i="16"/>
  <c r="AR22" i="16" s="1"/>
  <c r="S22" i="16"/>
  <c r="AS22" i="16" s="1"/>
  <c r="T22" i="16"/>
  <c r="U22" i="16"/>
  <c r="R23" i="16"/>
  <c r="AR23" i="16" s="1"/>
  <c r="S23" i="16"/>
  <c r="AS23" i="16" s="1"/>
  <c r="T23" i="16"/>
  <c r="AT23" i="16" s="1"/>
  <c r="U23" i="16"/>
  <c r="AU23" i="16" s="1"/>
  <c r="R24" i="16"/>
  <c r="AR24" i="16" s="1"/>
  <c r="S24" i="16"/>
  <c r="AS24" i="16" s="1"/>
  <c r="T24" i="16"/>
  <c r="AT24" i="16" s="1"/>
  <c r="U24" i="16"/>
  <c r="R27" i="16"/>
  <c r="AR27" i="16" s="1"/>
  <c r="S27" i="16"/>
  <c r="AS27" i="16" s="1"/>
  <c r="T27" i="16"/>
  <c r="AT27" i="16" s="1"/>
  <c r="U27" i="16"/>
  <c r="AU27" i="16" s="1"/>
  <c r="R28" i="16"/>
  <c r="AR28" i="16" s="1"/>
  <c r="S28" i="16"/>
  <c r="AS28" i="16" s="1"/>
  <c r="T28" i="16"/>
  <c r="AT28" i="16" s="1"/>
  <c r="U28" i="16"/>
  <c r="AU28" i="16" s="1"/>
  <c r="R29" i="16"/>
  <c r="AR29" i="16" s="1"/>
  <c r="S29" i="16"/>
  <c r="AS29" i="16" s="1"/>
  <c r="T29" i="16"/>
  <c r="AT29" i="16" s="1"/>
  <c r="U29" i="16"/>
  <c r="AU29" i="16" s="1"/>
  <c r="R30" i="16"/>
  <c r="AR30" i="16" s="1"/>
  <c r="S30" i="16"/>
  <c r="T30" i="16"/>
  <c r="U30" i="16"/>
  <c r="AU30" i="16" s="1"/>
  <c r="R31" i="16"/>
  <c r="AR31" i="16" s="1"/>
  <c r="S31" i="16"/>
  <c r="AS31" i="16" s="1"/>
  <c r="T31" i="16"/>
  <c r="AT31" i="16" s="1"/>
  <c r="U31" i="16"/>
  <c r="AU31" i="16" s="1"/>
  <c r="R32" i="16"/>
  <c r="AR32" i="16" s="1"/>
  <c r="S32" i="16"/>
  <c r="T32" i="16"/>
  <c r="AT32" i="16" s="1"/>
  <c r="U32" i="16"/>
  <c r="AU32" i="16" s="1"/>
  <c r="R34" i="16"/>
  <c r="AR34" i="16" s="1"/>
  <c r="S34" i="16"/>
  <c r="AS34" i="16" s="1"/>
  <c r="T34" i="16"/>
  <c r="AT34" i="16" s="1"/>
  <c r="U34" i="16"/>
  <c r="AU34" i="16" s="1"/>
  <c r="R35" i="16"/>
  <c r="AR35" i="16" s="1"/>
  <c r="S35" i="16"/>
  <c r="AS35" i="16" s="1"/>
  <c r="T35" i="16"/>
  <c r="AT35" i="16" s="1"/>
  <c r="U35" i="16"/>
  <c r="AU35" i="16" s="1"/>
  <c r="R36" i="16"/>
  <c r="AR36" i="16" s="1"/>
  <c r="S36" i="16"/>
  <c r="AS36" i="16" s="1"/>
  <c r="T36" i="16"/>
  <c r="AT36" i="16" s="1"/>
  <c r="U36" i="16"/>
  <c r="AU36" i="16" s="1"/>
  <c r="R37" i="16"/>
  <c r="AR37" i="16" s="1"/>
  <c r="S37" i="16"/>
  <c r="AS37" i="16" s="1"/>
  <c r="T37" i="16"/>
  <c r="AT37" i="16" s="1"/>
  <c r="U37" i="16"/>
  <c r="AU37" i="16" s="1"/>
  <c r="R38" i="16"/>
  <c r="AR38" i="16" s="1"/>
  <c r="S38" i="16"/>
  <c r="AS38" i="16" s="1"/>
  <c r="T38" i="16"/>
  <c r="AT38" i="16" s="1"/>
  <c r="U38" i="16"/>
  <c r="AU38" i="16" s="1"/>
  <c r="R39" i="16"/>
  <c r="AR39" i="16" s="1"/>
  <c r="S39" i="16"/>
  <c r="AS39" i="16" s="1"/>
  <c r="T39" i="16"/>
  <c r="AT39" i="16" s="1"/>
  <c r="U39" i="16"/>
  <c r="AU39" i="16" s="1"/>
  <c r="R42" i="16"/>
  <c r="AR42" i="16" s="1"/>
  <c r="S42" i="16"/>
  <c r="AS42" i="16" s="1"/>
  <c r="T42" i="16"/>
  <c r="AT42" i="16" s="1"/>
  <c r="U42" i="16"/>
  <c r="AU42" i="16" s="1"/>
  <c r="R43" i="16"/>
  <c r="AR43" i="16" s="1"/>
  <c r="S43" i="16"/>
  <c r="T43" i="16"/>
  <c r="U43" i="16"/>
  <c r="AU43" i="16" s="1"/>
  <c r="AR44" i="16"/>
  <c r="AS44" i="16"/>
  <c r="AT44" i="16"/>
  <c r="AU44" i="16"/>
  <c r="AR45" i="16"/>
  <c r="AT45" i="16"/>
  <c r="AU45" i="16"/>
  <c r="R46" i="16"/>
  <c r="AR46" i="16" s="1"/>
  <c r="S46" i="16"/>
  <c r="AS46" i="16" s="1"/>
  <c r="T46" i="16"/>
  <c r="AT46" i="16" s="1"/>
  <c r="U46" i="16"/>
  <c r="AU46" i="16" s="1"/>
  <c r="R47" i="16"/>
  <c r="AR47" i="16" s="1"/>
  <c r="S47" i="16"/>
  <c r="AS47" i="16" s="1"/>
  <c r="T47" i="16"/>
  <c r="AT47" i="16" s="1"/>
  <c r="U47" i="16"/>
  <c r="AU47" i="16" s="1"/>
  <c r="R49" i="16"/>
  <c r="S49" i="16"/>
  <c r="AS49" i="16" s="1"/>
  <c r="T49" i="16"/>
  <c r="AT49" i="16" s="1"/>
  <c r="U49" i="16"/>
  <c r="AU49" i="16" s="1"/>
  <c r="R51" i="16"/>
  <c r="AR51" i="16" s="1"/>
  <c r="S51" i="16"/>
  <c r="AS51" i="16" s="1"/>
  <c r="T51" i="16"/>
  <c r="U51" i="16"/>
  <c r="AU51" i="16" s="1"/>
  <c r="R52" i="16"/>
  <c r="AR52" i="16" s="1"/>
  <c r="S52" i="16"/>
  <c r="AS52" i="16" s="1"/>
  <c r="T52" i="16"/>
  <c r="AT52" i="16" s="1"/>
  <c r="U52" i="16"/>
  <c r="AU52" i="16" s="1"/>
  <c r="R53" i="16"/>
  <c r="AR53" i="16" s="1"/>
  <c r="S53" i="16"/>
  <c r="AS53" i="16" s="1"/>
  <c r="T53" i="16"/>
  <c r="U53" i="16"/>
  <c r="AR55" i="16"/>
  <c r="AS55" i="16"/>
  <c r="R56" i="16"/>
  <c r="AR56" i="16" s="1"/>
  <c r="S56" i="16"/>
  <c r="AS56" i="16" s="1"/>
  <c r="T56" i="16"/>
  <c r="AT56" i="16" s="1"/>
  <c r="U56" i="16"/>
  <c r="AU56" i="16" s="1"/>
  <c r="R59" i="16"/>
  <c r="AR59" i="16" s="1"/>
  <c r="S59" i="16"/>
  <c r="AS59" i="16" s="1"/>
  <c r="T59" i="16"/>
  <c r="AT59" i="16" s="1"/>
  <c r="U59" i="16"/>
  <c r="AS60" i="16"/>
  <c r="AT60" i="16"/>
  <c r="AU60" i="16"/>
  <c r="R61" i="16"/>
  <c r="S61" i="16"/>
  <c r="AS61" i="16" s="1"/>
  <c r="T61" i="16"/>
  <c r="AT61" i="16" s="1"/>
  <c r="U61" i="16"/>
  <c r="AU61" i="16" s="1"/>
  <c r="R65" i="16"/>
  <c r="AR65" i="16" s="1"/>
  <c r="S65" i="16"/>
  <c r="AS65" i="16" s="1"/>
  <c r="T65" i="16"/>
  <c r="AT65" i="16" s="1"/>
  <c r="U65" i="16"/>
  <c r="AU65" i="16" s="1"/>
  <c r="R66" i="16"/>
  <c r="AR66" i="16" s="1"/>
  <c r="S66" i="16"/>
  <c r="AS66" i="16" s="1"/>
  <c r="T66" i="16"/>
  <c r="AT66" i="16" s="1"/>
  <c r="U66" i="16"/>
  <c r="AU66" i="16" s="1"/>
  <c r="R68" i="16"/>
  <c r="AR68" i="16" s="1"/>
  <c r="S68" i="16"/>
  <c r="AS68" i="16" s="1"/>
  <c r="T68" i="16"/>
  <c r="AT68" i="16" s="1"/>
  <c r="U68" i="16"/>
  <c r="R69" i="16"/>
  <c r="S69" i="16"/>
  <c r="AS69" i="16" s="1"/>
  <c r="T69" i="16"/>
  <c r="AT69" i="16" s="1"/>
  <c r="U69" i="16"/>
  <c r="AU69" i="16" s="1"/>
  <c r="R72" i="16"/>
  <c r="AR72" i="16" s="1"/>
  <c r="S72" i="16"/>
  <c r="AS72" i="16" s="1"/>
  <c r="T72" i="16"/>
  <c r="AT72" i="16" s="1"/>
  <c r="U72" i="16"/>
  <c r="AU72" i="16" s="1"/>
  <c r="R73" i="16"/>
  <c r="AR73" i="16" s="1"/>
  <c r="S73" i="16"/>
  <c r="AS73" i="16" s="1"/>
  <c r="T73" i="16"/>
  <c r="U73" i="16"/>
  <c r="R75" i="16"/>
  <c r="AR75" i="16" s="1"/>
  <c r="S75" i="16"/>
  <c r="AS75" i="16" s="1"/>
  <c r="T75" i="16"/>
  <c r="AT75" i="16" s="1"/>
  <c r="U75" i="16"/>
  <c r="AU75" i="16" s="1"/>
  <c r="R77" i="16"/>
  <c r="AR77" i="16" s="1"/>
  <c r="S77" i="16"/>
  <c r="AS77" i="16" s="1"/>
  <c r="T77" i="16"/>
  <c r="AT77" i="16" s="1"/>
  <c r="U77" i="16"/>
  <c r="AU77" i="16" s="1"/>
  <c r="R78" i="16"/>
  <c r="AR78" i="16" s="1"/>
  <c r="S78" i="16"/>
  <c r="AS78" i="16" s="1"/>
  <c r="T78" i="16"/>
  <c r="AT78" i="16" s="1"/>
  <c r="U78" i="16"/>
  <c r="AU78" i="16" s="1"/>
  <c r="R79" i="16"/>
  <c r="S79" i="16"/>
  <c r="T79" i="16"/>
  <c r="AT79" i="16" s="1"/>
  <c r="U79" i="16"/>
  <c r="AU79" i="16" s="1"/>
  <c r="R80" i="16"/>
  <c r="AR80" i="16" s="1"/>
  <c r="S80" i="16"/>
  <c r="AS80" i="16" s="1"/>
  <c r="T80" i="16"/>
  <c r="AT80" i="16" s="1"/>
  <c r="U80" i="16"/>
  <c r="AU80" i="16" s="1"/>
  <c r="R81" i="16"/>
  <c r="S81" i="16"/>
  <c r="T81" i="16"/>
  <c r="AT81" i="16" s="1"/>
  <c r="U81" i="16"/>
  <c r="AU81" i="16" s="1"/>
  <c r="R82" i="16"/>
  <c r="AR82" i="16" s="1"/>
  <c r="S82" i="16"/>
  <c r="AS82" i="16" s="1"/>
  <c r="T82" i="16"/>
  <c r="AT82" i="16" s="1"/>
  <c r="U82" i="16"/>
  <c r="AU82" i="16" s="1"/>
  <c r="R83" i="16"/>
  <c r="S83" i="16"/>
  <c r="T83" i="16"/>
  <c r="AT83" i="16" s="1"/>
  <c r="U83" i="16"/>
  <c r="AU83" i="16" s="1"/>
  <c r="R84" i="16"/>
  <c r="AR84" i="16" s="1"/>
  <c r="S84" i="16"/>
  <c r="AS84" i="16" s="1"/>
  <c r="T84" i="16"/>
  <c r="AT84" i="16" s="1"/>
  <c r="U84" i="16"/>
  <c r="AU84" i="16" s="1"/>
  <c r="U86" i="16"/>
  <c r="S86" i="16" s="1"/>
  <c r="AS86" i="16" s="1"/>
  <c r="R88" i="16"/>
  <c r="S88" i="16"/>
  <c r="AS88" i="16" s="1"/>
  <c r="T88" i="16"/>
  <c r="AT88" i="16" s="1"/>
  <c r="U88" i="16"/>
  <c r="AU88" i="16" s="1"/>
  <c r="R89" i="16"/>
  <c r="AR89" i="16" s="1"/>
  <c r="S89" i="16"/>
  <c r="AS89" i="16" s="1"/>
  <c r="T89" i="16"/>
  <c r="AT89" i="16" s="1"/>
  <c r="U89" i="16"/>
  <c r="AU89" i="16" s="1"/>
  <c r="R92" i="16"/>
  <c r="AR92" i="16" s="1"/>
  <c r="S92" i="16"/>
  <c r="AS92" i="16" s="1"/>
  <c r="T92" i="16"/>
  <c r="AT92" i="16" s="1"/>
  <c r="U92" i="16"/>
  <c r="AU92" i="16" s="1"/>
  <c r="R93" i="16"/>
  <c r="S93" i="16"/>
  <c r="T93" i="16"/>
  <c r="AT93" i="16" s="1"/>
  <c r="U93" i="16"/>
  <c r="AU93" i="16" s="1"/>
  <c r="R95" i="16"/>
  <c r="AR95" i="16" s="1"/>
  <c r="S95" i="16"/>
  <c r="AS95" i="16" s="1"/>
  <c r="T95" i="16"/>
  <c r="U95" i="16"/>
  <c r="R96" i="16"/>
  <c r="AR96" i="16" s="1"/>
  <c r="S96" i="16"/>
  <c r="AS96" i="16" s="1"/>
  <c r="T96" i="16"/>
  <c r="AT96" i="16" s="1"/>
  <c r="U96" i="16"/>
  <c r="AU96" i="16" s="1"/>
  <c r="R98" i="16"/>
  <c r="AR98" i="16" s="1"/>
  <c r="S98" i="16"/>
  <c r="AS98" i="16" s="1"/>
  <c r="T98" i="16"/>
  <c r="AT98" i="16" s="1"/>
  <c r="U98" i="16"/>
  <c r="AU98" i="16" s="1"/>
  <c r="R99" i="16"/>
  <c r="AR99" i="16" s="1"/>
  <c r="S99" i="16"/>
  <c r="AS99" i="16" s="1"/>
  <c r="T99" i="16"/>
  <c r="AT99" i="16" s="1"/>
  <c r="U99" i="16"/>
  <c r="R100" i="16"/>
  <c r="AR100" i="16" s="1"/>
  <c r="S100" i="16"/>
  <c r="AS100" i="16" s="1"/>
  <c r="T100" i="16"/>
  <c r="AT100" i="16" s="1"/>
  <c r="U100" i="16"/>
  <c r="AU100" i="16" s="1"/>
  <c r="R101" i="16"/>
  <c r="S101" i="16"/>
  <c r="T101" i="16"/>
  <c r="U101" i="16"/>
  <c r="AU101" i="16" s="1"/>
  <c r="R14" i="15"/>
  <c r="S14" i="15"/>
  <c r="T14" i="15"/>
  <c r="U14" i="15"/>
  <c r="R15" i="15"/>
  <c r="S15" i="15"/>
  <c r="T15" i="15"/>
  <c r="U15" i="15"/>
  <c r="R16" i="15"/>
  <c r="R17" i="15"/>
  <c r="S17" i="15"/>
  <c r="T17" i="15"/>
  <c r="U17" i="15"/>
  <c r="R18" i="15"/>
  <c r="S18" i="15"/>
  <c r="T18" i="15"/>
  <c r="U18" i="15"/>
  <c r="R19" i="15"/>
  <c r="S19" i="15"/>
  <c r="T19" i="15"/>
  <c r="U19" i="15"/>
  <c r="R20" i="15"/>
  <c r="S20" i="15"/>
  <c r="T20" i="15"/>
  <c r="U20" i="15"/>
  <c r="R21" i="15"/>
  <c r="S21" i="15"/>
  <c r="T21" i="15"/>
  <c r="U21" i="15"/>
  <c r="R22" i="15"/>
  <c r="S22" i="15"/>
  <c r="T22" i="15"/>
  <c r="U22" i="15"/>
  <c r="R23" i="15"/>
  <c r="S23" i="15"/>
  <c r="T23" i="15"/>
  <c r="U23" i="15"/>
  <c r="R24" i="15"/>
  <c r="S24" i="15"/>
  <c r="T24" i="15"/>
  <c r="U24" i="15"/>
  <c r="R25" i="15"/>
  <c r="R27" i="15"/>
  <c r="S27" i="15"/>
  <c r="T27" i="15"/>
  <c r="U27" i="15"/>
  <c r="R28" i="15"/>
  <c r="S28" i="15"/>
  <c r="T28" i="15"/>
  <c r="U28" i="15"/>
  <c r="R29" i="15"/>
  <c r="S29" i="15"/>
  <c r="T29" i="15"/>
  <c r="U29" i="15"/>
  <c r="R30" i="15"/>
  <c r="S30" i="15"/>
  <c r="T30" i="15"/>
  <c r="U30" i="15"/>
  <c r="R31" i="15"/>
  <c r="S31" i="15"/>
  <c r="T31" i="15"/>
  <c r="U31" i="15"/>
  <c r="R32" i="15"/>
  <c r="S32" i="15"/>
  <c r="T32" i="15"/>
  <c r="U32" i="15"/>
  <c r="R33" i="15"/>
  <c r="R34" i="15"/>
  <c r="S34" i="15"/>
  <c r="T34" i="15"/>
  <c r="U34" i="15"/>
  <c r="R35" i="15"/>
  <c r="S35" i="15"/>
  <c r="T35" i="15"/>
  <c r="U35" i="15"/>
  <c r="R36" i="15"/>
  <c r="S36" i="15"/>
  <c r="T36" i="15"/>
  <c r="U36" i="15"/>
  <c r="R37" i="15"/>
  <c r="S37" i="15"/>
  <c r="T37" i="15"/>
  <c r="U37" i="15"/>
  <c r="R38" i="15"/>
  <c r="S38" i="15"/>
  <c r="T38" i="15"/>
  <c r="U38" i="15"/>
  <c r="R39" i="15"/>
  <c r="S39" i="15"/>
  <c r="T39" i="15"/>
  <c r="U39" i="15"/>
  <c r="T40" i="15"/>
  <c r="U40" i="15"/>
  <c r="R41" i="15"/>
  <c r="R42" i="15"/>
  <c r="S42" i="15"/>
  <c r="T42" i="15"/>
  <c r="U42" i="15"/>
  <c r="R43" i="15"/>
  <c r="S43" i="15"/>
  <c r="T43" i="15"/>
  <c r="U43" i="15"/>
  <c r="R44" i="15"/>
  <c r="S44" i="15"/>
  <c r="T44" i="15"/>
  <c r="U44" i="15"/>
  <c r="R45" i="15"/>
  <c r="S45" i="15"/>
  <c r="T45" i="15"/>
  <c r="U45" i="15"/>
  <c r="R46" i="15"/>
  <c r="S46" i="15"/>
  <c r="T46" i="15"/>
  <c r="U46" i="15"/>
  <c r="R47" i="15"/>
  <c r="S47" i="15"/>
  <c r="T47" i="15"/>
  <c r="U47" i="15"/>
  <c r="R49" i="15"/>
  <c r="S49" i="15"/>
  <c r="T49" i="15"/>
  <c r="U49" i="15"/>
  <c r="R50" i="15"/>
  <c r="R51" i="15"/>
  <c r="S51" i="15"/>
  <c r="T51" i="15"/>
  <c r="U51" i="15"/>
  <c r="R52" i="15"/>
  <c r="S52" i="15"/>
  <c r="T52" i="15"/>
  <c r="U52" i="15"/>
  <c r="R53" i="15"/>
  <c r="S53" i="15"/>
  <c r="T53" i="15"/>
  <c r="U53" i="15"/>
  <c r="R54" i="15"/>
  <c r="S54" i="15"/>
  <c r="R55" i="15"/>
  <c r="R56" i="15"/>
  <c r="S56" i="15"/>
  <c r="T56" i="15"/>
  <c r="U56" i="15"/>
  <c r="R58" i="15"/>
  <c r="R59" i="15"/>
  <c r="S59" i="15"/>
  <c r="T59" i="15"/>
  <c r="U59" i="15"/>
  <c r="R60" i="15"/>
  <c r="S60" i="15"/>
  <c r="R61" i="15"/>
  <c r="S61" i="15"/>
  <c r="T61" i="15"/>
  <c r="U61" i="15"/>
  <c r="R62" i="15"/>
  <c r="R63" i="15"/>
  <c r="S63" i="15"/>
  <c r="R64" i="15"/>
  <c r="S64" i="15"/>
  <c r="R65" i="15"/>
  <c r="S65" i="15"/>
  <c r="T65" i="15"/>
  <c r="U65" i="15"/>
  <c r="R66" i="15"/>
  <c r="S66" i="15"/>
  <c r="T66" i="15"/>
  <c r="U66" i="15"/>
  <c r="R67" i="15"/>
  <c r="S67" i="15"/>
  <c r="R68" i="15"/>
  <c r="S68" i="15"/>
  <c r="T68" i="15"/>
  <c r="U68" i="15"/>
  <c r="R69" i="15"/>
  <c r="S69" i="15"/>
  <c r="T69" i="15"/>
  <c r="U69" i="15"/>
  <c r="R70" i="15"/>
  <c r="S70" i="15"/>
  <c r="U70" i="15"/>
  <c r="R71" i="15"/>
  <c r="S71" i="15"/>
  <c r="R72" i="15"/>
  <c r="S72" i="15"/>
  <c r="T72" i="15"/>
  <c r="U72" i="15"/>
  <c r="R73" i="15"/>
  <c r="S73" i="15"/>
  <c r="T73" i="15"/>
  <c r="U73" i="15"/>
  <c r="R74" i="15"/>
  <c r="S74" i="15"/>
  <c r="R75" i="15"/>
  <c r="S75" i="15"/>
  <c r="T75" i="15"/>
  <c r="U75" i="15"/>
  <c r="R76" i="15"/>
  <c r="S76" i="15"/>
  <c r="R77" i="15"/>
  <c r="S77" i="15"/>
  <c r="T77" i="15"/>
  <c r="U77" i="15"/>
  <c r="R78" i="15"/>
  <c r="S78" i="15"/>
  <c r="T78" i="15"/>
  <c r="U78" i="15"/>
  <c r="R79" i="15"/>
  <c r="S79" i="15"/>
  <c r="T79" i="15"/>
  <c r="U79" i="15"/>
  <c r="R80" i="15"/>
  <c r="S80" i="15"/>
  <c r="T80" i="15"/>
  <c r="U80" i="15"/>
  <c r="R81" i="15"/>
  <c r="S81" i="15"/>
  <c r="T81" i="15"/>
  <c r="U81" i="15"/>
  <c r="R82" i="15"/>
  <c r="S82" i="15"/>
  <c r="T82" i="15"/>
  <c r="U82" i="15"/>
  <c r="R83" i="15"/>
  <c r="S83" i="15"/>
  <c r="T83" i="15"/>
  <c r="U83" i="15"/>
  <c r="R84" i="15"/>
  <c r="S84" i="15"/>
  <c r="T84" i="15"/>
  <c r="U84" i="15"/>
  <c r="R85" i="15"/>
  <c r="S85" i="15"/>
  <c r="R86" i="15"/>
  <c r="S86" i="15"/>
  <c r="U86" i="15"/>
  <c r="R88" i="15"/>
  <c r="S88" i="15"/>
  <c r="T88" i="15"/>
  <c r="U88" i="15"/>
  <c r="R89" i="15"/>
  <c r="S89" i="15"/>
  <c r="T89" i="15"/>
  <c r="U89" i="15"/>
  <c r="R90" i="15"/>
  <c r="S90" i="15"/>
  <c r="U90" i="15"/>
  <c r="R91" i="15"/>
  <c r="S91" i="15"/>
  <c r="R92" i="15"/>
  <c r="S92" i="15"/>
  <c r="T92" i="15"/>
  <c r="U92" i="15"/>
  <c r="R93" i="15"/>
  <c r="S93" i="15"/>
  <c r="T93" i="15"/>
  <c r="U93" i="15"/>
  <c r="R94" i="15"/>
  <c r="S94" i="15"/>
  <c r="R95" i="15"/>
  <c r="S95" i="15"/>
  <c r="T95" i="15"/>
  <c r="U95" i="15"/>
  <c r="R96" i="15"/>
  <c r="S96" i="15"/>
  <c r="T96" i="15"/>
  <c r="U96" i="15"/>
  <c r="R97" i="15"/>
  <c r="S97" i="15"/>
  <c r="R98" i="15"/>
  <c r="S98" i="15"/>
  <c r="T98" i="15"/>
  <c r="U98" i="15"/>
  <c r="R99" i="15"/>
  <c r="S99" i="15"/>
  <c r="T99" i="15"/>
  <c r="U99" i="15"/>
  <c r="R100" i="15"/>
  <c r="S100" i="15"/>
  <c r="T100" i="15"/>
  <c r="U100" i="15"/>
  <c r="R101" i="15"/>
  <c r="S101" i="15"/>
  <c r="T101" i="15"/>
  <c r="U101" i="15"/>
  <c r="AI14" i="16"/>
  <c r="M15" i="16"/>
  <c r="AI15" i="16" s="1"/>
  <c r="M16" i="16"/>
  <c r="M17" i="16"/>
  <c r="AI17" i="16" s="1"/>
  <c r="M18" i="16"/>
  <c r="AI18" i="16" s="1"/>
  <c r="M19" i="16"/>
  <c r="AI19" i="16" s="1"/>
  <c r="M20" i="16"/>
  <c r="AI20" i="16" s="1"/>
  <c r="M21" i="16"/>
  <c r="AI21" i="16" s="1"/>
  <c r="M22" i="16"/>
  <c r="AI22" i="16" s="1"/>
  <c r="M23" i="16"/>
  <c r="AI23" i="16" s="1"/>
  <c r="M24" i="16"/>
  <c r="AI24" i="16" s="1"/>
  <c r="M25" i="16"/>
  <c r="AI25" i="16" s="1"/>
  <c r="M26" i="16"/>
  <c r="Q26" i="16" s="1"/>
  <c r="AM26" i="16" s="1"/>
  <c r="M27" i="16"/>
  <c r="AI27" i="16" s="1"/>
  <c r="M28" i="16"/>
  <c r="AI28" i="16" s="1"/>
  <c r="M29" i="16"/>
  <c r="AI29" i="16" s="1"/>
  <c r="M30" i="16"/>
  <c r="AI30" i="16" s="1"/>
  <c r="M31" i="16"/>
  <c r="AI31" i="16" s="1"/>
  <c r="M32" i="16"/>
  <c r="AI32" i="16" s="1"/>
  <c r="M33" i="16"/>
  <c r="M34" i="16"/>
  <c r="AI34" i="16" s="1"/>
  <c r="M35" i="16"/>
  <c r="AI35" i="16" s="1"/>
  <c r="M36" i="16"/>
  <c r="AI36" i="16" s="1"/>
  <c r="M37" i="16"/>
  <c r="AI37" i="16" s="1"/>
  <c r="M38" i="16"/>
  <c r="AI38" i="16" s="1"/>
  <c r="M39" i="16"/>
  <c r="AI39" i="16" s="1"/>
  <c r="M40" i="16"/>
  <c r="AI40" i="16" s="1"/>
  <c r="M41" i="16"/>
  <c r="M42" i="16"/>
  <c r="AI42" i="16" s="1"/>
  <c r="M43" i="16"/>
  <c r="AI43" i="16" s="1"/>
  <c r="M44" i="16"/>
  <c r="AI44" i="16" s="1"/>
  <c r="M45" i="16"/>
  <c r="AI45" i="16" s="1"/>
  <c r="M46" i="16"/>
  <c r="AI46" i="16" s="1"/>
  <c r="M47" i="16"/>
  <c r="AI47" i="16" s="1"/>
  <c r="M48" i="16"/>
  <c r="N48" i="16" s="1"/>
  <c r="M49" i="16"/>
  <c r="AI49" i="16" s="1"/>
  <c r="M50" i="16"/>
  <c r="Q50" i="16" s="1"/>
  <c r="AM50" i="16" s="1"/>
  <c r="M51" i="16"/>
  <c r="AI51" i="16" s="1"/>
  <c r="M52" i="16"/>
  <c r="AI52" i="16" s="1"/>
  <c r="M53" i="16"/>
  <c r="AI53" i="16" s="1"/>
  <c r="M54" i="16"/>
  <c r="AI54" i="16" s="1"/>
  <c r="M55" i="16"/>
  <c r="AI55" i="16" s="1"/>
  <c r="M56" i="16"/>
  <c r="AI56" i="16" s="1"/>
  <c r="M58" i="16"/>
  <c r="Q58" i="16" s="1"/>
  <c r="AM58" i="16" s="1"/>
  <c r="M59" i="16"/>
  <c r="AI59" i="16" s="1"/>
  <c r="M60" i="16"/>
  <c r="AI60" i="16" s="1"/>
  <c r="M61" i="16"/>
  <c r="AI61" i="16" s="1"/>
  <c r="M62" i="16"/>
  <c r="AI62" i="16" s="1"/>
  <c r="M63" i="16"/>
  <c r="AI63" i="16" s="1"/>
  <c r="M64" i="16"/>
  <c r="AI64" i="16" s="1"/>
  <c r="M65" i="16"/>
  <c r="AI65" i="16" s="1"/>
  <c r="M66" i="16"/>
  <c r="AI66" i="16" s="1"/>
  <c r="M67" i="16"/>
  <c r="AI67" i="16" s="1"/>
  <c r="M68" i="16"/>
  <c r="AI68" i="16" s="1"/>
  <c r="M69" i="16"/>
  <c r="AI69" i="16" s="1"/>
  <c r="M70" i="16"/>
  <c r="P70" i="16" s="1"/>
  <c r="AL70" i="16" s="1"/>
  <c r="M71" i="16"/>
  <c r="Q71" i="16" s="1"/>
  <c r="AM71" i="16" s="1"/>
  <c r="M72" i="16"/>
  <c r="AI72" i="16" s="1"/>
  <c r="M73" i="16"/>
  <c r="AI73" i="16" s="1"/>
  <c r="M74" i="16"/>
  <c r="Q74" i="16" s="1"/>
  <c r="AM74" i="16" s="1"/>
  <c r="M75" i="16"/>
  <c r="AI75" i="16" s="1"/>
  <c r="M76" i="16"/>
  <c r="AI76" i="16" s="1"/>
  <c r="M77" i="16"/>
  <c r="AI77" i="16" s="1"/>
  <c r="M78" i="16"/>
  <c r="AI78" i="16" s="1"/>
  <c r="M79" i="16"/>
  <c r="AI79" i="16" s="1"/>
  <c r="M80" i="16"/>
  <c r="AI80" i="16" s="1"/>
  <c r="M81" i="16"/>
  <c r="AI81" i="16" s="1"/>
  <c r="M82" i="16"/>
  <c r="AI82" i="16" s="1"/>
  <c r="M83" i="16"/>
  <c r="AI83" i="16" s="1"/>
  <c r="M84" i="16"/>
  <c r="AI84" i="16" s="1"/>
  <c r="M85" i="16"/>
  <c r="AI85" i="16" s="1"/>
  <c r="M86" i="16"/>
  <c r="AI86" i="16" s="1"/>
  <c r="M87" i="16"/>
  <c r="AI87" i="16" s="1"/>
  <c r="M88" i="16"/>
  <c r="AI88" i="16" s="1"/>
  <c r="M89" i="16"/>
  <c r="AI89" i="16" s="1"/>
  <c r="M90" i="16"/>
  <c r="AI90" i="16" s="1"/>
  <c r="M91" i="16"/>
  <c r="AI91" i="16" s="1"/>
  <c r="M92" i="16"/>
  <c r="AI92" i="16" s="1"/>
  <c r="M93" i="16"/>
  <c r="AI93" i="16" s="1"/>
  <c r="M94" i="16"/>
  <c r="AI94" i="16" s="1"/>
  <c r="M95" i="16"/>
  <c r="AI95" i="16" s="1"/>
  <c r="M96" i="16"/>
  <c r="AI96" i="16" s="1"/>
  <c r="M97" i="16"/>
  <c r="AI97" i="16" s="1"/>
  <c r="M98" i="16"/>
  <c r="AI98" i="16" s="1"/>
  <c r="M99" i="16"/>
  <c r="AI99" i="16" s="1"/>
  <c r="M100" i="16"/>
  <c r="AI100" i="16" s="1"/>
  <c r="M101" i="16"/>
  <c r="AI101" i="16" s="1"/>
  <c r="C4" i="16"/>
  <c r="C3" i="16"/>
  <c r="C2" i="16"/>
  <c r="AI16" i="16" l="1"/>
  <c r="Q16" i="16"/>
  <c r="AJ48" i="16"/>
  <c r="V33" i="15"/>
  <c r="V50" i="15"/>
  <c r="V16" i="15"/>
  <c r="V55" i="15"/>
  <c r="V25" i="15"/>
  <c r="V90" i="15"/>
  <c r="V63" i="15"/>
  <c r="V49" i="15"/>
  <c r="P95" i="16"/>
  <c r="AL95" i="16" s="1"/>
  <c r="Q68" i="16"/>
  <c r="AM68" i="16" s="1"/>
  <c r="O45" i="16"/>
  <c r="AK45" i="16" s="1"/>
  <c r="O43" i="16"/>
  <c r="AK43" i="16" s="1"/>
  <c r="O32" i="16"/>
  <c r="AK32" i="16" s="1"/>
  <c r="O30" i="16"/>
  <c r="AK30" i="16" s="1"/>
  <c r="Q40" i="16"/>
  <c r="AM40" i="16" s="1"/>
  <c r="O67" i="16"/>
  <c r="AK67" i="16" s="1"/>
  <c r="N76" i="16"/>
  <c r="Q87" i="16"/>
  <c r="AM87" i="16" s="1"/>
  <c r="Q64" i="16"/>
  <c r="AM64" i="16" s="1"/>
  <c r="Q54" i="16"/>
  <c r="AM54" i="16" s="1"/>
  <c r="O40" i="16"/>
  <c r="AK40" i="16" s="1"/>
  <c r="P26" i="16"/>
  <c r="AL26" i="16" s="1"/>
  <c r="AI74" i="16"/>
  <c r="AI50" i="16"/>
  <c r="P87" i="16"/>
  <c r="AL87" i="16" s="1"/>
  <c r="O50" i="16"/>
  <c r="AK50" i="16" s="1"/>
  <c r="P67" i="16"/>
  <c r="AL67" i="16" s="1"/>
  <c r="N97" i="16"/>
  <c r="Q97" i="16"/>
  <c r="AM97" i="16" s="1"/>
  <c r="O87" i="16"/>
  <c r="AK87" i="16" s="1"/>
  <c r="Q63" i="16"/>
  <c r="AM63" i="16" s="1"/>
  <c r="P54" i="16"/>
  <c r="AL54" i="16" s="1"/>
  <c r="N40" i="16"/>
  <c r="O26" i="16"/>
  <c r="AK26" i="16" s="1"/>
  <c r="AI58" i="16"/>
  <c r="AI41" i="16"/>
  <c r="P86" i="16"/>
  <c r="AL86" i="16" s="1"/>
  <c r="Q24" i="16"/>
  <c r="AM24" i="16" s="1"/>
  <c r="Q22" i="16"/>
  <c r="AM22" i="16" s="1"/>
  <c r="Q20" i="16"/>
  <c r="AM20" i="16" s="1"/>
  <c r="Q18" i="16"/>
  <c r="AM18" i="16" s="1"/>
  <c r="O63" i="16"/>
  <c r="AK63" i="16" s="1"/>
  <c r="O97" i="16"/>
  <c r="AK97" i="16" s="1"/>
  <c r="Q94" i="16"/>
  <c r="AM94" i="16" s="1"/>
  <c r="N87" i="16"/>
  <c r="Q62" i="16"/>
  <c r="AM62" i="16" s="1"/>
  <c r="N26" i="16"/>
  <c r="AI48" i="16"/>
  <c r="AI33" i="16"/>
  <c r="AI26" i="16"/>
  <c r="N60" i="16"/>
  <c r="P22" i="16"/>
  <c r="AL22" i="16" s="1"/>
  <c r="N58" i="16"/>
  <c r="P63" i="16"/>
  <c r="AL63" i="16" s="1"/>
  <c r="N91" i="16"/>
  <c r="Q76" i="16"/>
  <c r="AM76" i="16" s="1"/>
  <c r="Q48" i="16"/>
  <c r="AM48" i="16" s="1"/>
  <c r="AI71" i="16"/>
  <c r="Q85" i="16"/>
  <c r="AM85" i="16" s="1"/>
  <c r="P101" i="16"/>
  <c r="AL101" i="16" s="1"/>
  <c r="Q73" i="16"/>
  <c r="AM73" i="16" s="1"/>
  <c r="Q59" i="16"/>
  <c r="AM59" i="16" s="1"/>
  <c r="AS63" i="16"/>
  <c r="P48" i="16"/>
  <c r="AL48" i="16" s="1"/>
  <c r="AI70" i="16"/>
  <c r="O101" i="16"/>
  <c r="AK101" i="16" s="1"/>
  <c r="O93" i="16"/>
  <c r="AK93" i="16" s="1"/>
  <c r="P73" i="16"/>
  <c r="AL73" i="16" s="1"/>
  <c r="N49" i="16"/>
  <c r="N74" i="16"/>
  <c r="O48" i="16"/>
  <c r="AK48" i="16" s="1"/>
  <c r="N93" i="16"/>
  <c r="N88" i="16"/>
  <c r="O83" i="16"/>
  <c r="AK83" i="16" s="1"/>
  <c r="O81" i="16"/>
  <c r="AK81" i="16" s="1"/>
  <c r="O79" i="16"/>
  <c r="AK79" i="16" s="1"/>
  <c r="O54" i="16"/>
  <c r="AK54" i="16" s="1"/>
  <c r="Q95" i="16"/>
  <c r="AM95" i="16" s="1"/>
  <c r="N83" i="16"/>
  <c r="N81" i="16"/>
  <c r="N79" i="16"/>
  <c r="N69" i="16"/>
  <c r="N61" i="16"/>
  <c r="P53" i="16"/>
  <c r="AL53" i="16" s="1"/>
  <c r="P51" i="16"/>
  <c r="AL51" i="16" s="1"/>
  <c r="P43" i="16"/>
  <c r="AL43" i="16" s="1"/>
  <c r="P30" i="16"/>
  <c r="AL30" i="16" s="1"/>
  <c r="P40" i="16"/>
  <c r="AL40" i="16" s="1"/>
  <c r="Q91" i="16"/>
  <c r="AM91" i="16" s="1"/>
  <c r="Q67" i="16"/>
  <c r="AM67" i="16" s="1"/>
  <c r="V73" i="15"/>
  <c r="V70" i="15"/>
  <c r="V15" i="15"/>
  <c r="AR101" i="16"/>
  <c r="N101" i="16"/>
  <c r="V41" i="15"/>
  <c r="V100" i="15"/>
  <c r="V68" i="15"/>
  <c r="V67" i="15"/>
  <c r="V56" i="15"/>
  <c r="V47" i="15"/>
  <c r="V45" i="15"/>
  <c r="V43" i="15"/>
  <c r="V34" i="15"/>
  <c r="V32" i="15"/>
  <c r="V30" i="15"/>
  <c r="V85" i="15"/>
  <c r="V72" i="15"/>
  <c r="V21" i="15"/>
  <c r="V89" i="15"/>
  <c r="V65" i="15"/>
  <c r="V27" i="15"/>
  <c r="V19" i="15"/>
  <c r="AR74" i="16"/>
  <c r="AS54" i="16"/>
  <c r="V58" i="15"/>
  <c r="Q60" i="16"/>
  <c r="AM60" i="16" s="1"/>
  <c r="V91" i="15"/>
  <c r="V74" i="15"/>
  <c r="V23" i="15"/>
  <c r="V95" i="15"/>
  <c r="V81" i="15"/>
  <c r="V98" i="15"/>
  <c r="V93" i="15"/>
  <c r="V86" i="15"/>
  <c r="V75" i="15"/>
  <c r="V60" i="15"/>
  <c r="V53" i="15"/>
  <c r="V51" i="15"/>
  <c r="V40" i="15"/>
  <c r="V38" i="15"/>
  <c r="V37" i="15"/>
  <c r="V35" i="15"/>
  <c r="AR58" i="16"/>
  <c r="V97" i="15"/>
  <c r="V83" i="15"/>
  <c r="V101" i="15"/>
  <c r="V69" i="15"/>
  <c r="V64" i="15"/>
  <c r="V14" i="15"/>
  <c r="P64" i="16"/>
  <c r="AL64" i="16" s="1"/>
  <c r="N46" i="16"/>
  <c r="V77" i="15"/>
  <c r="V99" i="15"/>
  <c r="V94" i="15"/>
  <c r="V92" i="15"/>
  <c r="V76" i="15"/>
  <c r="V71" i="15"/>
  <c r="V59" i="15"/>
  <c r="V54" i="15"/>
  <c r="V52" i="15"/>
  <c r="V39" i="15"/>
  <c r="V36" i="15"/>
  <c r="Q86" i="16"/>
  <c r="AM86" i="16" s="1"/>
  <c r="V79" i="15"/>
  <c r="V17" i="15"/>
  <c r="V66" i="15"/>
  <c r="V46" i="15"/>
  <c r="V44" i="15"/>
  <c r="V42" i="15"/>
  <c r="V31" i="15"/>
  <c r="V29" i="15"/>
  <c r="V28" i="15"/>
  <c r="AT63" i="16"/>
  <c r="N54" i="16"/>
  <c r="W54" i="16" s="1"/>
  <c r="V61" i="15"/>
  <c r="V88" i="15"/>
  <c r="V96" i="15"/>
  <c r="V84" i="15"/>
  <c r="V82" i="15"/>
  <c r="V80" i="15"/>
  <c r="V78" i="15"/>
  <c r="V62" i="15"/>
  <c r="V24" i="15"/>
  <c r="V22" i="15"/>
  <c r="V20" i="15"/>
  <c r="V18" i="15"/>
  <c r="N94" i="16"/>
  <c r="P74" i="16"/>
  <c r="AL74" i="16" s="1"/>
  <c r="N29" i="16"/>
  <c r="AS67" i="16"/>
  <c r="AR76" i="16"/>
  <c r="P94" i="16"/>
  <c r="AL94" i="16" s="1"/>
  <c r="N66" i="16"/>
  <c r="N22" i="16"/>
  <c r="AS43" i="16"/>
  <c r="N84" i="16"/>
  <c r="N52" i="16"/>
  <c r="N44" i="16"/>
  <c r="N28" i="16"/>
  <c r="N20" i="16"/>
  <c r="AS30" i="16"/>
  <c r="AT67" i="16"/>
  <c r="N82" i="16"/>
  <c r="N72" i="16"/>
  <c r="N42" i="16"/>
  <c r="N18" i="16"/>
  <c r="N92" i="16"/>
  <c r="N80" i="16"/>
  <c r="N59" i="16"/>
  <c r="N50" i="16"/>
  <c r="N37" i="16"/>
  <c r="AU68" i="16"/>
  <c r="N78" i="16"/>
  <c r="N35" i="16"/>
  <c r="N14" i="16"/>
  <c r="AS97" i="16"/>
  <c r="N70" i="16"/>
  <c r="P62" i="16"/>
  <c r="AL62" i="16" s="1"/>
  <c r="N56" i="16"/>
  <c r="AU20" i="16"/>
  <c r="AR97" i="16"/>
  <c r="AR91" i="16"/>
  <c r="N98" i="16"/>
  <c r="N68" i="16"/>
  <c r="N62" i="16"/>
  <c r="N38" i="16"/>
  <c r="AT95" i="16"/>
  <c r="AU59" i="16"/>
  <c r="AS50" i="16"/>
  <c r="N31" i="16"/>
  <c r="N24" i="16"/>
  <c r="AS81" i="16"/>
  <c r="N64" i="16"/>
  <c r="AT101" i="16"/>
  <c r="AR88" i="16"/>
  <c r="AS83" i="16"/>
  <c r="AU53" i="16"/>
  <c r="AR49" i="16"/>
  <c r="AS45" i="16"/>
  <c r="AS32" i="16"/>
  <c r="AT22" i="16"/>
  <c r="P98" i="16"/>
  <c r="AL98" i="16" s="1"/>
  <c r="P96" i="16"/>
  <c r="AL96" i="16" s="1"/>
  <c r="P92" i="16"/>
  <c r="AL92" i="16" s="1"/>
  <c r="P88" i="16"/>
  <c r="AL88" i="16" s="1"/>
  <c r="P84" i="16"/>
  <c r="AL84" i="16" s="1"/>
  <c r="P82" i="16"/>
  <c r="AL82" i="16" s="1"/>
  <c r="P80" i="16"/>
  <c r="AL80" i="16" s="1"/>
  <c r="P78" i="16"/>
  <c r="AL78" i="16" s="1"/>
  <c r="P76" i="16"/>
  <c r="AL76" i="16" s="1"/>
  <c r="P72" i="16"/>
  <c r="AL72" i="16" s="1"/>
  <c r="P68" i="16"/>
  <c r="AL68" i="16" s="1"/>
  <c r="P66" i="16"/>
  <c r="AL66" i="16" s="1"/>
  <c r="P59" i="16"/>
  <c r="AL59" i="16" s="1"/>
  <c r="P56" i="16"/>
  <c r="AL56" i="16" s="1"/>
  <c r="P52" i="16"/>
  <c r="AL52" i="16" s="1"/>
  <c r="P50" i="16"/>
  <c r="AL50" i="16" s="1"/>
  <c r="P46" i="16"/>
  <c r="AL46" i="16" s="1"/>
  <c r="P44" i="16"/>
  <c r="AL44" i="16" s="1"/>
  <c r="P42" i="16"/>
  <c r="AL42" i="16" s="1"/>
  <c r="P38" i="16"/>
  <c r="AL38" i="16" s="1"/>
  <c r="P37" i="16"/>
  <c r="AL37" i="16" s="1"/>
  <c r="P35" i="16"/>
  <c r="AL35" i="16" s="1"/>
  <c r="P31" i="16"/>
  <c r="AL31" i="16" s="1"/>
  <c r="P29" i="16"/>
  <c r="AL29" i="16" s="1"/>
  <c r="P28" i="16"/>
  <c r="AL28" i="16" s="1"/>
  <c r="P24" i="16"/>
  <c r="AL24" i="16" s="1"/>
  <c r="P20" i="16"/>
  <c r="AL20" i="16" s="1"/>
  <c r="P18" i="16"/>
  <c r="AL18" i="16" s="1"/>
  <c r="P14" i="16"/>
  <c r="N96" i="16"/>
  <c r="AS101" i="16"/>
  <c r="AU95" i="16"/>
  <c r="AR83" i="16"/>
  <c r="AR69" i="16"/>
  <c r="AR60" i="16"/>
  <c r="AT53" i="16"/>
  <c r="AT43" i="16"/>
  <c r="AT30" i="16"/>
  <c r="O98" i="16"/>
  <c r="AK98" i="16" s="1"/>
  <c r="O96" i="16"/>
  <c r="AK96" i="16" s="1"/>
  <c r="O94" i="16"/>
  <c r="AK94" i="16" s="1"/>
  <c r="O92" i="16"/>
  <c r="AK92" i="16" s="1"/>
  <c r="O90" i="16"/>
  <c r="AK90" i="16" s="1"/>
  <c r="O88" i="16"/>
  <c r="AK88" i="16" s="1"/>
  <c r="O86" i="16"/>
  <c r="AK86" i="16" s="1"/>
  <c r="O84" i="16"/>
  <c r="AK84" i="16" s="1"/>
  <c r="O82" i="16"/>
  <c r="AK82" i="16" s="1"/>
  <c r="O80" i="16"/>
  <c r="AK80" i="16" s="1"/>
  <c r="O78" i="16"/>
  <c r="AK78" i="16" s="1"/>
  <c r="O76" i="16"/>
  <c r="AK76" i="16" s="1"/>
  <c r="O74" i="16"/>
  <c r="AK74" i="16" s="1"/>
  <c r="O72" i="16"/>
  <c r="AK72" i="16" s="1"/>
  <c r="O70" i="16"/>
  <c r="AK70" i="16" s="1"/>
  <c r="O68" i="16"/>
  <c r="AK68" i="16" s="1"/>
  <c r="O66" i="16"/>
  <c r="AK66" i="16" s="1"/>
  <c r="O64" i="16"/>
  <c r="AK64" i="16" s="1"/>
  <c r="O62" i="16"/>
  <c r="AK62" i="16" s="1"/>
  <c r="O59" i="16"/>
  <c r="AK59" i="16" s="1"/>
  <c r="O56" i="16"/>
  <c r="AK56" i="16" s="1"/>
  <c r="O52" i="16"/>
  <c r="AK52" i="16" s="1"/>
  <c r="O46" i="16"/>
  <c r="AK46" i="16" s="1"/>
  <c r="O44" i="16"/>
  <c r="AK44" i="16" s="1"/>
  <c r="O42" i="16"/>
  <c r="AK42" i="16" s="1"/>
  <c r="O38" i="16"/>
  <c r="AK38" i="16" s="1"/>
  <c r="O37" i="16"/>
  <c r="AK37" i="16" s="1"/>
  <c r="O35" i="16"/>
  <c r="AK35" i="16" s="1"/>
  <c r="O31" i="16"/>
  <c r="AK31" i="16" s="1"/>
  <c r="O29" i="16"/>
  <c r="AK29" i="16" s="1"/>
  <c r="O28" i="16"/>
  <c r="AK28" i="16" s="1"/>
  <c r="O24" i="16"/>
  <c r="AK24" i="16" s="1"/>
  <c r="O22" i="16"/>
  <c r="AK22" i="16" s="1"/>
  <c r="O20" i="16"/>
  <c r="AK20" i="16" s="1"/>
  <c r="O18" i="16"/>
  <c r="AK18" i="16" s="1"/>
  <c r="O14" i="16"/>
  <c r="AK14" i="16" s="1"/>
  <c r="AR81" i="16"/>
  <c r="AU73" i="16"/>
  <c r="AT51" i="16"/>
  <c r="Q100" i="16"/>
  <c r="AM100" i="16" s="1"/>
  <c r="Q99" i="16"/>
  <c r="AM99" i="16" s="1"/>
  <c r="Q93" i="16"/>
  <c r="AM93" i="16" s="1"/>
  <c r="Q89" i="16"/>
  <c r="AM89" i="16" s="1"/>
  <c r="Q83" i="16"/>
  <c r="AM83" i="16" s="1"/>
  <c r="Q81" i="16"/>
  <c r="AM81" i="16" s="1"/>
  <c r="Q79" i="16"/>
  <c r="AM79" i="16" s="1"/>
  <c r="Q77" i="16"/>
  <c r="AM77" i="16" s="1"/>
  <c r="Q75" i="16"/>
  <c r="AM75" i="16" s="1"/>
  <c r="Q69" i="16"/>
  <c r="AM69" i="16" s="1"/>
  <c r="Q65" i="16"/>
  <c r="AM65" i="16" s="1"/>
  <c r="Q61" i="16"/>
  <c r="AM61" i="16" s="1"/>
  <c r="Q55" i="16"/>
  <c r="AM55" i="16" s="1"/>
  <c r="Q53" i="16"/>
  <c r="AM53" i="16" s="1"/>
  <c r="Q51" i="16"/>
  <c r="AM51" i="16" s="1"/>
  <c r="Q49" i="16"/>
  <c r="AM49" i="16" s="1"/>
  <c r="Q47" i="16"/>
  <c r="AM47" i="16" s="1"/>
  <c r="Q45" i="16"/>
  <c r="AM45" i="16" s="1"/>
  <c r="Q43" i="16"/>
  <c r="AM43" i="16" s="1"/>
  <c r="Q39" i="16"/>
  <c r="AM39" i="16" s="1"/>
  <c r="Q36" i="16"/>
  <c r="Q34" i="16"/>
  <c r="AM34" i="16" s="1"/>
  <c r="Q32" i="16"/>
  <c r="AM32" i="16" s="1"/>
  <c r="Q30" i="16"/>
  <c r="AM30" i="16" s="1"/>
  <c r="Q27" i="16"/>
  <c r="AM27" i="16" s="1"/>
  <c r="Q23" i="16"/>
  <c r="AM23" i="16" s="1"/>
  <c r="Q21" i="16"/>
  <c r="AM21" i="16" s="1"/>
  <c r="Q19" i="16"/>
  <c r="AM19" i="16" s="1"/>
  <c r="Q17" i="16"/>
  <c r="Q15" i="16"/>
  <c r="AU99" i="16"/>
  <c r="AS93" i="16"/>
  <c r="AS79" i="16"/>
  <c r="AT73" i="16"/>
  <c r="AR61" i="16"/>
  <c r="AU24" i="16"/>
  <c r="P100" i="16"/>
  <c r="AL100" i="16" s="1"/>
  <c r="P99" i="16"/>
  <c r="AL99" i="16" s="1"/>
  <c r="P97" i="16"/>
  <c r="AL97" i="16" s="1"/>
  <c r="P93" i="16"/>
  <c r="AL93" i="16" s="1"/>
  <c r="P91" i="16"/>
  <c r="AL91" i="16" s="1"/>
  <c r="P89" i="16"/>
  <c r="AL89" i="16" s="1"/>
  <c r="P83" i="16"/>
  <c r="AL83" i="16" s="1"/>
  <c r="P81" i="16"/>
  <c r="AL81" i="16" s="1"/>
  <c r="P79" i="16"/>
  <c r="AL79" i="16" s="1"/>
  <c r="P77" i="16"/>
  <c r="AL77" i="16" s="1"/>
  <c r="P75" i="16"/>
  <c r="AL75" i="16" s="1"/>
  <c r="P71" i="16"/>
  <c r="AL71" i="16" s="1"/>
  <c r="P69" i="16"/>
  <c r="AL69" i="16" s="1"/>
  <c r="P65" i="16"/>
  <c r="AL65" i="16" s="1"/>
  <c r="P61" i="16"/>
  <c r="AL61" i="16" s="1"/>
  <c r="AL60" i="16"/>
  <c r="P58" i="16"/>
  <c r="AL58" i="16" s="1"/>
  <c r="P55" i="16"/>
  <c r="AL55" i="16" s="1"/>
  <c r="P49" i="16"/>
  <c r="AL49" i="16" s="1"/>
  <c r="P47" i="16"/>
  <c r="AL47" i="16" s="1"/>
  <c r="P45" i="16"/>
  <c r="AL45" i="16" s="1"/>
  <c r="P39" i="16"/>
  <c r="AL39" i="16" s="1"/>
  <c r="P36" i="16"/>
  <c r="AL36" i="16" s="1"/>
  <c r="P34" i="16"/>
  <c r="AL34" i="16" s="1"/>
  <c r="P32" i="16"/>
  <c r="AL32" i="16" s="1"/>
  <c r="P27" i="16"/>
  <c r="AL27" i="16" s="1"/>
  <c r="P23" i="16"/>
  <c r="AL23" i="16" s="1"/>
  <c r="P21" i="16"/>
  <c r="AL21" i="16" s="1"/>
  <c r="P19" i="16"/>
  <c r="AL19" i="16" s="1"/>
  <c r="P17" i="16"/>
  <c r="P15" i="16"/>
  <c r="N90" i="16"/>
  <c r="AR93" i="16"/>
  <c r="AR79" i="16"/>
  <c r="AU18" i="16"/>
  <c r="O100" i="16"/>
  <c r="AK100" i="16" s="1"/>
  <c r="O99" i="16"/>
  <c r="AK99" i="16" s="1"/>
  <c r="O95" i="16"/>
  <c r="AK95" i="16" s="1"/>
  <c r="O91" i="16"/>
  <c r="AK91" i="16" s="1"/>
  <c r="O89" i="16"/>
  <c r="AK89" i="16" s="1"/>
  <c r="O85" i="16"/>
  <c r="AK85" i="16" s="1"/>
  <c r="O77" i="16"/>
  <c r="AK77" i="16" s="1"/>
  <c r="O75" i="16"/>
  <c r="AK75" i="16" s="1"/>
  <c r="O73" i="16"/>
  <c r="AK73" i="16" s="1"/>
  <c r="O71" i="16"/>
  <c r="AK71" i="16" s="1"/>
  <c r="O69" i="16"/>
  <c r="AK69" i="16" s="1"/>
  <c r="O65" i="16"/>
  <c r="AK65" i="16" s="1"/>
  <c r="O61" i="16"/>
  <c r="AK61" i="16" s="1"/>
  <c r="O60" i="16"/>
  <c r="AK60" i="16" s="1"/>
  <c r="O58" i="16"/>
  <c r="AK58" i="16" s="1"/>
  <c r="O55" i="16"/>
  <c r="AK55" i="16" s="1"/>
  <c r="O53" i="16"/>
  <c r="AK53" i="16" s="1"/>
  <c r="O51" i="16"/>
  <c r="AK51" i="16" s="1"/>
  <c r="O49" i="16"/>
  <c r="AK49" i="16" s="1"/>
  <c r="O47" i="16"/>
  <c r="AK47" i="16" s="1"/>
  <c r="O39" i="16"/>
  <c r="AK39" i="16" s="1"/>
  <c r="O36" i="16"/>
  <c r="AK36" i="16" s="1"/>
  <c r="O34" i="16"/>
  <c r="AK34" i="16" s="1"/>
  <c r="O27" i="16"/>
  <c r="AK27" i="16" s="1"/>
  <c r="O23" i="16"/>
  <c r="AK23" i="16" s="1"/>
  <c r="O21" i="16"/>
  <c r="AK21" i="16" s="1"/>
  <c r="O19" i="16"/>
  <c r="AK19" i="16" s="1"/>
  <c r="O17" i="16"/>
  <c r="AK17" i="16" s="1"/>
  <c r="O15" i="16"/>
  <c r="AK15" i="16" s="1"/>
  <c r="N100" i="16"/>
  <c r="N99" i="16"/>
  <c r="N95" i="16"/>
  <c r="N89" i="16"/>
  <c r="N85" i="16"/>
  <c r="N77" i="16"/>
  <c r="N75" i="16"/>
  <c r="N73" i="16"/>
  <c r="N71" i="16"/>
  <c r="N67" i="16"/>
  <c r="N65" i="16"/>
  <c r="N63" i="16"/>
  <c r="N55" i="16"/>
  <c r="N53" i="16"/>
  <c r="N51" i="16"/>
  <c r="N47" i="16"/>
  <c r="N45" i="16"/>
  <c r="N43" i="16"/>
  <c r="N39" i="16"/>
  <c r="N36" i="16"/>
  <c r="N34" i="16"/>
  <c r="N32" i="16"/>
  <c r="N30" i="16"/>
  <c r="N27" i="16"/>
  <c r="N23" i="16"/>
  <c r="N21" i="16"/>
  <c r="N19" i="16"/>
  <c r="N17" i="16"/>
  <c r="N15" i="16"/>
  <c r="AU22" i="16"/>
  <c r="Q101" i="16"/>
  <c r="AM101" i="16" s="1"/>
  <c r="Q98" i="16"/>
  <c r="AM98" i="16" s="1"/>
  <c r="Q96" i="16"/>
  <c r="AM96" i="16" s="1"/>
  <c r="Q92" i="16"/>
  <c r="AM92" i="16" s="1"/>
  <c r="Q90" i="16"/>
  <c r="AM90" i="16" s="1"/>
  <c r="Q88" i="16"/>
  <c r="AM88" i="16" s="1"/>
  <c r="Q84" i="16"/>
  <c r="AM84" i="16" s="1"/>
  <c r="Q82" i="16"/>
  <c r="AM82" i="16" s="1"/>
  <c r="Q80" i="16"/>
  <c r="AM80" i="16" s="1"/>
  <c r="Q78" i="16"/>
  <c r="AM78" i="16" s="1"/>
  <c r="Q72" i="16"/>
  <c r="AM72" i="16" s="1"/>
  <c r="Q70" i="16"/>
  <c r="AM70" i="16" s="1"/>
  <c r="Q66" i="16"/>
  <c r="AM66" i="16" s="1"/>
  <c r="Q56" i="16"/>
  <c r="AM56" i="16" s="1"/>
  <c r="Q52" i="16"/>
  <c r="AM52" i="16" s="1"/>
  <c r="Q46" i="16"/>
  <c r="AM46" i="16" s="1"/>
  <c r="Q44" i="16"/>
  <c r="AM44" i="16" s="1"/>
  <c r="Q42" i="16"/>
  <c r="AM42" i="16" s="1"/>
  <c r="Q38" i="16"/>
  <c r="AM38" i="16" s="1"/>
  <c r="Q37" i="16"/>
  <c r="AM37" i="16" s="1"/>
  <c r="Q35" i="16"/>
  <c r="AM35" i="16" s="1"/>
  <c r="Q31" i="16"/>
  <c r="AM31" i="16" s="1"/>
  <c r="Q29" i="16"/>
  <c r="AM29" i="16" s="1"/>
  <c r="Q28" i="16"/>
  <c r="AM28" i="16" s="1"/>
  <c r="Q14" i="16"/>
  <c r="AU86" i="16"/>
  <c r="R86" i="16"/>
  <c r="AU40" i="16"/>
  <c r="AT40" i="16"/>
  <c r="V40" i="16"/>
  <c r="V107" i="16"/>
  <c r="V110" i="16"/>
  <c r="V109" i="16"/>
  <c r="V54" i="16"/>
  <c r="V57" i="16"/>
  <c r="V48" i="16"/>
  <c r="V104" i="16"/>
  <c r="V90" i="16"/>
  <c r="V108" i="16"/>
  <c r="V105" i="16"/>
  <c r="V70" i="16"/>
  <c r="V26" i="16"/>
  <c r="V106" i="16"/>
  <c r="V87" i="16"/>
  <c r="V85" i="16"/>
  <c r="V60" i="16"/>
  <c r="V67" i="16"/>
  <c r="V66" i="16"/>
  <c r="V74" i="16"/>
  <c r="V17" i="16"/>
  <c r="V21" i="16"/>
  <c r="V73" i="16"/>
  <c r="V23" i="16"/>
  <c r="V51" i="16"/>
  <c r="V72" i="16"/>
  <c r="V31" i="16"/>
  <c r="V32" i="16"/>
  <c r="V50" i="16"/>
  <c r="V62" i="16"/>
  <c r="V88" i="16"/>
  <c r="V95" i="16"/>
  <c r="V99" i="16"/>
  <c r="V35" i="16"/>
  <c r="V19" i="16"/>
  <c r="V27" i="16"/>
  <c r="V38" i="16"/>
  <c r="V45" i="16"/>
  <c r="V63" i="16"/>
  <c r="V68" i="16"/>
  <c r="V75" i="16"/>
  <c r="V81" i="16"/>
  <c r="V34" i="16"/>
  <c r="V44" i="16"/>
  <c r="V52" i="16"/>
  <c r="V55" i="16"/>
  <c r="V14" i="16"/>
  <c r="V18" i="16"/>
  <c r="V64" i="16"/>
  <c r="V82" i="16"/>
  <c r="V100" i="16"/>
  <c r="V15" i="16"/>
  <c r="V58" i="16"/>
  <c r="V61" i="16"/>
  <c r="V71" i="16"/>
  <c r="V84" i="16"/>
  <c r="V97" i="16"/>
  <c r="V22" i="16"/>
  <c r="V53" i="16"/>
  <c r="V65" i="16"/>
  <c r="V79" i="16"/>
  <c r="V83" i="16"/>
  <c r="V91" i="16"/>
  <c r="V98" i="16"/>
  <c r="V28" i="16"/>
  <c r="V49" i="16"/>
  <c r="V29" i="16"/>
  <c r="V37" i="16"/>
  <c r="V43" i="16"/>
  <c r="V56" i="16"/>
  <c r="V78" i="16"/>
  <c r="V92" i="16"/>
  <c r="V96" i="16"/>
  <c r="V24" i="16"/>
  <c r="V89" i="16"/>
  <c r="V20" i="16"/>
  <c r="V30" i="16"/>
  <c r="V80" i="16"/>
  <c r="V59" i="16"/>
  <c r="V93" i="16"/>
  <c r="V42" i="16"/>
  <c r="V47" i="16"/>
  <c r="V101" i="16"/>
  <c r="V36" i="16"/>
  <c r="V39" i="16"/>
  <c r="V46" i="16"/>
  <c r="V69" i="16"/>
  <c r="V76" i="16"/>
  <c r="V77" i="16"/>
  <c r="V94" i="16"/>
  <c r="L25" i="15"/>
  <c r="M25" i="15"/>
  <c r="N25" i="15"/>
  <c r="O25" i="15"/>
  <c r="W35" i="16" l="1"/>
  <c r="W67" i="16"/>
  <c r="AM14" i="16"/>
  <c r="D29" i="17"/>
  <c r="AM15" i="16"/>
  <c r="AM17" i="16"/>
  <c r="AM36" i="16"/>
  <c r="C29" i="17"/>
  <c r="AL14" i="16"/>
  <c r="AL15" i="16"/>
  <c r="AL17" i="16"/>
  <c r="W71" i="16"/>
  <c r="W50" i="16"/>
  <c r="W87" i="16"/>
  <c r="W99" i="16"/>
  <c r="W73" i="16"/>
  <c r="W70" i="16"/>
  <c r="W51" i="16"/>
  <c r="W40" i="16"/>
  <c r="W69" i="16"/>
  <c r="W45" i="16"/>
  <c r="W100" i="16"/>
  <c r="W84" i="16"/>
  <c r="W97" i="16"/>
  <c r="W48" i="16"/>
  <c r="W56" i="16"/>
  <c r="W72" i="16"/>
  <c r="W47" i="16"/>
  <c r="W90" i="16"/>
  <c r="W38" i="16"/>
  <c r="W82" i="16"/>
  <c r="W95" i="16"/>
  <c r="W53" i="16"/>
  <c r="W65" i="16"/>
  <c r="W44" i="16"/>
  <c r="W46" i="16"/>
  <c r="W43" i="16"/>
  <c r="W42" i="16"/>
  <c r="W49" i="16"/>
  <c r="W37" i="16"/>
  <c r="W64" i="16"/>
  <c r="W77" i="16"/>
  <c r="W68" i="16"/>
  <c r="W59" i="16"/>
  <c r="W79" i="16"/>
  <c r="W88" i="16"/>
  <c r="W61" i="16"/>
  <c r="W60" i="16"/>
  <c r="W75" i="16"/>
  <c r="W94" i="16"/>
  <c r="W55" i="16"/>
  <c r="W85" i="16"/>
  <c r="W96" i="16"/>
  <c r="W98" i="16"/>
  <c r="W80" i="16"/>
  <c r="W66" i="16"/>
  <c r="W81" i="16"/>
  <c r="W93" i="16"/>
  <c r="W76" i="16"/>
  <c r="W62" i="16"/>
  <c r="W36" i="16"/>
  <c r="W63" i="16"/>
  <c r="W89" i="16"/>
  <c r="W14" i="16"/>
  <c r="W92" i="16"/>
  <c r="D57" i="17" s="1"/>
  <c r="F57" i="17" s="1"/>
  <c r="W101" i="16"/>
  <c r="W83" i="16"/>
  <c r="W91" i="16"/>
  <c r="W39" i="16"/>
  <c r="W74" i="16"/>
  <c r="W78" i="16"/>
  <c r="W52" i="16"/>
  <c r="W58" i="16"/>
  <c r="W32" i="16"/>
  <c r="W30" i="16"/>
  <c r="W27" i="16"/>
  <c r="AJ40" i="16"/>
  <c r="W19" i="16"/>
  <c r="AJ26" i="16"/>
  <c r="W26" i="16"/>
  <c r="W23" i="16"/>
  <c r="AJ87" i="16"/>
  <c r="W20" i="16"/>
  <c r="W21" i="16"/>
  <c r="W29" i="16"/>
  <c r="W22" i="16"/>
  <c r="W34" i="16"/>
  <c r="W24" i="16"/>
  <c r="W17" i="16"/>
  <c r="W31" i="16"/>
  <c r="W28" i="16"/>
  <c r="W15" i="16"/>
  <c r="W18" i="16"/>
  <c r="AJ47" i="16"/>
  <c r="AJ100" i="16"/>
  <c r="AJ58" i="16"/>
  <c r="AJ70" i="16"/>
  <c r="AJ32" i="16"/>
  <c r="AJ53" i="16"/>
  <c r="AJ77" i="16"/>
  <c r="AJ68" i="16"/>
  <c r="AJ59" i="16"/>
  <c r="AJ61" i="16"/>
  <c r="AJ60" i="16"/>
  <c r="AJ37" i="16"/>
  <c r="AJ51" i="16"/>
  <c r="AJ62" i="16"/>
  <c r="AJ94" i="16"/>
  <c r="AJ15" i="16"/>
  <c r="AJ34" i="16"/>
  <c r="AJ55" i="16"/>
  <c r="AJ85" i="16"/>
  <c r="AJ96" i="16"/>
  <c r="AJ24" i="16"/>
  <c r="AJ98" i="16"/>
  <c r="AJ80" i="16"/>
  <c r="AJ20" i="16"/>
  <c r="AJ66" i="16"/>
  <c r="AJ69" i="16"/>
  <c r="AJ73" i="16"/>
  <c r="AJ38" i="16"/>
  <c r="AJ82" i="16"/>
  <c r="AJ30" i="16"/>
  <c r="AJ64" i="16"/>
  <c r="AJ50" i="16"/>
  <c r="AJ22" i="16"/>
  <c r="AJ97" i="16"/>
  <c r="AJ17" i="16"/>
  <c r="AJ36" i="16"/>
  <c r="AJ63" i="16"/>
  <c r="AJ89" i="16"/>
  <c r="AJ90" i="16"/>
  <c r="AJ31" i="16"/>
  <c r="AJ14" i="16"/>
  <c r="AJ92" i="16"/>
  <c r="AJ28" i="16"/>
  <c r="AJ79" i="16"/>
  <c r="AJ88" i="16"/>
  <c r="AJ35" i="16"/>
  <c r="AJ18" i="16"/>
  <c r="AJ44" i="16"/>
  <c r="AJ46" i="16"/>
  <c r="AJ101" i="16"/>
  <c r="AJ81" i="16"/>
  <c r="AJ93" i="16"/>
  <c r="AJ76" i="16"/>
  <c r="AJ27" i="16"/>
  <c r="AJ49" i="16"/>
  <c r="AJ75" i="16"/>
  <c r="AJ19" i="16"/>
  <c r="AJ39" i="16"/>
  <c r="AJ65" i="16"/>
  <c r="AJ21" i="16"/>
  <c r="AJ43" i="16"/>
  <c r="AJ67" i="16"/>
  <c r="AJ95" i="16"/>
  <c r="AJ78" i="16"/>
  <c r="AJ42" i="16"/>
  <c r="AJ52" i="16"/>
  <c r="AJ54" i="16"/>
  <c r="AJ83" i="16"/>
  <c r="AJ91" i="16"/>
  <c r="AJ23" i="16"/>
  <c r="AJ45" i="16"/>
  <c r="AJ71" i="16"/>
  <c r="AJ99" i="16"/>
  <c r="AJ56" i="16"/>
  <c r="AJ72" i="16"/>
  <c r="AJ84" i="16"/>
  <c r="AJ29" i="16"/>
  <c r="AJ74" i="16"/>
  <c r="AR86" i="16"/>
  <c r="N86" i="16"/>
  <c r="W86" i="16" s="1"/>
  <c r="V86" i="16"/>
  <c r="D18" i="17" l="1"/>
  <c r="F18" i="17" s="1"/>
  <c r="G29" i="17"/>
  <c r="I29" i="17"/>
  <c r="E29" i="17"/>
  <c r="H29" i="17" s="1"/>
  <c r="F29" i="17"/>
  <c r="D38" i="17"/>
  <c r="F38" i="17" s="1"/>
  <c r="D44" i="17"/>
  <c r="F44" i="17" s="1"/>
  <c r="D54" i="17"/>
  <c r="F54" i="17" s="1"/>
  <c r="D39" i="17"/>
  <c r="F39" i="17" s="1"/>
  <c r="D52" i="17"/>
  <c r="F52" i="17" s="1"/>
  <c r="D48" i="17"/>
  <c r="F48" i="17" s="1"/>
  <c r="D51" i="17"/>
  <c r="F51" i="17" s="1"/>
  <c r="D46" i="17"/>
  <c r="F46" i="17" s="1"/>
  <c r="D53" i="17"/>
  <c r="F53" i="17" s="1"/>
  <c r="D49" i="17"/>
  <c r="F49" i="17" s="1"/>
  <c r="D40" i="17"/>
  <c r="D45" i="17"/>
  <c r="F45" i="17" s="1"/>
  <c r="D43" i="17"/>
  <c r="D41" i="17"/>
  <c r="F41" i="17" s="1"/>
  <c r="D50" i="17"/>
  <c r="F50" i="17" s="1"/>
  <c r="F17" i="17"/>
  <c r="AJ86" i="16"/>
  <c r="K114" i="15"/>
  <c r="K111" i="15"/>
  <c r="K108" i="15"/>
  <c r="E86" i="17" l="1"/>
  <c r="G86" i="17" s="1"/>
  <c r="F40" i="17"/>
  <c r="E87" i="17"/>
  <c r="G87" i="17" s="1"/>
  <c r="E79" i="17"/>
  <c r="G79" i="17" s="1"/>
  <c r="F43" i="17"/>
  <c r="Q57" i="15"/>
  <c r="K107" i="15"/>
  <c r="K112" i="15"/>
  <c r="K113" i="15"/>
  <c r="K57" i="15"/>
  <c r="K110" i="15"/>
  <c r="K109" i="15"/>
  <c r="K106" i="15"/>
  <c r="K105" i="15"/>
  <c r="AL25" i="15"/>
  <c r="AK25" i="15"/>
  <c r="AL97" i="15"/>
  <c r="AL94" i="15"/>
  <c r="AK94" i="15"/>
  <c r="AL91" i="15"/>
  <c r="AK91" i="15"/>
  <c r="AL76" i="15"/>
  <c r="AK76" i="15"/>
  <c r="AL74" i="15"/>
  <c r="AL71" i="15"/>
  <c r="AK71" i="15"/>
  <c r="AL85" i="15"/>
  <c r="AK85" i="15"/>
  <c r="AL90" i="15"/>
  <c r="AK90" i="15"/>
  <c r="AL86" i="15"/>
  <c r="AK86" i="15"/>
  <c r="AN87" i="15"/>
  <c r="AL70" i="15"/>
  <c r="AK70" i="15"/>
  <c r="AN70" i="15"/>
  <c r="AL67" i="15"/>
  <c r="AK67" i="15"/>
  <c r="AL64" i="15"/>
  <c r="AK64" i="15"/>
  <c r="AL63" i="15"/>
  <c r="AK63" i="15"/>
  <c r="AK62" i="15"/>
  <c r="AL60" i="15"/>
  <c r="AM58" i="15"/>
  <c r="AL58" i="15"/>
  <c r="AK58" i="15"/>
  <c r="AM55" i="15"/>
  <c r="AL54" i="15"/>
  <c r="AK54" i="15"/>
  <c r="AL50" i="15"/>
  <c r="AK50" i="15"/>
  <c r="AL41" i="15"/>
  <c r="AK41" i="15"/>
  <c r="AL16" i="15"/>
  <c r="AK16" i="15"/>
  <c r="L16" i="15"/>
  <c r="AG16" i="15" s="1"/>
  <c r="M16" i="15"/>
  <c r="AH16" i="15" s="1"/>
  <c r="L104" i="15"/>
  <c r="M104" i="15"/>
  <c r="N104" i="15"/>
  <c r="O104" i="15"/>
  <c r="R104" i="15"/>
  <c r="S104" i="15"/>
  <c r="T104" i="15"/>
  <c r="U104" i="15"/>
  <c r="L105" i="15"/>
  <c r="M105" i="15"/>
  <c r="N105" i="15"/>
  <c r="O105" i="15"/>
  <c r="R105" i="15"/>
  <c r="S105" i="15"/>
  <c r="T105" i="15"/>
  <c r="U105" i="15"/>
  <c r="L106" i="15"/>
  <c r="M106" i="15"/>
  <c r="N106" i="15"/>
  <c r="O106" i="15"/>
  <c r="R106" i="15"/>
  <c r="S106" i="15"/>
  <c r="T106" i="15"/>
  <c r="U106" i="15"/>
  <c r="L107" i="15"/>
  <c r="M107" i="15"/>
  <c r="N107" i="15"/>
  <c r="O107" i="15"/>
  <c r="L108" i="15"/>
  <c r="M108" i="15"/>
  <c r="N108" i="15"/>
  <c r="O108" i="15"/>
  <c r="R108" i="15"/>
  <c r="S108" i="15"/>
  <c r="T108" i="15"/>
  <c r="U108" i="15"/>
  <c r="L109" i="15"/>
  <c r="M109" i="15"/>
  <c r="N109" i="15"/>
  <c r="O109" i="15"/>
  <c r="L57" i="15"/>
  <c r="M57" i="15"/>
  <c r="N57" i="15"/>
  <c r="O57" i="15"/>
  <c r="L110" i="15"/>
  <c r="M110" i="15"/>
  <c r="N110" i="15"/>
  <c r="O110" i="15"/>
  <c r="R110" i="15"/>
  <c r="S110" i="15"/>
  <c r="T110" i="15"/>
  <c r="U110" i="15"/>
  <c r="L111" i="15"/>
  <c r="M111" i="15"/>
  <c r="N111" i="15"/>
  <c r="O111" i="15"/>
  <c r="R111" i="15"/>
  <c r="S111" i="15"/>
  <c r="T111" i="15"/>
  <c r="U111" i="15"/>
  <c r="L112" i="15"/>
  <c r="M112" i="15"/>
  <c r="N112" i="15"/>
  <c r="O112" i="15"/>
  <c r="L113" i="15"/>
  <c r="M113" i="15"/>
  <c r="N113" i="15"/>
  <c r="O113" i="15"/>
  <c r="R113" i="15"/>
  <c r="S113" i="15"/>
  <c r="T113" i="15"/>
  <c r="U113" i="15"/>
  <c r="L114" i="15"/>
  <c r="M114" i="15"/>
  <c r="N114" i="15"/>
  <c r="O114" i="15"/>
  <c r="AN16" i="15"/>
  <c r="AK14" i="15"/>
  <c r="AL14" i="15"/>
  <c r="AM14" i="15"/>
  <c r="AN14" i="15"/>
  <c r="AK15" i="15"/>
  <c r="AL15" i="15"/>
  <c r="AM15" i="15"/>
  <c r="AN15" i="15"/>
  <c r="AM16" i="15"/>
  <c r="AK17" i="15"/>
  <c r="AL17" i="15"/>
  <c r="AM17" i="15"/>
  <c r="AN17" i="15"/>
  <c r="AK18" i="15"/>
  <c r="AL18" i="15"/>
  <c r="AM18" i="15"/>
  <c r="AN18" i="15"/>
  <c r="AK19" i="15"/>
  <c r="AL19" i="15"/>
  <c r="AM19" i="15"/>
  <c r="AN19" i="15"/>
  <c r="AK20" i="15"/>
  <c r="AL20" i="15"/>
  <c r="AM20" i="15"/>
  <c r="AN20" i="15"/>
  <c r="AK21" i="15"/>
  <c r="AL21" i="15"/>
  <c r="AM21" i="15"/>
  <c r="AN21" i="15"/>
  <c r="AK22" i="15"/>
  <c r="AL22" i="15"/>
  <c r="AM22" i="15"/>
  <c r="AN22" i="15"/>
  <c r="AK23" i="15"/>
  <c r="AL23" i="15"/>
  <c r="AM23" i="15"/>
  <c r="AN23" i="15"/>
  <c r="AK24" i="15"/>
  <c r="AL24" i="15"/>
  <c r="AM24" i="15"/>
  <c r="AN24" i="15"/>
  <c r="AM25" i="15"/>
  <c r="AN25" i="15"/>
  <c r="AK26" i="15"/>
  <c r="AL26" i="15"/>
  <c r="AM26" i="15"/>
  <c r="AN26" i="15"/>
  <c r="AK27" i="15"/>
  <c r="AL27" i="15"/>
  <c r="AM27" i="15"/>
  <c r="AN27" i="15"/>
  <c r="AK28" i="15"/>
  <c r="AL28" i="15"/>
  <c r="AM28" i="15"/>
  <c r="AN28" i="15"/>
  <c r="AK29" i="15"/>
  <c r="AL29" i="15"/>
  <c r="AM29" i="15"/>
  <c r="AN29" i="15"/>
  <c r="AK30" i="15"/>
  <c r="AL30" i="15"/>
  <c r="AM30" i="15"/>
  <c r="AN30" i="15"/>
  <c r="AK31" i="15"/>
  <c r="AL31" i="15"/>
  <c r="AM31" i="15"/>
  <c r="AN31" i="15"/>
  <c r="AK32" i="15"/>
  <c r="AL32" i="15"/>
  <c r="AM32" i="15"/>
  <c r="AN32" i="15"/>
  <c r="AK33" i="15"/>
  <c r="AL33" i="15"/>
  <c r="AM33" i="15"/>
  <c r="AN33" i="15"/>
  <c r="AK34" i="15"/>
  <c r="AL34" i="15"/>
  <c r="AM34" i="15"/>
  <c r="AN34" i="15"/>
  <c r="AK35" i="15"/>
  <c r="AL35" i="15"/>
  <c r="AM35" i="15"/>
  <c r="AN35" i="15"/>
  <c r="AK36" i="15"/>
  <c r="AL36" i="15"/>
  <c r="AM36" i="15"/>
  <c r="AN36" i="15"/>
  <c r="AK37" i="15"/>
  <c r="AL37" i="15"/>
  <c r="AM37" i="15"/>
  <c r="AN37" i="15"/>
  <c r="AK38" i="15"/>
  <c r="AL38" i="15"/>
  <c r="AM38" i="15"/>
  <c r="AN38" i="15"/>
  <c r="AK39" i="15"/>
  <c r="AL39" i="15"/>
  <c r="AM39" i="15"/>
  <c r="AN39" i="15"/>
  <c r="AK40" i="15"/>
  <c r="AL40" i="15"/>
  <c r="AM40" i="15"/>
  <c r="AN40" i="15"/>
  <c r="AM41" i="15"/>
  <c r="AN41" i="15"/>
  <c r="AK42" i="15"/>
  <c r="AL42" i="15"/>
  <c r="AM42" i="15"/>
  <c r="AN42" i="15"/>
  <c r="AK43" i="15"/>
  <c r="AL43" i="15"/>
  <c r="AM43" i="15"/>
  <c r="AN43" i="15"/>
  <c r="AK44" i="15"/>
  <c r="AL44" i="15"/>
  <c r="AM44" i="15"/>
  <c r="AN44" i="15"/>
  <c r="AK45" i="15"/>
  <c r="AL45" i="15"/>
  <c r="AM45" i="15"/>
  <c r="AN45" i="15"/>
  <c r="AK46" i="15"/>
  <c r="AL46" i="15"/>
  <c r="AM46" i="15"/>
  <c r="AN46" i="15"/>
  <c r="AK47" i="15"/>
  <c r="AL47" i="15"/>
  <c r="AM47" i="15"/>
  <c r="AN47" i="15"/>
  <c r="AK48" i="15"/>
  <c r="AL48" i="15"/>
  <c r="AM48" i="15"/>
  <c r="AN48" i="15"/>
  <c r="AK49" i="15"/>
  <c r="AL49" i="15"/>
  <c r="AM49" i="15"/>
  <c r="AN49" i="15"/>
  <c r="AM50" i="15"/>
  <c r="AN50" i="15"/>
  <c r="AK51" i="15"/>
  <c r="AL51" i="15"/>
  <c r="AM51" i="15"/>
  <c r="AN51" i="15"/>
  <c r="AK52" i="15"/>
  <c r="AL52" i="15"/>
  <c r="AM52" i="15"/>
  <c r="AN52" i="15"/>
  <c r="AK53" i="15"/>
  <c r="AL53" i="15"/>
  <c r="AM53" i="15"/>
  <c r="AN53" i="15"/>
  <c r="AM54" i="15"/>
  <c r="AN54" i="15"/>
  <c r="AK55" i="15"/>
  <c r="AL55" i="15"/>
  <c r="AN55" i="15"/>
  <c r="AK56" i="15"/>
  <c r="AL56" i="15"/>
  <c r="AM56" i="15"/>
  <c r="AN56" i="15"/>
  <c r="AN58" i="15"/>
  <c r="AK59" i="15"/>
  <c r="AL59" i="15"/>
  <c r="AM59" i="15"/>
  <c r="AN59" i="15"/>
  <c r="AK60" i="15"/>
  <c r="AM60" i="15"/>
  <c r="AN60" i="15"/>
  <c r="AK61" i="15"/>
  <c r="AL61" i="15"/>
  <c r="AM61" i="15"/>
  <c r="AN61" i="15"/>
  <c r="AL62" i="15"/>
  <c r="AM62" i="15"/>
  <c r="AN62" i="15"/>
  <c r="AM63" i="15"/>
  <c r="AN63" i="15"/>
  <c r="AM64" i="15"/>
  <c r="AN64" i="15"/>
  <c r="AK65" i="15"/>
  <c r="AL65" i="15"/>
  <c r="AM65" i="15"/>
  <c r="AN65" i="15"/>
  <c r="AK66" i="15"/>
  <c r="AL66" i="15"/>
  <c r="AM66" i="15"/>
  <c r="AN66" i="15"/>
  <c r="AM67" i="15"/>
  <c r="AN67" i="15"/>
  <c r="AK68" i="15"/>
  <c r="AL68" i="15"/>
  <c r="AM68" i="15"/>
  <c r="AN68" i="15"/>
  <c r="AK69" i="15"/>
  <c r="AL69" i="15"/>
  <c r="AM69" i="15"/>
  <c r="AN69" i="15"/>
  <c r="AM70" i="15"/>
  <c r="AM71" i="15"/>
  <c r="AN71" i="15"/>
  <c r="AK72" i="15"/>
  <c r="AL72" i="15"/>
  <c r="AM72" i="15"/>
  <c r="AN72" i="15"/>
  <c r="AK73" i="15"/>
  <c r="AL73" i="15"/>
  <c r="AM73" i="15"/>
  <c r="AN73" i="15"/>
  <c r="AK74" i="15"/>
  <c r="AM74" i="15"/>
  <c r="AN74" i="15"/>
  <c r="AK75" i="15"/>
  <c r="AL75" i="15"/>
  <c r="AM75" i="15"/>
  <c r="AN75" i="15"/>
  <c r="AM76" i="15"/>
  <c r="AN76" i="15"/>
  <c r="AK77" i="15"/>
  <c r="AL77" i="15"/>
  <c r="AM77" i="15"/>
  <c r="AN77" i="15"/>
  <c r="AK78" i="15"/>
  <c r="AL78" i="15"/>
  <c r="AM78" i="15"/>
  <c r="AN78" i="15"/>
  <c r="AK79" i="15"/>
  <c r="AL79" i="15"/>
  <c r="AM79" i="15"/>
  <c r="AN79" i="15"/>
  <c r="AK80" i="15"/>
  <c r="AL80" i="15"/>
  <c r="AM80" i="15"/>
  <c r="AN80" i="15"/>
  <c r="AK81" i="15"/>
  <c r="AL81" i="15"/>
  <c r="AM81" i="15"/>
  <c r="AN81" i="15"/>
  <c r="AK82" i="15"/>
  <c r="AL82" i="15"/>
  <c r="AM82" i="15"/>
  <c r="AN82" i="15"/>
  <c r="AK83" i="15"/>
  <c r="AL83" i="15"/>
  <c r="AM83" i="15"/>
  <c r="AN83" i="15"/>
  <c r="AK84" i="15"/>
  <c r="AL84" i="15"/>
  <c r="AM84" i="15"/>
  <c r="AN84" i="15"/>
  <c r="AM85" i="15"/>
  <c r="AN85" i="15"/>
  <c r="AM86" i="15"/>
  <c r="AN86" i="15"/>
  <c r="AK87" i="15"/>
  <c r="AL87" i="15"/>
  <c r="AK88" i="15"/>
  <c r="AL88" i="15"/>
  <c r="AM88" i="15"/>
  <c r="AN88" i="15"/>
  <c r="AK89" i="15"/>
  <c r="AL89" i="15"/>
  <c r="AM89" i="15"/>
  <c r="AN89" i="15"/>
  <c r="AM90" i="15"/>
  <c r="AN90" i="15"/>
  <c r="AM91" i="15"/>
  <c r="AN91" i="15"/>
  <c r="AK92" i="15"/>
  <c r="AL92" i="15"/>
  <c r="AM92" i="15"/>
  <c r="AN92" i="15"/>
  <c r="AK93" i="15"/>
  <c r="AL93" i="15"/>
  <c r="AM93" i="15"/>
  <c r="AN93" i="15"/>
  <c r="AM94" i="15"/>
  <c r="AN94" i="15"/>
  <c r="AK95" i="15"/>
  <c r="AL95" i="15"/>
  <c r="AM95" i="15"/>
  <c r="AN95" i="15"/>
  <c r="AK96" i="15"/>
  <c r="AL96" i="15"/>
  <c r="AM96" i="15"/>
  <c r="AN96" i="15"/>
  <c r="AK97" i="15"/>
  <c r="AM97" i="15"/>
  <c r="AN97" i="15"/>
  <c r="AK98" i="15"/>
  <c r="AL98" i="15"/>
  <c r="AM98" i="15"/>
  <c r="AN98" i="15"/>
  <c r="AK99" i="15"/>
  <c r="AL99" i="15"/>
  <c r="AM99" i="15"/>
  <c r="AN99" i="15"/>
  <c r="AK100" i="15"/>
  <c r="AL100" i="15"/>
  <c r="AM100" i="15"/>
  <c r="AN100" i="15"/>
  <c r="AK101" i="15"/>
  <c r="AL101" i="15"/>
  <c r="AM101" i="15"/>
  <c r="AN101" i="15"/>
  <c r="L14" i="15"/>
  <c r="AG14" i="15" s="1"/>
  <c r="M14" i="15"/>
  <c r="AH14" i="15" s="1"/>
  <c r="N14" i="15"/>
  <c r="AI14" i="15" s="1"/>
  <c r="O14" i="15"/>
  <c r="AJ14" i="15" s="1"/>
  <c r="L15" i="15"/>
  <c r="AG15" i="15" s="1"/>
  <c r="M15" i="15"/>
  <c r="AH15" i="15" s="1"/>
  <c r="N15" i="15"/>
  <c r="AI15" i="15" s="1"/>
  <c r="O15" i="15"/>
  <c r="AJ15" i="15" s="1"/>
  <c r="N16" i="15"/>
  <c r="AI16" i="15" s="1"/>
  <c r="O16" i="15"/>
  <c r="AJ16" i="15" s="1"/>
  <c r="L17" i="15"/>
  <c r="AG17" i="15" s="1"/>
  <c r="M17" i="15"/>
  <c r="AH17" i="15" s="1"/>
  <c r="N17" i="15"/>
  <c r="AI17" i="15" s="1"/>
  <c r="O17" i="15"/>
  <c r="AJ17" i="15" s="1"/>
  <c r="L18" i="15"/>
  <c r="AG18" i="15" s="1"/>
  <c r="M18" i="15"/>
  <c r="AH18" i="15" s="1"/>
  <c r="N18" i="15"/>
  <c r="AI18" i="15" s="1"/>
  <c r="O18" i="15"/>
  <c r="AJ18" i="15" s="1"/>
  <c r="L19" i="15"/>
  <c r="AG19" i="15" s="1"/>
  <c r="M19" i="15"/>
  <c r="AH19" i="15" s="1"/>
  <c r="N19" i="15"/>
  <c r="AI19" i="15" s="1"/>
  <c r="O19" i="15"/>
  <c r="AJ19" i="15" s="1"/>
  <c r="L20" i="15"/>
  <c r="AG20" i="15" s="1"/>
  <c r="M20" i="15"/>
  <c r="AH20" i="15" s="1"/>
  <c r="N20" i="15"/>
  <c r="AI20" i="15" s="1"/>
  <c r="O20" i="15"/>
  <c r="AJ20" i="15" s="1"/>
  <c r="L21" i="15"/>
  <c r="AG21" i="15" s="1"/>
  <c r="M21" i="15"/>
  <c r="AH21" i="15" s="1"/>
  <c r="N21" i="15"/>
  <c r="AI21" i="15" s="1"/>
  <c r="O21" i="15"/>
  <c r="AJ21" i="15" s="1"/>
  <c r="L22" i="15"/>
  <c r="AG22" i="15" s="1"/>
  <c r="M22" i="15"/>
  <c r="AH22" i="15" s="1"/>
  <c r="N22" i="15"/>
  <c r="AI22" i="15" s="1"/>
  <c r="O22" i="15"/>
  <c r="AJ22" i="15" s="1"/>
  <c r="L23" i="15"/>
  <c r="AG23" i="15" s="1"/>
  <c r="M23" i="15"/>
  <c r="AH23" i="15" s="1"/>
  <c r="N23" i="15"/>
  <c r="AI23" i="15" s="1"/>
  <c r="O23" i="15"/>
  <c r="AJ23" i="15" s="1"/>
  <c r="L24" i="15"/>
  <c r="AG24" i="15" s="1"/>
  <c r="M24" i="15"/>
  <c r="AH24" i="15" s="1"/>
  <c r="N24" i="15"/>
  <c r="AI24" i="15" s="1"/>
  <c r="O24" i="15"/>
  <c r="AJ24" i="15" s="1"/>
  <c r="AG25" i="15"/>
  <c r="AH25" i="15"/>
  <c r="AI25" i="15"/>
  <c r="AJ25" i="15"/>
  <c r="AG26" i="15"/>
  <c r="AH26" i="15"/>
  <c r="AI26" i="15"/>
  <c r="AJ26" i="15"/>
  <c r="L27" i="15"/>
  <c r="AG27" i="15" s="1"/>
  <c r="M27" i="15"/>
  <c r="AH27" i="15" s="1"/>
  <c r="N27" i="15"/>
  <c r="AI27" i="15" s="1"/>
  <c r="O27" i="15"/>
  <c r="AJ27" i="15" s="1"/>
  <c r="L28" i="15"/>
  <c r="AG28" i="15" s="1"/>
  <c r="M28" i="15"/>
  <c r="AH28" i="15" s="1"/>
  <c r="N28" i="15"/>
  <c r="AI28" i="15" s="1"/>
  <c r="O28" i="15"/>
  <c r="AJ28" i="15" s="1"/>
  <c r="L29" i="15"/>
  <c r="AG29" i="15" s="1"/>
  <c r="M29" i="15"/>
  <c r="AH29" i="15" s="1"/>
  <c r="N29" i="15"/>
  <c r="AI29" i="15" s="1"/>
  <c r="O29" i="15"/>
  <c r="AJ29" i="15" s="1"/>
  <c r="L30" i="15"/>
  <c r="AG30" i="15" s="1"/>
  <c r="M30" i="15"/>
  <c r="AH30" i="15" s="1"/>
  <c r="N30" i="15"/>
  <c r="AI30" i="15" s="1"/>
  <c r="O30" i="15"/>
  <c r="AJ30" i="15" s="1"/>
  <c r="L31" i="15"/>
  <c r="AG31" i="15" s="1"/>
  <c r="M31" i="15"/>
  <c r="AH31" i="15" s="1"/>
  <c r="N31" i="15"/>
  <c r="AI31" i="15" s="1"/>
  <c r="O31" i="15"/>
  <c r="AJ31" i="15" s="1"/>
  <c r="L32" i="15"/>
  <c r="AG32" i="15" s="1"/>
  <c r="M32" i="15"/>
  <c r="AH32" i="15" s="1"/>
  <c r="N32" i="15"/>
  <c r="AI32" i="15" s="1"/>
  <c r="O32" i="15"/>
  <c r="AJ32" i="15" s="1"/>
  <c r="L33" i="15"/>
  <c r="AG33" i="15" s="1"/>
  <c r="M33" i="15"/>
  <c r="AH33" i="15" s="1"/>
  <c r="N33" i="15"/>
  <c r="AI33" i="15" s="1"/>
  <c r="O33" i="15"/>
  <c r="AJ33" i="15" s="1"/>
  <c r="L34" i="15"/>
  <c r="AG34" i="15" s="1"/>
  <c r="M34" i="15"/>
  <c r="AH34" i="15" s="1"/>
  <c r="N34" i="15"/>
  <c r="AI34" i="15" s="1"/>
  <c r="O34" i="15"/>
  <c r="AJ34" i="15" s="1"/>
  <c r="L35" i="15"/>
  <c r="AG35" i="15" s="1"/>
  <c r="M35" i="15"/>
  <c r="AH35" i="15" s="1"/>
  <c r="N35" i="15"/>
  <c r="AI35" i="15" s="1"/>
  <c r="O35" i="15"/>
  <c r="AJ35" i="15" s="1"/>
  <c r="L36" i="15"/>
  <c r="AG36" i="15" s="1"/>
  <c r="M36" i="15"/>
  <c r="AH36" i="15" s="1"/>
  <c r="N36" i="15"/>
  <c r="AI36" i="15" s="1"/>
  <c r="O36" i="15"/>
  <c r="AJ36" i="15" s="1"/>
  <c r="L37" i="15"/>
  <c r="AG37" i="15" s="1"/>
  <c r="M37" i="15"/>
  <c r="AH37" i="15" s="1"/>
  <c r="N37" i="15"/>
  <c r="AI37" i="15" s="1"/>
  <c r="O37" i="15"/>
  <c r="AJ37" i="15" s="1"/>
  <c r="L38" i="15"/>
  <c r="AG38" i="15" s="1"/>
  <c r="M38" i="15"/>
  <c r="AH38" i="15" s="1"/>
  <c r="N38" i="15"/>
  <c r="AI38" i="15" s="1"/>
  <c r="O38" i="15"/>
  <c r="AJ38" i="15" s="1"/>
  <c r="L39" i="15"/>
  <c r="AG39" i="15" s="1"/>
  <c r="M39" i="15"/>
  <c r="AH39" i="15" s="1"/>
  <c r="N39" i="15"/>
  <c r="AI39" i="15" s="1"/>
  <c r="O39" i="15"/>
  <c r="AJ39" i="15" s="1"/>
  <c r="AG40" i="15"/>
  <c r="AH40" i="15"/>
  <c r="AI40" i="15"/>
  <c r="AJ40" i="15"/>
  <c r="L41" i="15"/>
  <c r="AG41" i="15" s="1"/>
  <c r="M41" i="15"/>
  <c r="AH41" i="15" s="1"/>
  <c r="N41" i="15"/>
  <c r="AI41" i="15" s="1"/>
  <c r="O41" i="15"/>
  <c r="AJ41" i="15" s="1"/>
  <c r="L42" i="15"/>
  <c r="AG42" i="15" s="1"/>
  <c r="M42" i="15"/>
  <c r="AH42" i="15" s="1"/>
  <c r="N42" i="15"/>
  <c r="AI42" i="15" s="1"/>
  <c r="O42" i="15"/>
  <c r="AJ42" i="15" s="1"/>
  <c r="L43" i="15"/>
  <c r="AG43" i="15" s="1"/>
  <c r="M43" i="15"/>
  <c r="AH43" i="15" s="1"/>
  <c r="N43" i="15"/>
  <c r="AI43" i="15" s="1"/>
  <c r="O43" i="15"/>
  <c r="AJ43" i="15" s="1"/>
  <c r="L44" i="15"/>
  <c r="AG44" i="15" s="1"/>
  <c r="M44" i="15"/>
  <c r="AH44" i="15" s="1"/>
  <c r="N44" i="15"/>
  <c r="AI44" i="15" s="1"/>
  <c r="O44" i="15"/>
  <c r="AJ44" i="15" s="1"/>
  <c r="L45" i="15"/>
  <c r="AG45" i="15" s="1"/>
  <c r="M45" i="15"/>
  <c r="AH45" i="15" s="1"/>
  <c r="N45" i="15"/>
  <c r="AI45" i="15" s="1"/>
  <c r="O45" i="15"/>
  <c r="AJ45" i="15" s="1"/>
  <c r="L46" i="15"/>
  <c r="AG46" i="15" s="1"/>
  <c r="M46" i="15"/>
  <c r="AH46" i="15" s="1"/>
  <c r="N46" i="15"/>
  <c r="AI46" i="15" s="1"/>
  <c r="O46" i="15"/>
  <c r="AJ46" i="15" s="1"/>
  <c r="L47" i="15"/>
  <c r="AG47" i="15" s="1"/>
  <c r="M47" i="15"/>
  <c r="AH47" i="15" s="1"/>
  <c r="N47" i="15"/>
  <c r="AI47" i="15" s="1"/>
  <c r="O47" i="15"/>
  <c r="AJ47" i="15" s="1"/>
  <c r="AG48" i="15"/>
  <c r="AH48" i="15"/>
  <c r="AI48" i="15"/>
  <c r="AJ48" i="15"/>
  <c r="L49" i="15"/>
  <c r="AG49" i="15" s="1"/>
  <c r="M49" i="15"/>
  <c r="AH49" i="15" s="1"/>
  <c r="N49" i="15"/>
  <c r="AI49" i="15" s="1"/>
  <c r="O49" i="15"/>
  <c r="AJ49" i="15" s="1"/>
  <c r="L50" i="15"/>
  <c r="AG50" i="15" s="1"/>
  <c r="M50" i="15"/>
  <c r="AH50" i="15" s="1"/>
  <c r="N50" i="15"/>
  <c r="AI50" i="15" s="1"/>
  <c r="O50" i="15"/>
  <c r="AJ50" i="15" s="1"/>
  <c r="L51" i="15"/>
  <c r="AG51" i="15" s="1"/>
  <c r="M51" i="15"/>
  <c r="AH51" i="15" s="1"/>
  <c r="N51" i="15"/>
  <c r="AI51" i="15" s="1"/>
  <c r="O51" i="15"/>
  <c r="AJ51" i="15" s="1"/>
  <c r="L52" i="15"/>
  <c r="AG52" i="15" s="1"/>
  <c r="M52" i="15"/>
  <c r="AH52" i="15" s="1"/>
  <c r="N52" i="15"/>
  <c r="AI52" i="15" s="1"/>
  <c r="O52" i="15"/>
  <c r="AJ52" i="15" s="1"/>
  <c r="L53" i="15"/>
  <c r="AG53" i="15" s="1"/>
  <c r="M53" i="15"/>
  <c r="AH53" i="15" s="1"/>
  <c r="N53" i="15"/>
  <c r="AI53" i="15" s="1"/>
  <c r="O53" i="15"/>
  <c r="AJ53" i="15" s="1"/>
  <c r="AG54" i="15"/>
  <c r="AH54" i="15"/>
  <c r="AI54" i="15"/>
  <c r="AJ54" i="15"/>
  <c r="L55" i="15"/>
  <c r="AG55" i="15" s="1"/>
  <c r="M55" i="15"/>
  <c r="AH55" i="15" s="1"/>
  <c r="N55" i="15"/>
  <c r="AI55" i="15" s="1"/>
  <c r="O55" i="15"/>
  <c r="AJ55" i="15" s="1"/>
  <c r="L56" i="15"/>
  <c r="AG56" i="15" s="1"/>
  <c r="M56" i="15"/>
  <c r="AH56" i="15" s="1"/>
  <c r="N56" i="15"/>
  <c r="AI56" i="15" s="1"/>
  <c r="O56" i="15"/>
  <c r="AJ56" i="15" s="1"/>
  <c r="L58" i="15"/>
  <c r="AG58" i="15" s="1"/>
  <c r="M58" i="15"/>
  <c r="AH58" i="15" s="1"/>
  <c r="N58" i="15"/>
  <c r="AI58" i="15" s="1"/>
  <c r="O58" i="15"/>
  <c r="AJ58" i="15" s="1"/>
  <c r="L59" i="15"/>
  <c r="AG59" i="15" s="1"/>
  <c r="M59" i="15"/>
  <c r="AH59" i="15" s="1"/>
  <c r="N59" i="15"/>
  <c r="AI59" i="15" s="1"/>
  <c r="O59" i="15"/>
  <c r="AJ59" i="15" s="1"/>
  <c r="AG60" i="15"/>
  <c r="AH60" i="15"/>
  <c r="AI60" i="15"/>
  <c r="AJ60" i="15"/>
  <c r="L61" i="15"/>
  <c r="AG61" i="15" s="1"/>
  <c r="M61" i="15"/>
  <c r="AH61" i="15" s="1"/>
  <c r="N61" i="15"/>
  <c r="AI61" i="15" s="1"/>
  <c r="O61" i="15"/>
  <c r="AJ61" i="15" s="1"/>
  <c r="L62" i="15"/>
  <c r="AG62" i="15" s="1"/>
  <c r="M62" i="15"/>
  <c r="AH62" i="15" s="1"/>
  <c r="N62" i="15"/>
  <c r="AI62" i="15" s="1"/>
  <c r="O62" i="15"/>
  <c r="AJ62" i="15" s="1"/>
  <c r="L63" i="15"/>
  <c r="AG63" i="15" s="1"/>
  <c r="M63" i="15"/>
  <c r="AH63" i="15" s="1"/>
  <c r="N63" i="15"/>
  <c r="AI63" i="15" s="1"/>
  <c r="O63" i="15"/>
  <c r="AJ63" i="15" s="1"/>
  <c r="L64" i="15"/>
  <c r="AG64" i="15" s="1"/>
  <c r="M64" i="15"/>
  <c r="AH64" i="15" s="1"/>
  <c r="N64" i="15"/>
  <c r="AI64" i="15" s="1"/>
  <c r="O64" i="15"/>
  <c r="AJ64" i="15" s="1"/>
  <c r="L65" i="15"/>
  <c r="AG65" i="15" s="1"/>
  <c r="M65" i="15"/>
  <c r="AH65" i="15" s="1"/>
  <c r="N65" i="15"/>
  <c r="AI65" i="15" s="1"/>
  <c r="O65" i="15"/>
  <c r="AJ65" i="15" s="1"/>
  <c r="L66" i="15"/>
  <c r="AG66" i="15" s="1"/>
  <c r="M66" i="15"/>
  <c r="AH66" i="15" s="1"/>
  <c r="N66" i="15"/>
  <c r="AI66" i="15" s="1"/>
  <c r="O66" i="15"/>
  <c r="AJ66" i="15" s="1"/>
  <c r="L67" i="15"/>
  <c r="AG67" i="15" s="1"/>
  <c r="M67" i="15"/>
  <c r="AH67" i="15" s="1"/>
  <c r="N67" i="15"/>
  <c r="AI67" i="15" s="1"/>
  <c r="O67" i="15"/>
  <c r="AJ67" i="15" s="1"/>
  <c r="L68" i="15"/>
  <c r="AG68" i="15" s="1"/>
  <c r="M68" i="15"/>
  <c r="AH68" i="15" s="1"/>
  <c r="N68" i="15"/>
  <c r="AI68" i="15" s="1"/>
  <c r="O68" i="15"/>
  <c r="AJ68" i="15" s="1"/>
  <c r="L69" i="15"/>
  <c r="AG69" i="15" s="1"/>
  <c r="M69" i="15"/>
  <c r="AH69" i="15" s="1"/>
  <c r="N69" i="15"/>
  <c r="AI69" i="15" s="1"/>
  <c r="O69" i="15"/>
  <c r="AJ69" i="15" s="1"/>
  <c r="AG70" i="15"/>
  <c r="AH70" i="15"/>
  <c r="AI70" i="15"/>
  <c r="AJ70" i="15"/>
  <c r="L71" i="15"/>
  <c r="AG71" i="15" s="1"/>
  <c r="M71" i="15"/>
  <c r="AH71" i="15" s="1"/>
  <c r="N71" i="15"/>
  <c r="AI71" i="15" s="1"/>
  <c r="O71" i="15"/>
  <c r="AJ71" i="15" s="1"/>
  <c r="L72" i="15"/>
  <c r="AG72" i="15" s="1"/>
  <c r="M72" i="15"/>
  <c r="AH72" i="15" s="1"/>
  <c r="N72" i="15"/>
  <c r="AI72" i="15" s="1"/>
  <c r="O72" i="15"/>
  <c r="AJ72" i="15" s="1"/>
  <c r="L73" i="15"/>
  <c r="AG73" i="15" s="1"/>
  <c r="M73" i="15"/>
  <c r="AH73" i="15" s="1"/>
  <c r="N73" i="15"/>
  <c r="AI73" i="15" s="1"/>
  <c r="O73" i="15"/>
  <c r="AJ73" i="15" s="1"/>
  <c r="L74" i="15"/>
  <c r="AG74" i="15" s="1"/>
  <c r="M74" i="15"/>
  <c r="AH74" i="15" s="1"/>
  <c r="N74" i="15"/>
  <c r="AI74" i="15" s="1"/>
  <c r="O74" i="15"/>
  <c r="AJ74" i="15" s="1"/>
  <c r="L75" i="15"/>
  <c r="AG75" i="15" s="1"/>
  <c r="M75" i="15"/>
  <c r="AH75" i="15" s="1"/>
  <c r="N75" i="15"/>
  <c r="AI75" i="15" s="1"/>
  <c r="O75" i="15"/>
  <c r="AJ75" i="15" s="1"/>
  <c r="L76" i="15"/>
  <c r="AG76" i="15" s="1"/>
  <c r="M76" i="15"/>
  <c r="AH76" i="15" s="1"/>
  <c r="N76" i="15"/>
  <c r="AI76" i="15" s="1"/>
  <c r="O76" i="15"/>
  <c r="AJ76" i="15" s="1"/>
  <c r="L77" i="15"/>
  <c r="AG77" i="15" s="1"/>
  <c r="M77" i="15"/>
  <c r="AH77" i="15" s="1"/>
  <c r="N77" i="15"/>
  <c r="AI77" i="15" s="1"/>
  <c r="O77" i="15"/>
  <c r="AJ77" i="15" s="1"/>
  <c r="L78" i="15"/>
  <c r="AG78" i="15" s="1"/>
  <c r="M78" i="15"/>
  <c r="AH78" i="15" s="1"/>
  <c r="N78" i="15"/>
  <c r="AI78" i="15" s="1"/>
  <c r="O78" i="15"/>
  <c r="AJ78" i="15" s="1"/>
  <c r="L79" i="15"/>
  <c r="AG79" i="15" s="1"/>
  <c r="M79" i="15"/>
  <c r="AH79" i="15" s="1"/>
  <c r="N79" i="15"/>
  <c r="AI79" i="15" s="1"/>
  <c r="O79" i="15"/>
  <c r="AJ79" i="15" s="1"/>
  <c r="L80" i="15"/>
  <c r="AG80" i="15" s="1"/>
  <c r="M80" i="15"/>
  <c r="AH80" i="15" s="1"/>
  <c r="N80" i="15"/>
  <c r="AI80" i="15" s="1"/>
  <c r="O80" i="15"/>
  <c r="AJ80" i="15" s="1"/>
  <c r="L81" i="15"/>
  <c r="AG81" i="15" s="1"/>
  <c r="M81" i="15"/>
  <c r="AH81" i="15" s="1"/>
  <c r="N81" i="15"/>
  <c r="AI81" i="15" s="1"/>
  <c r="O81" i="15"/>
  <c r="AJ81" i="15" s="1"/>
  <c r="L82" i="15"/>
  <c r="M82" i="15"/>
  <c r="AH82" i="15" s="1"/>
  <c r="N82" i="15"/>
  <c r="AI82" i="15" s="1"/>
  <c r="O82" i="15"/>
  <c r="AJ82" i="15" s="1"/>
  <c r="L83" i="15"/>
  <c r="AG83" i="15" s="1"/>
  <c r="M83" i="15"/>
  <c r="AH83" i="15" s="1"/>
  <c r="N83" i="15"/>
  <c r="AI83" i="15" s="1"/>
  <c r="O83" i="15"/>
  <c r="AJ83" i="15" s="1"/>
  <c r="L84" i="15"/>
  <c r="AG84" i="15" s="1"/>
  <c r="M84" i="15"/>
  <c r="AH84" i="15" s="1"/>
  <c r="N84" i="15"/>
  <c r="AI84" i="15" s="1"/>
  <c r="O84" i="15"/>
  <c r="AJ84" i="15" s="1"/>
  <c r="AG85" i="15"/>
  <c r="AH85" i="15"/>
  <c r="AI85" i="15"/>
  <c r="AJ85" i="15"/>
  <c r="AG86" i="15"/>
  <c r="AH86" i="15"/>
  <c r="AI86" i="15"/>
  <c r="AJ86" i="15"/>
  <c r="AG87" i="15"/>
  <c r="AH87" i="15"/>
  <c r="AI87" i="15"/>
  <c r="AJ87" i="15"/>
  <c r="L88" i="15"/>
  <c r="AG88" i="15" s="1"/>
  <c r="M88" i="15"/>
  <c r="AH88" i="15" s="1"/>
  <c r="N88" i="15"/>
  <c r="AI88" i="15" s="1"/>
  <c r="O88" i="15"/>
  <c r="AJ88" i="15" s="1"/>
  <c r="L89" i="15"/>
  <c r="AG89" i="15" s="1"/>
  <c r="M89" i="15"/>
  <c r="AH89" i="15" s="1"/>
  <c r="N89" i="15"/>
  <c r="AI89" i="15" s="1"/>
  <c r="O89" i="15"/>
  <c r="AJ89" i="15" s="1"/>
  <c r="AG90" i="15"/>
  <c r="AH90" i="15"/>
  <c r="AI90" i="15"/>
  <c r="AJ90" i="15"/>
  <c r="L91" i="15"/>
  <c r="AG91" i="15" s="1"/>
  <c r="M91" i="15"/>
  <c r="AH91" i="15" s="1"/>
  <c r="N91" i="15"/>
  <c r="AI91" i="15" s="1"/>
  <c r="O91" i="15"/>
  <c r="AJ91" i="15" s="1"/>
  <c r="L92" i="15"/>
  <c r="AG92" i="15" s="1"/>
  <c r="M92" i="15"/>
  <c r="AH92" i="15" s="1"/>
  <c r="N92" i="15"/>
  <c r="AI92" i="15" s="1"/>
  <c r="O92" i="15"/>
  <c r="AJ92" i="15" s="1"/>
  <c r="L93" i="15"/>
  <c r="AG93" i="15" s="1"/>
  <c r="M93" i="15"/>
  <c r="AH93" i="15" s="1"/>
  <c r="N93" i="15"/>
  <c r="AI93" i="15" s="1"/>
  <c r="O93" i="15"/>
  <c r="AJ93" i="15" s="1"/>
  <c r="L94" i="15"/>
  <c r="AG94" i="15" s="1"/>
  <c r="M94" i="15"/>
  <c r="AH94" i="15" s="1"/>
  <c r="N94" i="15"/>
  <c r="AI94" i="15" s="1"/>
  <c r="O94" i="15"/>
  <c r="AJ94" i="15" s="1"/>
  <c r="L95" i="15"/>
  <c r="AG95" i="15" s="1"/>
  <c r="M95" i="15"/>
  <c r="AH95" i="15" s="1"/>
  <c r="N95" i="15"/>
  <c r="AI95" i="15" s="1"/>
  <c r="O95" i="15"/>
  <c r="AJ95" i="15" s="1"/>
  <c r="L96" i="15"/>
  <c r="AG96" i="15" s="1"/>
  <c r="M96" i="15"/>
  <c r="AH96" i="15" s="1"/>
  <c r="N96" i="15"/>
  <c r="AI96" i="15" s="1"/>
  <c r="O96" i="15"/>
  <c r="AJ96" i="15" s="1"/>
  <c r="L97" i="15"/>
  <c r="AG97" i="15" s="1"/>
  <c r="M97" i="15"/>
  <c r="AH97" i="15" s="1"/>
  <c r="N97" i="15"/>
  <c r="AI97" i="15" s="1"/>
  <c r="O97" i="15"/>
  <c r="AJ97" i="15" s="1"/>
  <c r="L98" i="15"/>
  <c r="AG98" i="15" s="1"/>
  <c r="M98" i="15"/>
  <c r="AH98" i="15" s="1"/>
  <c r="N98" i="15"/>
  <c r="AI98" i="15" s="1"/>
  <c r="O98" i="15"/>
  <c r="AJ98" i="15" s="1"/>
  <c r="L99" i="15"/>
  <c r="AG99" i="15" s="1"/>
  <c r="M99" i="15"/>
  <c r="AH99" i="15" s="1"/>
  <c r="N99" i="15"/>
  <c r="AI99" i="15" s="1"/>
  <c r="O99" i="15"/>
  <c r="AJ99" i="15" s="1"/>
  <c r="L100" i="15"/>
  <c r="AG100" i="15" s="1"/>
  <c r="M100" i="15"/>
  <c r="AH100" i="15" s="1"/>
  <c r="N100" i="15"/>
  <c r="AI100" i="15" s="1"/>
  <c r="O100" i="15"/>
  <c r="AJ100" i="15" s="1"/>
  <c r="L101" i="15"/>
  <c r="AG101" i="15" s="1"/>
  <c r="M101" i="15"/>
  <c r="AH101" i="15" s="1"/>
  <c r="N101" i="15"/>
  <c r="AI101" i="15" s="1"/>
  <c r="O101" i="15"/>
  <c r="AJ101" i="15" s="1"/>
  <c r="V113" i="15" l="1"/>
  <c r="P112" i="15"/>
  <c r="P111" i="15"/>
  <c r="P110" i="15"/>
  <c r="P109" i="15"/>
  <c r="P108" i="15"/>
  <c r="P107" i="15"/>
  <c r="P106" i="15"/>
  <c r="P105" i="15"/>
  <c r="P104" i="15"/>
  <c r="P114" i="15"/>
  <c r="P113" i="15"/>
  <c r="V111" i="15"/>
  <c r="V110" i="15"/>
  <c r="P57" i="15"/>
  <c r="V108" i="15"/>
  <c r="V106" i="15"/>
  <c r="V105" i="15"/>
  <c r="V104" i="15"/>
  <c r="V107" i="15"/>
  <c r="P83" i="15"/>
  <c r="P21" i="15"/>
  <c r="P67" i="15"/>
  <c r="P75" i="15"/>
  <c r="P82" i="15"/>
  <c r="P91" i="15"/>
  <c r="P36" i="15"/>
  <c r="P97" i="15"/>
  <c r="P43" i="15"/>
  <c r="P51" i="15"/>
  <c r="P60" i="15"/>
  <c r="AM87" i="15"/>
  <c r="P19" i="15"/>
  <c r="P27" i="15"/>
  <c r="P34" i="15"/>
  <c r="P41" i="15"/>
  <c r="P49" i="15"/>
  <c r="P58" i="15"/>
  <c r="P65" i="15"/>
  <c r="P73" i="15"/>
  <c r="P81" i="15"/>
  <c r="P89" i="15"/>
  <c r="P95" i="15"/>
  <c r="AG82" i="15"/>
  <c r="P20" i="15"/>
  <c r="P28" i="15"/>
  <c r="P35" i="15"/>
  <c r="P42" i="15"/>
  <c r="P50" i="15"/>
  <c r="P59" i="15"/>
  <c r="P66" i="15"/>
  <c r="P74" i="15"/>
  <c r="P90" i="15"/>
  <c r="P96" i="15"/>
  <c r="P14" i="15"/>
  <c r="P22" i="15"/>
  <c r="P29" i="15"/>
  <c r="P37" i="15"/>
  <c r="P44" i="15"/>
  <c r="P52" i="15"/>
  <c r="P68" i="15"/>
  <c r="P76" i="15"/>
  <c r="P84" i="15"/>
  <c r="P98" i="15"/>
  <c r="P15" i="15"/>
  <c r="P23" i="15"/>
  <c r="P30" i="15"/>
  <c r="P45" i="15"/>
  <c r="P53" i="15"/>
  <c r="P61" i="15"/>
  <c r="P69" i="15"/>
  <c r="P77" i="15"/>
  <c r="P85" i="15"/>
  <c r="P99" i="15"/>
  <c r="P16" i="15"/>
  <c r="P24" i="15"/>
  <c r="P31" i="15"/>
  <c r="P38" i="15"/>
  <c r="P46" i="15"/>
  <c r="P54" i="15"/>
  <c r="P62" i="15"/>
  <c r="P70" i="15"/>
  <c r="P78" i="15"/>
  <c r="P86" i="15"/>
  <c r="P92" i="15"/>
  <c r="P17" i="15"/>
  <c r="P25" i="15"/>
  <c r="P32" i="15"/>
  <c r="P39" i="15"/>
  <c r="P47" i="15"/>
  <c r="P55" i="15"/>
  <c r="P63" i="15"/>
  <c r="P71" i="15"/>
  <c r="P79" i="15"/>
  <c r="P87" i="15"/>
  <c r="P93" i="15"/>
  <c r="P100" i="15"/>
  <c r="P18" i="15"/>
  <c r="P26" i="15"/>
  <c r="P33" i="15"/>
  <c r="P40" i="15"/>
  <c r="P48" i="15"/>
  <c r="P56" i="15"/>
  <c r="P64" i="15"/>
  <c r="P72" i="15"/>
  <c r="P80" i="15"/>
  <c r="P88" i="15"/>
  <c r="P94" i="15"/>
  <c r="P101" i="15"/>
  <c r="AU33" i="16"/>
  <c r="AR33" i="16"/>
  <c r="P33" i="16"/>
  <c r="C27" i="17" s="1"/>
  <c r="Q33" i="16"/>
  <c r="O33" i="16"/>
  <c r="AK33" i="16" s="1"/>
  <c r="AM33" i="16" l="1"/>
  <c r="D27" i="17"/>
  <c r="F27" i="17"/>
  <c r="E27" i="17"/>
  <c r="H27" i="17" s="1"/>
  <c r="AL33" i="16"/>
  <c r="AS33" i="16"/>
  <c r="N33" i="16"/>
  <c r="W33" i="16" s="1"/>
  <c r="D16" i="17" s="1"/>
  <c r="AT33" i="16"/>
  <c r="V33" i="16"/>
  <c r="AU25" i="16"/>
  <c r="AU41" i="16"/>
  <c r="Q25" i="16"/>
  <c r="AR41" i="16"/>
  <c r="V25" i="16"/>
  <c r="AT25" i="16"/>
  <c r="P25" i="16"/>
  <c r="C26" i="17" s="1"/>
  <c r="Q41" i="16"/>
  <c r="AM41" i="16" s="1"/>
  <c r="AS41" i="16"/>
  <c r="O41" i="16"/>
  <c r="AK41" i="16" s="1"/>
  <c r="O25" i="16"/>
  <c r="AK25" i="16" s="1"/>
  <c r="N25" i="16"/>
  <c r="V41" i="16"/>
  <c r="P41" i="16"/>
  <c r="AL41" i="16" s="1"/>
  <c r="AM25" i="16" l="1"/>
  <c r="D26" i="17"/>
  <c r="G27" i="17"/>
  <c r="I27" i="17"/>
  <c r="F26" i="17"/>
  <c r="E26" i="17"/>
  <c r="H26" i="17" s="1"/>
  <c r="W25" i="16"/>
  <c r="AL25" i="16"/>
  <c r="D42" i="17"/>
  <c r="F16" i="17"/>
  <c r="AJ25" i="16"/>
  <c r="AJ33" i="16"/>
  <c r="AS25" i="16"/>
  <c r="AT41" i="16"/>
  <c r="N41" i="16"/>
  <c r="W41" i="16" s="1"/>
  <c r="AR25" i="16"/>
  <c r="AR16" i="16"/>
  <c r="N16" i="16"/>
  <c r="AU16" i="16"/>
  <c r="P16" i="16"/>
  <c r="C25" i="17" s="1"/>
  <c r="D15" i="17" l="1"/>
  <c r="F15" i="17" s="1"/>
  <c r="AM16" i="16"/>
  <c r="D25" i="17"/>
  <c r="G26" i="17"/>
  <c r="I26" i="17"/>
  <c r="F25" i="17"/>
  <c r="E25" i="17"/>
  <c r="H25" i="17" s="1"/>
  <c r="C30" i="17"/>
  <c r="F30" i="17" s="1"/>
  <c r="D47" i="17"/>
  <c r="E76" i="17" s="1"/>
  <c r="G76" i="17" s="1"/>
  <c r="AL16" i="16"/>
  <c r="D37" i="17"/>
  <c r="F37" i="17" s="1"/>
  <c r="E80" i="17"/>
  <c r="G80" i="17" s="1"/>
  <c r="F42" i="17"/>
  <c r="E81" i="17"/>
  <c r="G81" i="17" s="1"/>
  <c r="E82" i="17"/>
  <c r="G82" i="17" s="1"/>
  <c r="AJ41" i="16"/>
  <c r="AJ16" i="16"/>
  <c r="V16" i="16"/>
  <c r="AS16" i="16"/>
  <c r="AT16" i="16"/>
  <c r="O16" i="16"/>
  <c r="AK16" i="16" s="1"/>
  <c r="G25" i="17" l="1"/>
  <c r="I25" i="17"/>
  <c r="I30" i="17" s="1"/>
  <c r="D30" i="17"/>
  <c r="G30" i="17" s="1"/>
  <c r="E30" i="17"/>
  <c r="H30" i="17" s="1"/>
  <c r="E77" i="17"/>
  <c r="G77" i="17" s="1"/>
  <c r="E75" i="17"/>
  <c r="G75" i="17" s="1"/>
  <c r="F47" i="17"/>
  <c r="W16" i="16"/>
  <c r="D36" i="17" l="1"/>
  <c r="E68" i="17" s="1"/>
  <c r="D14" i="17"/>
  <c r="D19" i="17" l="1"/>
  <c r="F19" i="17" s="1"/>
  <c r="F14" i="17"/>
  <c r="E72" i="17"/>
  <c r="G72" i="17" s="1"/>
  <c r="G68" i="17"/>
  <c r="E69" i="17"/>
  <c r="G69" i="17" s="1"/>
  <c r="E70" i="17"/>
  <c r="G70" i="17" s="1"/>
  <c r="E71" i="17"/>
  <c r="G71" i="17" s="1"/>
  <c r="F36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Levine</author>
  </authors>
  <commentList>
    <comment ref="G28" authorId="0" shapeId="0" xr:uid="{58948F9F-0455-485C-82E8-746C194C1445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UC whole-building energy performance targets 2025+ compliance target</t>
        </r>
      </text>
    </comment>
    <comment ref="B38" authorId="0" shapeId="0" xr:uid="{FEF6CCF5-BE0A-451D-8347-2055B498F501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Average of engineering, classroom, and admin</t>
        </r>
      </text>
    </comment>
    <comment ref="B55" authorId="0" shapeId="0" xr:uid="{6CA55534-4F12-4182-8605-C3AF2DEF34C9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Average of engineering, classroom, and admin</t>
        </r>
      </text>
    </comment>
    <comment ref="J61" authorId="0" shapeId="0" xr:uid="{21B8F0EF-94C4-4849-ABFD-118444EAFD96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UC whole-building energy performance targets 2015-2016 compliance target</t>
        </r>
      </text>
    </comment>
    <comment ref="F62" authorId="0" shapeId="0" xr:uid="{F5C920B0-1520-4A12-AFA1-1C505BD234FF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Average peak condensate from previous study</t>
        </r>
      </text>
    </comment>
    <comment ref="B72" authorId="0" shapeId="0" xr:uid="{77CFCD96-CDA8-46E6-83BA-FEB988C066BB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Average of engineering, classrom, and admin</t>
        </r>
      </text>
    </comment>
    <comment ref="B87" authorId="0" shapeId="0" xr:uid="{B879CC22-819A-45D5-9104-E402050AED34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Average of engineering, classrom, and admin</t>
        </r>
      </text>
    </comment>
    <comment ref="B124" authorId="0" shapeId="0" xr:uid="{5A383962-80A0-489B-9EBD-FF4F711CEE9C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Title 24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Levine</author>
    <author>Afaan Naqvi</author>
  </authors>
  <commentList>
    <comment ref="F12" authorId="0" shapeId="0" xr:uid="{893859EC-438D-48C1-B396-13C430F6FD4F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Update with latest</t>
        </r>
      </text>
    </comment>
    <comment ref="L12" authorId="0" shapeId="0" xr:uid="{2C99CA89-A249-4A81-9963-08E88C9B1CF5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All hard-entered values per 2015 study</t>
        </r>
      </text>
    </comment>
    <comment ref="R12" authorId="0" shapeId="0" xr:uid="{7626362C-EE45-4D29-A8B9-1E6D75CA3FD0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All hard-entered values per 2015 study</t>
        </r>
      </text>
    </comment>
    <comment ref="U16" authorId="1" shapeId="0" xr:uid="{4FE83BCA-659E-47D4-AACB-52A4A17565B7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25" authorId="1" shapeId="0" xr:uid="{F5AF46E7-6310-4781-ABFE-01C87A491DA7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33" authorId="1" shapeId="0" xr:uid="{89C25063-20DF-4C25-A2CF-2392FA7C74C4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41" authorId="1" shapeId="0" xr:uid="{59889AB0-5B27-48A4-AA7D-3CB2855F40E2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50" authorId="1" shapeId="0" xr:uid="{CF7E9EA2-280A-4C89-8BD3-BDF94EF85324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30% to 15%
(7/14 process peak-to-energy match)</t>
        </r>
      </text>
    </comment>
    <comment ref="U54" authorId="1" shapeId="0" xr:uid="{B11E7BC9-630D-4B0B-AA36-79823EFC79D0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25%
(7/14 process peak-to-energy match)</t>
        </r>
      </text>
    </comment>
    <comment ref="U55" authorId="1" shapeId="0" xr:uid="{BCD22DCC-49F3-43CE-A72F-E2DC3E68CE7D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58" authorId="1" shapeId="0" xr:uid="{BE335949-089D-42B1-A522-FDAC497E2943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60" authorId="1" shapeId="0" xr:uid="{4079F065-B894-4F45-AE76-577459F40B06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25%
(7/14 process peak-to-energy match)</t>
        </r>
      </text>
    </comment>
    <comment ref="U62" authorId="1" shapeId="0" xr:uid="{CD78D2A7-30D0-4E40-81C2-2B810A998C94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63" authorId="1" shapeId="0" xr:uid="{E699D230-CB8E-49A1-AC20-B88C234E3822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64" authorId="1" shapeId="0" xr:uid="{8BDA2CDE-EF86-46A5-A0E0-EA3CDE263247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67" authorId="1" shapeId="0" xr:uid="{8857ED21-B51A-4CBC-9623-32AF8139036F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71" authorId="1" shapeId="0" xr:uid="{F71F99FF-19B6-4711-B499-3E8A97DA8B6A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74" authorId="1" shapeId="0" xr:uid="{83328361-2AE8-413A-A423-7F2F4DCDB298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76" authorId="1" shapeId="0" xr:uid="{D93753C5-EA9A-4A3E-BB45-F0DB97625665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L85" authorId="1" shapeId="0" xr:uid="{B3A1F6DC-A8F6-401E-959E-6062A8E2571D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See Stanley sub-meter data</t>
        </r>
      </text>
    </comment>
    <comment ref="U85" authorId="1" shapeId="0" xr:uid="{85B6A07B-4D79-418F-84CE-AFF475FEACDE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25%
(7/14 process peak-to-energy match)</t>
        </r>
      </text>
    </comment>
    <comment ref="U91" authorId="1" shapeId="0" xr:uid="{02FD2C4E-380E-44F9-9235-3E0B0B59B470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94" authorId="1" shapeId="0" xr:uid="{70937EFB-7CD8-46BE-84D0-BF17A120C19F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97" authorId="1" shapeId="0" xr:uid="{2C70CA80-CBB5-42CF-A66F-7AD9467DEB41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107" authorId="0" shapeId="0" xr:uid="{95765BEF-E6CD-4F76-A9FD-F8C7402079E3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Typical for existing biosciences buildings</t>
        </r>
      </text>
    </comment>
    <comment ref="U112" authorId="0" shapeId="0" xr:uid="{F8B77BFD-A3E3-451C-8C38-6777EE140A1F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Typical for existing biosciences buildings</t>
        </r>
      </text>
    </comment>
    <comment ref="U114" authorId="0" shapeId="0" xr:uid="{D3853683-1DE8-4D34-A0B0-30D464AF7D8F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Typical for existing biosciences buildings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Levine</author>
  </authors>
  <commentList>
    <comment ref="L12" authorId="0" shapeId="0" xr:uid="{8519A01F-6382-498D-B042-C72467A92882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Syska Hennessey Fire and Ice Study</t>
        </r>
      </text>
    </comment>
    <comment ref="L40" authorId="0" shapeId="0" xr:uid="{BF93CF4D-4E54-47A2-AB24-E9A5F91CAA15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Not available from Fire &amp; Ice study; use condensate derived enthalpy from 2015 study</t>
        </r>
      </text>
    </comment>
    <comment ref="L49" authorId="0" shapeId="0" xr:uid="{A7AF70C8-67BF-40E0-9F3C-DD969EC48CF7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Not available from Fire &amp; Ice study; use condensate derived enthalpy from 2015 study</t>
        </r>
      </text>
    </comment>
    <comment ref="P60" authorId="0" shapeId="0" xr:uid="{D04234A4-8C92-4901-BE56-CB62C9FC8A7E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8585 lbs/hr from Fire &amp; Ice study</t>
        </r>
      </text>
    </comment>
    <comment ref="L81" authorId="0" shapeId="0" xr:uid="{239FD1B1-FED1-47DE-85F6-8CEF8C76F92B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Not available from Fire &amp; Ice study; use condensate derived enthalpy from 2015 study</t>
        </r>
      </text>
    </comment>
    <comment ref="P85" authorId="0" shapeId="0" xr:uid="{835B6389-781A-470E-90DC-CBBDDF40A920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12608 lbs/hr from Fire &amp; Ice study</t>
        </r>
      </text>
    </comment>
    <comment ref="P90" authorId="0" shapeId="0" xr:uid="{87941870-8D0F-42AA-A0C4-9E5D677A01D1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11865 lbs/hr from Fire &amp; Ice study</t>
        </r>
      </text>
    </comment>
    <comment ref="L99" authorId="0" shapeId="0" xr:uid="{3EC54ED0-57FC-4F03-8C0E-367C09DE19BA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Not available from Fire &amp; Ice study; use condensate derived enthalpy from 2015 study</t>
        </r>
      </text>
    </comment>
    <comment ref="L100" authorId="0" shapeId="0" xr:uid="{4E68D3E5-098C-41BA-9FAA-A59453D0E021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Not available from Fire &amp; Ice study; use condensate derived enthalpy from 2015 study</t>
        </r>
      </text>
    </comment>
    <comment ref="B102" authorId="0" shapeId="0" xr:uid="{8F0BB216-1816-4AB8-A1EC-235CE382E595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Update with info received from Raphael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Levine</author>
    <author>tc={53316C5E-AC69-4CCE-90E4-DC50987A306E}</author>
    <author>tc={D0166840-105D-49C9-80E8-0233A71EB0A1}</author>
  </authors>
  <commentList>
    <comment ref="H12" authorId="0" shapeId="0" xr:uid="{121830F7-6347-4BDE-BA44-FC27055CD332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DEF</t>
        </r>
      </text>
    </comment>
    <comment ref="J12" authorId="0" shapeId="0" xr:uid="{5A64F4C3-5510-42F2-86BB-C7555C1E9D14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DEF</t>
        </r>
      </text>
    </comment>
    <comment ref="B17" authorId="1" shapeId="0" xr:uid="{53316C5E-AC69-4CCE-90E4-DC50987A306E}">
      <text>
        <t>[线程批注]
你的Excel版本可读取此线程批注; 但如果在更新版本的Excel中打开文件，则对批注所作的任何改动都将被删除。了解详细信息: https://go.microsoft.com/fwlink/?linkid=870924
注释:
    Libraries node was combined with engineering</t>
      </text>
    </comment>
    <comment ref="B28" authorId="2" shapeId="0" xr:uid="{D0166840-105D-49C9-80E8-0233A71EB0A1}">
      <text>
        <t>[线程批注]
你的Excel版本可读取此线程批注; 但如果在更新版本的Excel中打开文件，则对批注所作的任何改动都将被删除。了解详细信息: https://go.microsoft.com/fwlink/?linkid=870924
注释:
    Libraries node was combined with engineering</t>
      </text>
    </comment>
    <comment ref="I66" authorId="0" shapeId="0" xr:uid="{4E88DB0B-8F8D-4032-A0D0-FC3E651209D1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DEF</t>
        </r>
      </text>
    </comment>
    <comment ref="K66" authorId="0" shapeId="0" xr:uid="{36D7EA3A-EC59-4EF6-9382-EC380E488637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DEF</t>
        </r>
      </text>
    </comment>
  </commentList>
</comments>
</file>

<file path=xl/sharedStrings.xml><?xml version="1.0" encoding="utf-8"?>
<sst xmlns="http://schemas.openxmlformats.org/spreadsheetml/2006/main" count="1423" uniqueCount="320">
  <si>
    <t>Input</t>
  </si>
  <si>
    <t>Calculation</t>
  </si>
  <si>
    <t>Output</t>
  </si>
  <si>
    <t>Client</t>
  </si>
  <si>
    <t>Project</t>
  </si>
  <si>
    <t>Job Number</t>
  </si>
  <si>
    <t>Lookup</t>
  </si>
  <si>
    <t>Check</t>
  </si>
  <si>
    <t>UC Berkeley</t>
  </si>
  <si>
    <t>Campus energy study update</t>
  </si>
  <si>
    <t>Unit</t>
  </si>
  <si>
    <t>Source</t>
  </si>
  <si>
    <t>Electricity</t>
  </si>
  <si>
    <t>Constants and Conversions</t>
  </si>
  <si>
    <t>Value</t>
  </si>
  <si>
    <t>Parameter</t>
  </si>
  <si>
    <t>N/A</t>
  </si>
  <si>
    <t>Energy Use Intensity</t>
  </si>
  <si>
    <t>Building Type</t>
  </si>
  <si>
    <t>Steam</t>
  </si>
  <si>
    <t>Energy Splits</t>
  </si>
  <si>
    <t>Admin</t>
  </si>
  <si>
    <t>Athletic</t>
  </si>
  <si>
    <t>Auditorium</t>
  </si>
  <si>
    <t>Bioscience</t>
  </si>
  <si>
    <t>Chemistry</t>
  </si>
  <si>
    <t>Classroom</t>
  </si>
  <si>
    <t>Data Center</t>
  </si>
  <si>
    <t>Engineering</t>
  </si>
  <si>
    <t>Library</t>
  </si>
  <si>
    <t>Mixed Use</t>
  </si>
  <si>
    <t>Physics</t>
  </si>
  <si>
    <t>Residence</t>
  </si>
  <si>
    <t>Cooling &amp; Heat Rejection</t>
  </si>
  <si>
    <t>Vent &amp; Fans</t>
  </si>
  <si>
    <t>Interior and Exterior Lighting</t>
  </si>
  <si>
    <t>Plugs and Misc.</t>
  </si>
  <si>
    <t>Space Heating</t>
  </si>
  <si>
    <t>DHW</t>
  </si>
  <si>
    <t>Absorption</t>
  </si>
  <si>
    <t>Process</t>
  </si>
  <si>
    <t>Inputs</t>
  </si>
  <si>
    <t>Metadata</t>
  </si>
  <si>
    <t>CAAN</t>
  </si>
  <si>
    <t>Building Name</t>
  </si>
  <si>
    <t>Annual Energy Use</t>
  </si>
  <si>
    <t>Electricity Use (kWh/y)</t>
  </si>
  <si>
    <t>Electricity Split (%)</t>
  </si>
  <si>
    <t>Steam Use (kBtu/y)</t>
  </si>
  <si>
    <t>Steam Split (%)</t>
  </si>
  <si>
    <t>Alumni House</t>
  </si>
  <si>
    <t>Bancroft Library (Doe Annex)</t>
  </si>
  <si>
    <t>Barker Hall</t>
  </si>
  <si>
    <t>Barrows Hall</t>
  </si>
  <si>
    <t>Bechtel Engineering Center</t>
  </si>
  <si>
    <t>Birge Hall</t>
  </si>
  <si>
    <t>Blum Hall</t>
  </si>
  <si>
    <t>Boalt Hall</t>
  </si>
  <si>
    <t>Bowles Hall</t>
  </si>
  <si>
    <t>California Hall</t>
  </si>
  <si>
    <t>California Memorial Stadium</t>
  </si>
  <si>
    <t>Calvin Laboratory</t>
  </si>
  <si>
    <t>Central Heating Plant</t>
  </si>
  <si>
    <t>Mechanical</t>
  </si>
  <si>
    <t>Cesar E. Chavez Student Center</t>
  </si>
  <si>
    <t>Cheit Hall</t>
  </si>
  <si>
    <t>Cory Hall</t>
  </si>
  <si>
    <t>David Gardner Stacks</t>
  </si>
  <si>
    <t>Davis Hall</t>
  </si>
  <si>
    <t>Doe Memorial Library</t>
  </si>
  <si>
    <t>Donner Laboratory</t>
  </si>
  <si>
    <t>Durant Hall</t>
  </si>
  <si>
    <t>Dwinelle Hall</t>
  </si>
  <si>
    <t>Earl Warren Hall</t>
  </si>
  <si>
    <t>Edwards Stadium / Goldman Field</t>
  </si>
  <si>
    <t>Etcheverry Hall</t>
  </si>
  <si>
    <t>Evans Hall</t>
  </si>
  <si>
    <t>Faculty Club</t>
  </si>
  <si>
    <t>Genetics &amp; Plant Biology</t>
  </si>
  <si>
    <t>Gerson Bakar Faculty Building</t>
  </si>
  <si>
    <t>Giannini Hall</t>
  </si>
  <si>
    <t>Giauque Laboratory</t>
  </si>
  <si>
    <t>Gilman Hall</t>
  </si>
  <si>
    <t>Hargrove Music Library</t>
  </si>
  <si>
    <t>Haviland Hall</t>
  </si>
  <si>
    <t>Hazardous Materials Facility</t>
  </si>
  <si>
    <t>Hearst Field Annex</t>
  </si>
  <si>
    <t>Hearst Memorial Gymnasium</t>
  </si>
  <si>
    <t>Hearst Memorial Mining Building</t>
  </si>
  <si>
    <t>Hertz Memorial Concert Hall</t>
  </si>
  <si>
    <t>Hesse Hall</t>
  </si>
  <si>
    <t>Hildebrand Hall</t>
  </si>
  <si>
    <t>Hilgard Hall</t>
  </si>
  <si>
    <t>International House</t>
  </si>
  <si>
    <t>Koshland Hall</t>
  </si>
  <si>
    <t>Kroeber Hall</t>
  </si>
  <si>
    <t>Latimer Hall</t>
  </si>
  <si>
    <t>LeConte Hall</t>
  </si>
  <si>
    <t>Lewis Hall</t>
  </si>
  <si>
    <t>Li Ka Shing Center</t>
  </si>
  <si>
    <t>Life Sciences Addition</t>
  </si>
  <si>
    <t>McCone Hall</t>
  </si>
  <si>
    <t>McLaughlin Hall</t>
  </si>
  <si>
    <t>1302F</t>
  </si>
  <si>
    <t>Minor Hall</t>
  </si>
  <si>
    <t>Minor Hall Addition</t>
  </si>
  <si>
    <t>MLK, Jr. Student Union</t>
  </si>
  <si>
    <t>Moffitt Undergraduate Library</t>
  </si>
  <si>
    <t>Morgan Hall</t>
  </si>
  <si>
    <t>Morrison Hall</t>
  </si>
  <si>
    <t>Moses Hall</t>
  </si>
  <si>
    <t>Mulford Hall</t>
  </si>
  <si>
    <t>North Gate Hall</t>
  </si>
  <si>
    <t>Northwest Animal Facility</t>
  </si>
  <si>
    <t>O'Brien Hall</t>
  </si>
  <si>
    <t>Pimentel Hall</t>
  </si>
  <si>
    <t>Recreational Sports Facility</t>
  </si>
  <si>
    <t>Simon Hall</t>
  </si>
  <si>
    <t>Simpson Student-Athlete High Performance Center</t>
  </si>
  <si>
    <t>Soda Hall</t>
  </si>
  <si>
    <t>South Hall</t>
  </si>
  <si>
    <t>Sproul Hall</t>
  </si>
  <si>
    <t>Stanley Hall</t>
  </si>
  <si>
    <t>Starr East Asian Library</t>
  </si>
  <si>
    <t>Steam Tunnel</t>
  </si>
  <si>
    <t>mechanical</t>
  </si>
  <si>
    <t>Stephens Hall</t>
  </si>
  <si>
    <t>Stern Hall</t>
  </si>
  <si>
    <t>Sutardja Dai Hall</t>
  </si>
  <si>
    <t>Tan Hall</t>
  </si>
  <si>
    <t>University Hall</t>
  </si>
  <si>
    <t>University House</t>
  </si>
  <si>
    <t>residence</t>
  </si>
  <si>
    <t>Valley Life Sciences Building</t>
  </si>
  <si>
    <t>Walter A. Haas Student Services Building</t>
  </si>
  <si>
    <t>Walter A. Haas, Jr. Pavilion</t>
  </si>
  <si>
    <t>Wellman Hall</t>
  </si>
  <si>
    <t>Wheeler Hall</t>
  </si>
  <si>
    <t>Women's Faculty Club</t>
  </si>
  <si>
    <t>Wurster Hall</t>
  </si>
  <si>
    <t>Zellerbach Hall</t>
  </si>
  <si>
    <t xml:space="preserve">New Energy Use </t>
  </si>
  <si>
    <t>Existing building-level steam loss</t>
  </si>
  <si>
    <t>Enthalpy</t>
  </si>
  <si>
    <t>%</t>
  </si>
  <si>
    <t>Assumption to convert from steam usage to heating, cooling and process loads. Accounts for steam losses through leaky traps, pipes, etc.</t>
  </si>
  <si>
    <t>Btu/lb</t>
  </si>
  <si>
    <t>Btu/kBtu</t>
  </si>
  <si>
    <t>Gas efficiency</t>
  </si>
  <si>
    <t>Assumption</t>
  </si>
  <si>
    <t>Electricity (kBtu/sqft/y)</t>
  </si>
  <si>
    <t>Steam (lbs/sqft/y)</t>
  </si>
  <si>
    <t>Building Area (sqft)</t>
  </si>
  <si>
    <t>Oxford Tract</t>
  </si>
  <si>
    <t>Jacobs</t>
  </si>
  <si>
    <t>Annual Energy Calculation</t>
  </si>
  <si>
    <t>Peak Load</t>
  </si>
  <si>
    <t>Peak Steam Intensity (Btuh/sqft)</t>
  </si>
  <si>
    <t>Peak Steam Use (Btu/h)</t>
  </si>
  <si>
    <t>Heating</t>
  </si>
  <si>
    <t>Total</t>
  </si>
  <si>
    <t>Peak Steam Split (%)</t>
  </si>
  <si>
    <t>Peak Steam Use Check</t>
  </si>
  <si>
    <t>Steam Split Check</t>
  </si>
  <si>
    <t>New Peak Load</t>
  </si>
  <si>
    <t>Cooling</t>
  </si>
  <si>
    <t>Peak Cooling (tons)</t>
  </si>
  <si>
    <t>Steam Load Splits</t>
  </si>
  <si>
    <t>Peak Heating (Btuh/sqft)</t>
  </si>
  <si>
    <t xml:space="preserve">Total Heating </t>
  </si>
  <si>
    <t>Year Constructed</t>
  </si>
  <si>
    <t>Year Demolished</t>
  </si>
  <si>
    <t>Node</t>
  </si>
  <si>
    <t>Lower Sproul offices</t>
  </si>
  <si>
    <t>Libraries</t>
  </si>
  <si>
    <t>Biosciences</t>
  </si>
  <si>
    <t>Business and Law</t>
  </si>
  <si>
    <t>Engineering, Physics and Chemistry</t>
  </si>
  <si>
    <t>Other</t>
  </si>
  <si>
    <t>Donner Laboratory (N)</t>
  </si>
  <si>
    <t>1419 (N)</t>
  </si>
  <si>
    <t>Edwards Stadium / Goldman Field New Quad (N)</t>
  </si>
  <si>
    <t>1318 (N)</t>
  </si>
  <si>
    <t>Evans Hall (N)</t>
  </si>
  <si>
    <t>1790 (N)</t>
  </si>
  <si>
    <t>1375 (N)</t>
  </si>
  <si>
    <t>Lewis Hall (N)</t>
  </si>
  <si>
    <t>1292 (N)</t>
  </si>
  <si>
    <t>Lewis Hall Addition</t>
  </si>
  <si>
    <t>1774 (N)</t>
  </si>
  <si>
    <t>Cory Hall (N)</t>
  </si>
  <si>
    <t>Davis Hall (N)</t>
  </si>
  <si>
    <t>Hesse/O'Brien (N)</t>
  </si>
  <si>
    <t>Peoples Park</t>
  </si>
  <si>
    <t>Tolman Hall (N) (Climate Science Building)</t>
  </si>
  <si>
    <t>CAAN?</t>
  </si>
  <si>
    <t>1325 (N)</t>
  </si>
  <si>
    <t>1323 (N)</t>
  </si>
  <si>
    <t>Academic/adminstrative non-complex space</t>
  </si>
  <si>
    <t>Electricity (kWh/sqft/y)</t>
  </si>
  <si>
    <t>Thermal (therms/sqft/y)</t>
  </si>
  <si>
    <t>Average of engineering, classroom, and admin</t>
  </si>
  <si>
    <t>Btu per W</t>
  </si>
  <si>
    <t>Btu/W</t>
  </si>
  <si>
    <t>Constant</t>
  </si>
  <si>
    <t>Btu/therm</t>
  </si>
  <si>
    <t>Btu per therm</t>
  </si>
  <si>
    <t>Heating and DHW</t>
  </si>
  <si>
    <t>Housing non-complex space</t>
  </si>
  <si>
    <t>Lab/complex space</t>
  </si>
  <si>
    <t>Peak Cooling (tons/1000 sqft)</t>
  </si>
  <si>
    <t>Peak Electricity (w/sqft)</t>
  </si>
  <si>
    <t>Non-cooling, non-heating</t>
  </si>
  <si>
    <t>Absorption chiller efficiency</t>
  </si>
  <si>
    <t>COP</t>
  </si>
  <si>
    <t>Assumption based on average chiller age and discussion with Mike Stone</t>
  </si>
  <si>
    <t>Building heating system efficiency</t>
  </si>
  <si>
    <t>Assumption to convert from steam usage to heating load</t>
  </si>
  <si>
    <t>Peak Heating</t>
  </si>
  <si>
    <t>Peak Heating (kBtu/h)</t>
  </si>
  <si>
    <t>Existing Chiller Capacity</t>
  </si>
  <si>
    <t>Total Chiller Capacity</t>
  </si>
  <si>
    <t>Campus</t>
  </si>
  <si>
    <t>Totals</t>
  </si>
  <si>
    <t>Peak Load Diversity</t>
  </si>
  <si>
    <t>Assumption from 2015 study</t>
  </si>
  <si>
    <t>Heating (kBtu/h)</t>
  </si>
  <si>
    <t>Cooling (tons)</t>
  </si>
  <si>
    <t>Heating (Btuh/sqft)</t>
  </si>
  <si>
    <t>Cooling (sqft/ton)</t>
  </si>
  <si>
    <t>Outputs</t>
  </si>
  <si>
    <t>Cluster</t>
  </si>
  <si>
    <t>New Buildings</t>
  </si>
  <si>
    <t>Electric Only Buildings</t>
  </si>
  <si>
    <t>Gateway Site</t>
  </si>
  <si>
    <t>Berkeley Way West</t>
  </si>
  <si>
    <t>MSRI</t>
  </si>
  <si>
    <t>Botanical Gardens</t>
  </si>
  <si>
    <t>Strawberry Center</t>
  </si>
  <si>
    <t>Crossroads</t>
  </si>
  <si>
    <t>BAM PFA</t>
  </si>
  <si>
    <t>Clark Kerr Campus 23 - Archives</t>
  </si>
  <si>
    <t>Energy Biosciences Building</t>
  </si>
  <si>
    <t>Lawrence Hall of Science</t>
  </si>
  <si>
    <t>Tang Center</t>
  </si>
  <si>
    <t>Chou Hall</t>
  </si>
  <si>
    <t>Upper Hearst</t>
  </si>
  <si>
    <t>Silver Space Sciences Lab</t>
  </si>
  <si>
    <t>Silver Space Sciences Addition</t>
  </si>
  <si>
    <t>Bakar Bioenginuity</t>
  </si>
  <si>
    <t>1810A</t>
  </si>
  <si>
    <t>Diversity</t>
  </si>
  <si>
    <t>Heating (%)</t>
  </si>
  <si>
    <t>Cooling (%)</t>
  </si>
  <si>
    <t>Heat Recovery</t>
  </si>
  <si>
    <t>kBtu/h</t>
  </si>
  <si>
    <t>MMBtu/y</t>
  </si>
  <si>
    <t>Lower Offices East</t>
  </si>
  <si>
    <t>Biosciences North</t>
  </si>
  <si>
    <t>Law West</t>
  </si>
  <si>
    <t>Engineering Cory</t>
  </si>
  <si>
    <t>Engineering Birge</t>
  </si>
  <si>
    <t>Law East</t>
  </si>
  <si>
    <t>Engineering Bowles</t>
  </si>
  <si>
    <t>None</t>
  </si>
  <si>
    <t>Business</t>
  </si>
  <si>
    <t>Edwards</t>
  </si>
  <si>
    <t>Engineering North Halls</t>
  </si>
  <si>
    <t>Engineering Evans</t>
  </si>
  <si>
    <t>Biosciences South</t>
  </si>
  <si>
    <t>Engineering Lewis</t>
  </si>
  <si>
    <t>Law Central</t>
  </si>
  <si>
    <t>University</t>
  </si>
  <si>
    <t>Life Sciences</t>
  </si>
  <si>
    <t>Peak Loads by Node</t>
  </si>
  <si>
    <t>Peak Loads by Cluster</t>
  </si>
  <si>
    <t>Phase</t>
  </si>
  <si>
    <t>kBtu/y</t>
  </si>
  <si>
    <t>Cumulative Peak Loads by Phase</t>
  </si>
  <si>
    <t>Libraries Moses</t>
  </si>
  <si>
    <t>Libraries Moffitt</t>
  </si>
  <si>
    <t>Libraries Dwinelle</t>
  </si>
  <si>
    <t>Lower Sproul Offices</t>
  </si>
  <si>
    <t>Year Transferred</t>
  </si>
  <si>
    <t>Node (4)</t>
  </si>
  <si>
    <t>Clusters</t>
  </si>
  <si>
    <t>Absorption (tons)</t>
  </si>
  <si>
    <t>Btuh per ton</t>
  </si>
  <si>
    <t>Btuh/ton</t>
  </si>
  <si>
    <t>Existing electric chiller efficiency</t>
  </si>
  <si>
    <t>kW/ton</t>
  </si>
  <si>
    <t>Electrical Loads Calculation</t>
  </si>
  <si>
    <t>Absorption (MW)</t>
  </si>
  <si>
    <t>Process Steam (MW)</t>
  </si>
  <si>
    <t>Process Steam (Btu/hr)</t>
  </si>
  <si>
    <t>Existing Cooling (tons)</t>
  </si>
  <si>
    <t>New electric chiller efficiency</t>
  </si>
  <si>
    <t>Existing Cooling (MW)</t>
  </si>
  <si>
    <t>Process Steam (lb/hr)</t>
  </si>
  <si>
    <t>Cooling Type</t>
  </si>
  <si>
    <t>Cooling Efficiencies</t>
  </si>
  <si>
    <t>Lower bound</t>
  </si>
  <si>
    <t>Upper bound</t>
  </si>
  <si>
    <t>Cooling Efficiency</t>
  </si>
  <si>
    <t>Packaged Single Zone, DX</t>
  </si>
  <si>
    <t>Packaged VAV, DX</t>
  </si>
  <si>
    <t>Water-cooled chiller</t>
  </si>
  <si>
    <t>EER</t>
  </si>
  <si>
    <t>Building Cooling (MW)</t>
  </si>
  <si>
    <t>New Chiller Capacity</t>
  </si>
  <si>
    <t>Building Chillers</t>
  </si>
  <si>
    <t>Efficiency (kW/ton)</t>
  </si>
  <si>
    <t>Peak Power (kW)</t>
  </si>
  <si>
    <t>Distributed Cooling</t>
  </si>
  <si>
    <t>Quantity</t>
  </si>
  <si>
    <t>Capacity (tons)</t>
  </si>
  <si>
    <t>Average</t>
  </si>
  <si>
    <t>Redundancy</t>
  </si>
  <si>
    <t>Peak Heating (therms/hr/1000sqft)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</si>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</sst>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_(* #,##0.0_);_(* \(#,##0.0\);_(* &quot;-&quot;??_);_(@_)"/>
  </numFmts>
  <fonts count="13" x14ac:knownFonts="1">
    <font>
      <sz val="11"/>
      <color theme="1"/>
      <name val="Times New Roman"/>
      <family val="2"/>
      <scheme val="minor"/>
    </font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3"/>
      <name val="Times New Roman"/>
      <family val="2"/>
      <scheme val="minor"/>
    </font>
    <font>
      <b/>
      <sz val="11"/>
      <name val="Times New Roman"/>
      <family val="2"/>
      <scheme val="minor"/>
    </font>
    <font>
      <b/>
      <sz val="15"/>
      <name val="Times New Roman"/>
      <family val="2"/>
      <scheme val="minor"/>
    </font>
    <font>
      <sz val="18"/>
      <color theme="1"/>
      <name val="Times New Roman"/>
      <family val="2"/>
      <scheme val="major"/>
    </font>
    <font>
      <b/>
      <sz val="11"/>
      <color theme="8"/>
      <name val="Times New Roman"/>
      <family val="2"/>
      <scheme val="minor"/>
    </font>
    <font>
      <i/>
      <sz val="11"/>
      <color theme="2"/>
      <name val="Times New Roman"/>
      <family val="2"/>
      <scheme val="minor"/>
    </font>
    <font>
      <sz val="11"/>
      <color theme="2"/>
      <name val="Times New Roman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8">
    <xf numFmtId="0" fontId="0" fillId="0" borderId="0"/>
    <xf numFmtId="0" fontId="6" fillId="0" borderId="0" applyNumberFormat="0" applyFill="0" applyBorder="0" applyAlignment="0" applyProtection="0"/>
    <xf numFmtId="0" fontId="1" fillId="2" borderId="1" applyNumberFormat="0" applyAlignment="0" applyProtection="0"/>
    <xf numFmtId="0" fontId="4" fillId="3" borderId="2" applyNumberFormat="0" applyAlignment="0" applyProtection="0"/>
    <xf numFmtId="0" fontId="7" fillId="3" borderId="1" applyNumberFormat="0" applyAlignment="0" applyProtection="0"/>
    <xf numFmtId="0" fontId="9" fillId="0" borderId="3"/>
    <xf numFmtId="0" fontId="5" fillId="0" borderId="6" applyNumberFormat="0" applyFill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2" borderId="3" applyAlignment="0" applyProtection="0"/>
    <xf numFmtId="0" fontId="12" fillId="4" borderId="3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12" fillId="2" borderId="1" applyNumberFormat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6" fillId="0" borderId="0" xfId="1" applyAlignment="1"/>
    <xf numFmtId="0" fontId="0" fillId="0" borderId="0" xfId="0" applyAlignment="1"/>
    <xf numFmtId="0" fontId="4" fillId="3" borderId="2" xfId="3" applyAlignment="1"/>
    <xf numFmtId="0" fontId="6" fillId="0" borderId="0" xfId="1" applyAlignment="1">
      <alignment wrapText="1"/>
    </xf>
    <xf numFmtId="0" fontId="1" fillId="2" borderId="4" xfId="2" applyBorder="1" applyAlignment="1"/>
    <xf numFmtId="0" fontId="7" fillId="3" borderId="5" xfId="4" applyBorder="1" applyAlignment="1"/>
    <xf numFmtId="0" fontId="9" fillId="0" borderId="3" xfId="5"/>
    <xf numFmtId="0" fontId="0" fillId="0" borderId="0" xfId="0" applyNumberFormat="1" applyAlignment="1">
      <alignment wrapText="1"/>
    </xf>
    <xf numFmtId="0" fontId="6" fillId="0" borderId="0" xfId="1" applyNumberFormat="1" applyAlignment="1">
      <alignment wrapText="1"/>
    </xf>
    <xf numFmtId="2" fontId="0" fillId="0" borderId="0" xfId="0" applyNumberFormat="1" applyAlignment="1">
      <alignment wrapText="1"/>
    </xf>
    <xf numFmtId="2" fontId="6" fillId="0" borderId="0" xfId="1" applyNumberFormat="1" applyAlignment="1">
      <alignment wrapText="1"/>
    </xf>
    <xf numFmtId="0" fontId="8" fillId="0" borderId="3" xfId="10"/>
    <xf numFmtId="0" fontId="0" fillId="2" borderId="1" xfId="2" applyFont="1" applyAlignment="1"/>
    <xf numFmtId="0" fontId="1" fillId="2" borderId="1" xfId="2"/>
    <xf numFmtId="0" fontId="5" fillId="0" borderId="6" xfId="6"/>
    <xf numFmtId="0" fontId="3" fillId="0" borderId="7" xfId="7"/>
    <xf numFmtId="0" fontId="7" fillId="3" borderId="1" xfId="4"/>
    <xf numFmtId="0" fontId="4" fillId="3" borderId="2" xfId="3"/>
    <xf numFmtId="0" fontId="3" fillId="0" borderId="7" xfId="7" applyAlignment="1">
      <alignment wrapText="1"/>
    </xf>
    <xf numFmtId="0" fontId="4" fillId="0" borderId="8" xfId="8" applyAlignment="1">
      <alignment wrapText="1"/>
    </xf>
    <xf numFmtId="0" fontId="4" fillId="0" borderId="8" xfId="8" applyAlignment="1">
      <alignment horizontal="center" wrapText="1"/>
    </xf>
    <xf numFmtId="164" fontId="4" fillId="0" borderId="8" xfId="8" applyNumberFormat="1" applyAlignment="1">
      <alignment horizontal="center" wrapText="1"/>
    </xf>
    <xf numFmtId="0" fontId="1" fillId="2" borderId="1" xfId="2" applyAlignment="1">
      <alignment wrapText="1"/>
    </xf>
    <xf numFmtId="9" fontId="1" fillId="2" borderId="1" xfId="2" applyNumberFormat="1" applyAlignment="1">
      <alignment horizontal="center" vertical="center"/>
    </xf>
    <xf numFmtId="0" fontId="5" fillId="0" borderId="6" xfId="6" applyAlignment="1"/>
    <xf numFmtId="164" fontId="1" fillId="2" borderId="1" xfId="2" applyNumberFormat="1" applyAlignment="1">
      <alignment wrapText="1"/>
    </xf>
    <xf numFmtId="9" fontId="1" fillId="2" borderId="1" xfId="2" applyNumberFormat="1" applyAlignment="1">
      <alignment wrapText="1"/>
    </xf>
    <xf numFmtId="164" fontId="7" fillId="3" borderId="1" xfId="4" applyNumberFormat="1" applyAlignment="1">
      <alignment wrapText="1"/>
    </xf>
    <xf numFmtId="0" fontId="3" fillId="0" borderId="7" xfId="7" applyAlignment="1"/>
    <xf numFmtId="9" fontId="9" fillId="0" borderId="3" xfId="12" applyFont="1" applyBorder="1"/>
    <xf numFmtId="0" fontId="0" fillId="2" borderId="1" xfId="2" applyFont="1" applyAlignment="1">
      <alignment wrapText="1"/>
    </xf>
    <xf numFmtId="9" fontId="8" fillId="0" borderId="3" xfId="12" applyFont="1" applyBorder="1"/>
    <xf numFmtId="0" fontId="1" fillId="2" borderId="1" xfId="2" applyAlignment="1">
      <alignment vertical="center" wrapText="1"/>
    </xf>
    <xf numFmtId="0" fontId="1" fillId="2" borderId="1" xfId="2" applyAlignment="1">
      <alignment horizontal="left" vertical="center" wrapText="1"/>
    </xf>
    <xf numFmtId="0" fontId="0" fillId="2" borderId="1" xfId="2" applyFont="1" applyAlignment="1">
      <alignment horizontal="left" wrapText="1"/>
    </xf>
    <xf numFmtId="166" fontId="1" fillId="2" borderId="1" xfId="2" applyNumberFormat="1" applyAlignment="1">
      <alignment wrapText="1"/>
    </xf>
    <xf numFmtId="167" fontId="7" fillId="3" borderId="1" xfId="11" applyNumberFormat="1" applyFont="1" applyFill="1" applyBorder="1" applyAlignment="1">
      <alignment wrapText="1"/>
    </xf>
    <xf numFmtId="0" fontId="4" fillId="0" borderId="8" xfId="8" applyAlignment="1"/>
    <xf numFmtId="165" fontId="1" fillId="2" borderId="1" xfId="2" applyNumberFormat="1" applyAlignment="1">
      <alignment horizontal="right" vertical="center" wrapText="1"/>
    </xf>
    <xf numFmtId="0" fontId="1" fillId="2" borderId="1" xfId="2" applyNumberFormat="1" applyAlignment="1">
      <alignment horizontal="right" vertical="center" wrapText="1"/>
    </xf>
    <xf numFmtId="0" fontId="1" fillId="2" borderId="1" xfId="2" applyAlignment="1">
      <alignment horizontal="right" wrapText="1"/>
    </xf>
    <xf numFmtId="9" fontId="1" fillId="2" borderId="1" xfId="2" applyNumberFormat="1" applyAlignment="1">
      <alignment horizontal="right" wrapText="1"/>
    </xf>
    <xf numFmtId="164" fontId="7" fillId="3" borderId="1" xfId="11" applyNumberFormat="1" applyFont="1" applyFill="1" applyBorder="1"/>
    <xf numFmtId="164" fontId="1" fillId="2" borderId="1" xfId="11" applyNumberFormat="1" applyFill="1" applyBorder="1" applyAlignment="1">
      <alignment wrapText="1"/>
    </xf>
    <xf numFmtId="167" fontId="1" fillId="2" borderId="1" xfId="2" applyNumberFormat="1" applyAlignment="1">
      <alignment wrapText="1"/>
    </xf>
    <xf numFmtId="0" fontId="0" fillId="0" borderId="0" xfId="0" applyAlignment="1">
      <alignment horizontal="center" vertical="center"/>
    </xf>
    <xf numFmtId="9" fontId="1" fillId="2" borderId="1" xfId="12" applyFill="1" applyBorder="1" applyAlignment="1">
      <alignment horizontal="right" vertical="center"/>
    </xf>
    <xf numFmtId="43" fontId="7" fillId="3" borderId="1" xfId="4" applyNumberFormat="1" applyAlignment="1">
      <alignment wrapText="1"/>
    </xf>
    <xf numFmtId="0" fontId="0" fillId="2" borderId="1" xfId="2" applyFont="1"/>
    <xf numFmtId="164" fontId="0" fillId="0" borderId="0" xfId="11" applyNumberFormat="1" applyFont="1" applyAlignment="1">
      <alignment wrapText="1"/>
    </xf>
    <xf numFmtId="166" fontId="9" fillId="0" borderId="3" xfId="5" applyNumberFormat="1"/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1" fillId="2" borderId="1" xfId="2" applyNumberFormat="1" applyAlignment="1">
      <alignment wrapText="1"/>
    </xf>
    <xf numFmtId="0" fontId="0" fillId="2" borderId="1" xfId="2" applyNumberFormat="1" applyFont="1" applyAlignment="1">
      <alignment wrapText="1"/>
    </xf>
    <xf numFmtId="164" fontId="0" fillId="2" borderId="1" xfId="11" applyNumberFormat="1" applyFont="1" applyFill="1" applyBorder="1" applyAlignment="1">
      <alignment wrapText="1"/>
    </xf>
    <xf numFmtId="9" fontId="1" fillId="2" borderId="1" xfId="2" applyNumberFormat="1"/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0" fillId="2" borderId="1" xfId="2" applyFont="1" applyAlignment="1">
      <alignment wrapText="1"/>
    </xf>
    <xf numFmtId="0" fontId="0" fillId="2" borderId="1" xfId="2" applyFont="1" applyAlignment="1">
      <alignment horizontal="left" wrapText="1"/>
    </xf>
    <xf numFmtId="166" fontId="7" fillId="3" borderId="1" xfId="4" applyNumberFormat="1" applyAlignment="1">
      <alignment wrapText="1"/>
    </xf>
    <xf numFmtId="9" fontId="7" fillId="3" borderId="1" xfId="12" applyFont="1" applyFill="1" applyBorder="1" applyAlignment="1">
      <alignment horizontal="center" wrapText="1"/>
    </xf>
    <xf numFmtId="2" fontId="1" fillId="2" borderId="1" xfId="2" applyNumberFormat="1" applyAlignment="1">
      <alignment wrapText="1"/>
    </xf>
    <xf numFmtId="2" fontId="7" fillId="3" borderId="1" xfId="4" applyNumberFormat="1" applyAlignment="1">
      <alignment wrapText="1"/>
    </xf>
    <xf numFmtId="167" fontId="7" fillId="3" borderId="1" xfId="4" applyNumberFormat="1" applyAlignment="1">
      <alignment wrapText="1"/>
    </xf>
    <xf numFmtId="0" fontId="1" fillId="2" borderId="1" xfId="2" applyAlignment="1">
      <alignment wrapText="1"/>
    </xf>
    <xf numFmtId="0" fontId="0" fillId="2" borderId="1" xfId="2" applyFont="1" applyAlignment="1">
      <alignment horizontal="right" wrapText="1"/>
    </xf>
    <xf numFmtId="2" fontId="1" fillId="2" borderId="1" xfId="2" applyNumberFormat="1" applyAlignment="1">
      <alignment horizontal="right" wrapText="1"/>
    </xf>
    <xf numFmtId="164" fontId="7" fillId="3" borderId="1" xfId="4" applyNumberFormat="1"/>
    <xf numFmtId="164" fontId="4" fillId="3" borderId="2" xfId="3" applyNumberFormat="1"/>
    <xf numFmtId="0" fontId="2" fillId="0" borderId="0" xfId="9" applyAlignment="1">
      <alignment wrapText="1"/>
    </xf>
    <xf numFmtId="164" fontId="4" fillId="3" borderId="2" xfId="11" applyNumberFormat="1" applyFont="1" applyFill="1" applyBorder="1" applyAlignment="1">
      <alignment wrapText="1"/>
    </xf>
    <xf numFmtId="0" fontId="5" fillId="0" borderId="6" xfId="6" applyFill="1"/>
    <xf numFmtId="9" fontId="1" fillId="2" borderId="1" xfId="12" applyFill="1" applyBorder="1" applyAlignment="1">
      <alignment wrapText="1"/>
    </xf>
    <xf numFmtId="164" fontId="8" fillId="0" borderId="3" xfId="11" applyNumberFormat="1" applyFont="1" applyBorder="1" applyAlignment="1">
      <alignment wrapText="1"/>
    </xf>
    <xf numFmtId="0" fontId="1" fillId="2" borderId="1" xfId="2" applyAlignment="1">
      <alignment wrapText="1"/>
    </xf>
    <xf numFmtId="43" fontId="8" fillId="0" borderId="3" xfId="11" applyNumberFormat="1" applyFont="1" applyBorder="1" applyAlignment="1">
      <alignment wrapText="1"/>
    </xf>
    <xf numFmtId="164" fontId="0" fillId="0" borderId="0" xfId="11" applyNumberFormat="1" applyFont="1"/>
    <xf numFmtId="43" fontId="0" fillId="0" borderId="0" xfId="0" applyNumberFormat="1" applyAlignment="1">
      <alignment wrapText="1"/>
    </xf>
    <xf numFmtId="164" fontId="0" fillId="0" borderId="0" xfId="0" applyNumberFormat="1"/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2" fillId="0" borderId="0" xfId="9" applyAlignment="1"/>
    <xf numFmtId="0" fontId="1" fillId="2" borderId="1" xfId="2" applyAlignment="1">
      <alignment wrapText="1"/>
    </xf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164" fontId="0" fillId="2" borderId="1" xfId="2" applyNumberFormat="1" applyFont="1" applyAlignment="1">
      <alignment wrapText="1"/>
    </xf>
    <xf numFmtId="0" fontId="0" fillId="2" borderId="1" xfId="2" applyFont="1" applyAlignment="1">
      <alignment vertical="center" wrapText="1"/>
    </xf>
    <xf numFmtId="164" fontId="4" fillId="3" borderId="2" xfId="3" applyNumberFormat="1" applyAlignment="1">
      <alignment wrapText="1"/>
    </xf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0" fillId="2" borderId="1" xfId="2" applyFont="1" applyAlignment="1">
      <alignment horizontal="left" wrapText="1"/>
    </xf>
    <xf numFmtId="0" fontId="0" fillId="2" borderId="1" xfId="2" applyFont="1" applyAlignment="1">
      <alignment horizontal="left" vertical="center" wrapText="1"/>
    </xf>
    <xf numFmtId="9" fontId="0" fillId="2" borderId="1" xfId="2" applyNumberFormat="1" applyFont="1"/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0" fillId="2" borderId="1" xfId="2" applyFont="1" applyAlignment="1">
      <alignment horizontal="left" wrapText="1"/>
    </xf>
    <xf numFmtId="0" fontId="1" fillId="2" borderId="1" xfId="2" applyAlignment="1">
      <alignment wrapText="1"/>
    </xf>
    <xf numFmtId="164" fontId="1" fillId="2" borderId="1" xfId="11" applyNumberFormat="1" applyFill="1" applyBorder="1" applyAlignment="1">
      <alignment horizontal="right" wrapText="1"/>
    </xf>
    <xf numFmtId="43" fontId="4" fillId="3" borderId="2" xfId="3" applyNumberFormat="1"/>
    <xf numFmtId="167" fontId="4" fillId="3" borderId="2" xfId="3" applyNumberFormat="1"/>
    <xf numFmtId="0" fontId="4" fillId="0" borderId="8" xfId="8"/>
    <xf numFmtId="164" fontId="1" fillId="2" borderId="1" xfId="11" applyNumberFormat="1" applyFill="1" applyBorder="1"/>
    <xf numFmtId="43" fontId="7" fillId="3" borderId="1" xfId="4" applyNumberFormat="1"/>
    <xf numFmtId="167" fontId="4" fillId="3" borderId="2" xfId="11" applyNumberFormat="1" applyFont="1" applyFill="1" applyBorder="1" applyAlignment="1">
      <alignment wrapText="1"/>
    </xf>
    <xf numFmtId="9" fontId="1" fillId="2" borderId="1" xfId="12" applyFill="1" applyBorder="1"/>
    <xf numFmtId="0" fontId="3" fillId="0" borderId="7" xfId="15"/>
    <xf numFmtId="0" fontId="4" fillId="0" borderId="8" xfId="16"/>
    <xf numFmtId="0" fontId="12" fillId="2" borderId="1" xfId="17" applyAlignment="1">
      <alignment wrapText="1"/>
    </xf>
    <xf numFmtId="1" fontId="7" fillId="3" borderId="1" xfId="4" applyNumberFormat="1"/>
    <xf numFmtId="0" fontId="1" fillId="2" borderId="1" xfId="2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wrapText="1"/>
    </xf>
    <xf numFmtId="9" fontId="1" fillId="2" borderId="1" xfId="2" applyNumberFormat="1" applyAlignment="1">
      <alignment horizontal="left" wrapText="1"/>
    </xf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0" fillId="2" borderId="9" xfId="2" applyFont="1" applyBorder="1" applyAlignment="1">
      <alignment wrapText="1"/>
    </xf>
    <xf numFmtId="0" fontId="0" fillId="2" borderId="10" xfId="2" applyFont="1" applyBorder="1" applyAlignment="1">
      <alignment wrapText="1"/>
    </xf>
    <xf numFmtId="0" fontId="0" fillId="2" borderId="11" xfId="2" applyFont="1" applyBorder="1" applyAlignment="1">
      <alignment wrapText="1"/>
    </xf>
    <xf numFmtId="0" fontId="3" fillId="0" borderId="0" xfId="7" applyBorder="1" applyAlignment="1">
      <alignment horizontal="left"/>
    </xf>
    <xf numFmtId="0" fontId="1" fillId="2" borderId="1" xfId="2" applyAlignment="1">
      <alignment horizontal="left" vertical="center" wrapText="1"/>
    </xf>
    <xf numFmtId="0" fontId="0" fillId="2" borderId="1" xfId="2" applyFont="1" applyAlignment="1">
      <alignment horizontal="left" wrapText="1"/>
    </xf>
    <xf numFmtId="0" fontId="1" fillId="2" borderId="1" xfId="2" applyAlignment="1">
      <alignment horizontal="left" wrapText="1"/>
    </xf>
  </cellXfs>
  <cellStyles count="18">
    <cellStyle name="Check" xfId="10" xr:uid="{00000000-0005-0000-0000-000001000000}"/>
    <cellStyle name="Heading 2 2" xfId="15" xr:uid="{DBC0C73B-6967-44C3-A449-EC51439EA5C8}"/>
    <cellStyle name="Heading 3 2" xfId="16" xr:uid="{2D6D28C5-DCD7-4C20-8548-C69398F48B35}"/>
    <cellStyle name="Input 2" xfId="17" xr:uid="{FAF7C951-0FD0-4971-AA79-40288BAAE11B}"/>
    <cellStyle name="Lookup" xfId="5" xr:uid="{00000000-0005-0000-0000-000008000000}"/>
    <cellStyle name="UCB update critical" xfId="14" xr:uid="{A9EED7DB-C5F8-47CE-A6A9-03C30B1C3667}"/>
    <cellStyle name="UCB update helpful" xfId="13" xr:uid="{6447D9CC-019E-4E56-86FA-02E05925E5BD}"/>
    <cellStyle name="千位分隔" xfId="11" builtinId="3"/>
    <cellStyle name="常规" xfId="0" builtinId="0"/>
    <cellStyle name="标题" xfId="1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百分比" xfId="12" builtinId="5"/>
    <cellStyle name="计算" xfId="4" builtinId="22" customBuiltin="1"/>
    <cellStyle name="输入" xfId="2" builtinId="20" customBuiltin="1"/>
    <cellStyle name="输出" xfId="3" builtinId="21" customBuiltin="1"/>
  </cellStyles>
  <dxfs count="600"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130372</xdr:colOff>
      <xdr:row>4</xdr:row>
      <xdr:rowOff>74491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253AAD-A8EE-4A17-BE94-3B8697A4F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4714875" y="190500"/>
          <a:ext cx="1197173" cy="6421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1198854</xdr:colOff>
      <xdr:row>4</xdr:row>
      <xdr:rowOff>59027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BBB666-09F7-47AB-85D5-F4D2CAD0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4086225" y="190500"/>
          <a:ext cx="1197173" cy="6421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14</xdr:col>
      <xdr:colOff>235148</xdr:colOff>
      <xdr:row>4</xdr:row>
      <xdr:rowOff>62837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2F78C-F7CC-43A9-90AF-BBDF22EFF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9099176" y="190500"/>
          <a:ext cx="1198854" cy="634337"/>
        </a:xfrm>
        <a:prstGeom prst="rect">
          <a:avLst/>
        </a:prstGeom>
      </xdr:spPr>
    </xdr:pic>
    <xdr:clientData/>
  </xdr:twoCellAnchor>
  <xdr:oneCellAnchor>
    <xdr:from>
      <xdr:col>30</xdr:col>
      <xdr:colOff>0</xdr:colOff>
      <xdr:row>1</xdr:row>
      <xdr:rowOff>0</xdr:rowOff>
    </xdr:from>
    <xdr:ext cx="1196451" cy="634337"/>
    <xdr:pic>
      <xdr:nvPicPr>
        <xdr:cNvPr id="4" name="Picture 3">
          <a:extLst>
            <a:ext uri="{FF2B5EF4-FFF2-40B4-BE49-F238E27FC236}">
              <a16:creationId xmlns:a16="http://schemas.microsoft.com/office/drawing/2014/main" id="{CB724F1B-7B5D-4070-996A-45423D54C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9103179" y="190500"/>
          <a:ext cx="1196451" cy="63433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10</xdr:col>
      <xdr:colOff>75577</xdr:colOff>
      <xdr:row>4</xdr:row>
      <xdr:rowOff>59027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77B6EE-B48F-41B6-BDC0-C3873F08C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8975912" y="190500"/>
          <a:ext cx="1198854" cy="634337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1</xdr:row>
      <xdr:rowOff>0</xdr:rowOff>
    </xdr:from>
    <xdr:ext cx="1203337" cy="634337"/>
    <xdr:pic>
      <xdr:nvPicPr>
        <xdr:cNvPr id="3" name="Picture 2">
          <a:extLst>
            <a:ext uri="{FF2B5EF4-FFF2-40B4-BE49-F238E27FC236}">
              <a16:creationId xmlns:a16="http://schemas.microsoft.com/office/drawing/2014/main" id="{D4901915-7FA4-4F98-B681-3A2F4F2A8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8734425" y="190500"/>
          <a:ext cx="1203337" cy="63433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rup.sharepoint.com/teams/prj-26714700/DataDocumentsLibrary/4-04%20Calculations/Mech/2019-04-30%20UCB%20Master%20building%20data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rup.sharepoint.com/teams/prj-26714700/DataDocumentsLibrary/4-04%20Calculations/Mech/2019-04-23%20Load%20Pro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rup.sharepoint.com/teams/prj-26714700/DataDocumentsLibrary/4-04%20Calculations/Mech/UCB%20utilities%20calculation_2019-03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lobal.arup.com\americas\Jobs\S-F\260000\267147-00\4%20Internal%20Project%20Data\4-04%20Calculations\Mech\2019-05-31%20FME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Data"/>
      <sheetName val="Lookups"/>
    </sheetNames>
    <sheetDataSet>
      <sheetData sheetId="0" refreshError="1"/>
      <sheetData sheetId="1">
        <row r="4">
          <cell r="B4" t="str">
            <v>Admin</v>
          </cell>
          <cell r="E4" t="str">
            <v>Biosciences</v>
          </cell>
        </row>
        <row r="5">
          <cell r="B5" t="str">
            <v>Athletic</v>
          </cell>
          <cell r="E5" t="str">
            <v>Engineering, Physics and Chemistry</v>
          </cell>
        </row>
        <row r="6">
          <cell r="B6" t="str">
            <v>Auditorium</v>
          </cell>
          <cell r="E6" t="str">
            <v>Libraries</v>
          </cell>
        </row>
        <row r="7">
          <cell r="B7" t="str">
            <v>Bioscience</v>
          </cell>
          <cell r="E7" t="str">
            <v>Business and Law</v>
          </cell>
        </row>
        <row r="8">
          <cell r="B8" t="str">
            <v>Classroom</v>
          </cell>
          <cell r="E8" t="str">
            <v>Lower Sproul offices</v>
          </cell>
        </row>
        <row r="9">
          <cell r="B9" t="str">
            <v>Chemistry</v>
          </cell>
          <cell r="E9" t="str">
            <v>Other</v>
          </cell>
        </row>
        <row r="10">
          <cell r="B10" t="str">
            <v>Data Center</v>
          </cell>
          <cell r="E10" t="str">
            <v>N/A</v>
          </cell>
        </row>
        <row r="11">
          <cell r="B11" t="str">
            <v>Engineering</v>
          </cell>
        </row>
        <row r="12">
          <cell r="B12" t="str">
            <v>Library</v>
          </cell>
        </row>
        <row r="13">
          <cell r="B13" t="str">
            <v>Mixed Use</v>
          </cell>
        </row>
        <row r="14">
          <cell r="B14" t="str">
            <v>Physics</v>
          </cell>
        </row>
        <row r="15">
          <cell r="B15" t="str">
            <v>Residence</v>
          </cell>
        </row>
        <row r="16">
          <cell r="B16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BAR CHARTS"/>
      <sheetName val="SYSTEM LOADS - 0"/>
      <sheetName val="SYSTEM LOADS - 1"/>
      <sheetName val="SYSTEM LOADS - 2"/>
      <sheetName val="SYSTEM LOADS - 8"/>
      <sheetName val="SYSTEM LOADS - 11"/>
      <sheetName val="PROJECTION"/>
      <sheetName val="ECM TABLE"/>
      <sheetName val="ECM LOOKUP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71">
          <cell r="D71">
            <v>1000</v>
          </cell>
        </row>
        <row r="72">
          <cell r="D72">
            <v>12000</v>
          </cell>
        </row>
        <row r="73">
          <cell r="D73">
            <v>3.4119999999999999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ility loads"/>
      <sheetName val="Commodity use"/>
      <sheetName val="Carbon emission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Input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rica Levine" id="{F8495666-8D9B-4EF5-A75C-011A2D7BAD37}" userId="S::Erica.Levine@arup.com::7055d53c-c953-440c-98dc-7fd96e842981" providerId="AD"/>
</personList>
</file>

<file path=xl/theme/theme1.xml><?xml version="1.0" encoding="utf-8"?>
<a:theme xmlns:a="http://schemas.openxmlformats.org/drawingml/2006/main" name="arup standard theme test">
  <a:themeElements>
    <a:clrScheme name="arup standard theme test">
      <a:dk1>
        <a:srgbClr val="000000"/>
      </a:dk1>
      <a:lt1>
        <a:srgbClr val="FFFFFF"/>
      </a:lt1>
      <a:dk2>
        <a:srgbClr val="D2D2D2"/>
      </a:dk2>
      <a:lt2>
        <a:srgbClr val="828282"/>
      </a:lt2>
      <a:accent1>
        <a:srgbClr val="D22D7D"/>
      </a:accent1>
      <a:accent2>
        <a:srgbClr val="28AAE1"/>
      </a:accent2>
      <a:accent3>
        <a:srgbClr val="F05023"/>
      </a:accent3>
      <a:accent4>
        <a:srgbClr val="696EB4"/>
      </a:accent4>
      <a:accent5>
        <a:srgbClr val="FA9B1E"/>
      </a:accent5>
      <a:accent6>
        <a:srgbClr val="28AF73"/>
      </a:accent6>
      <a:hlink>
        <a:srgbClr val="7F7F7F"/>
      </a:hlink>
      <a:folHlink>
        <a:srgbClr val="7F7F7F"/>
      </a:folHlink>
    </a:clrScheme>
    <a:fontScheme name="arup standard theme test">
      <a:majorFont>
        <a:latin typeface="Times New Roman" panose="02020603050405020304"/>
        <a:ea typeface=""/>
        <a:cs typeface=""/>
      </a:majorFont>
      <a:minorFont>
        <a:latin typeface="Times New Roman" panose="02020603050405020304"/>
        <a:ea typeface=""/>
        <a:cs typeface=""/>
      </a:minorFont>
    </a:fontScheme>
    <a:fmtScheme name="arup standard theme te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rup standard theme test" id="{98EB6D7F-B9FE-47A6-AB51-66E7B6E5A17A}" vid="{64AB668F-5BDA-4BA2-8D5D-D7C60843F7F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1-01-26T01:41:37.97" personId="{F8495666-8D9B-4EF5-A75C-011A2D7BAD37}" id="{53316C5E-AC69-4CCE-90E4-DC50987A306E}">
    <text>Libraries node was combined with engineering</text>
  </threadedComment>
  <threadedComment ref="B28" dT="2021-01-26T01:41:37.97" personId="{F8495666-8D9B-4EF5-A75C-011A2D7BAD37}" id="{D0166840-105D-49C9-80E8-0233A71EB0A1}">
    <text>Libraries node was combined with engineering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EDA0-ACC8-4D3B-9C43-A20BE7CC28B9}">
  <dimension ref="B1:T129"/>
  <sheetViews>
    <sheetView showGridLines="0" topLeftCell="A61" zoomScaleNormal="100" workbookViewId="0">
      <selection activeCell="B70" sqref="B70"/>
    </sheetView>
  </sheetViews>
  <sheetFormatPr defaultRowHeight="15" x14ac:dyDescent="0.25"/>
  <cols>
    <col min="1" max="1" width="3.7109375" customWidth="1"/>
    <col min="2" max="2" width="22.5703125" customWidth="1"/>
    <col min="3" max="3" width="25.85546875" customWidth="1"/>
    <col min="4" max="4" width="15.85546875" customWidth="1"/>
    <col min="5" max="5" width="17.7109375" bestFit="1" customWidth="1"/>
    <col min="6" max="6" width="16" bestFit="1" customWidth="1"/>
    <col min="7" max="7" width="11" bestFit="1" customWidth="1"/>
    <col min="8" max="8" width="33.28515625" bestFit="1" customWidth="1"/>
    <col min="9" max="9" width="27.85546875" bestFit="1" customWidth="1"/>
    <col min="10" max="10" width="8.42578125" bestFit="1" customWidth="1"/>
    <col min="11" max="11" width="8.85546875" customWidth="1"/>
  </cols>
  <sheetData>
    <row r="1" spans="2:20" s="1" customFormat="1" x14ac:dyDescent="0.25">
      <c r="D1" s="9"/>
      <c r="E1" s="9"/>
      <c r="F1" s="9"/>
      <c r="G1" s="9"/>
      <c r="H1" s="9"/>
      <c r="I1" s="9"/>
    </row>
    <row r="2" spans="2:20" s="1" customFormat="1" x14ac:dyDescent="0.25">
      <c r="B2" s="3" t="s">
        <v>3</v>
      </c>
      <c r="C2" s="14" t="s">
        <v>8</v>
      </c>
      <c r="E2" s="6" t="s">
        <v>0</v>
      </c>
    </row>
    <row r="3" spans="2:20" s="1" customFormat="1" x14ac:dyDescent="0.25">
      <c r="B3" s="3" t="s">
        <v>4</v>
      </c>
      <c r="C3" s="14" t="s">
        <v>9</v>
      </c>
      <c r="E3" s="8" t="s">
        <v>6</v>
      </c>
    </row>
    <row r="4" spans="2:20" s="1" customFormat="1" x14ac:dyDescent="0.25">
      <c r="B4" s="3" t="s">
        <v>5</v>
      </c>
      <c r="C4" s="14">
        <v>267147</v>
      </c>
      <c r="E4" s="7" t="s">
        <v>1</v>
      </c>
    </row>
    <row r="5" spans="2:20" s="1" customFormat="1" x14ac:dyDescent="0.25">
      <c r="B5" s="3"/>
      <c r="C5" s="3"/>
      <c r="E5" s="4" t="s">
        <v>2</v>
      </c>
    </row>
    <row r="6" spans="2:20" s="1" customFormat="1" x14ac:dyDescent="0.25">
      <c r="B6" s="3"/>
      <c r="C6" s="3"/>
      <c r="D6" s="9"/>
      <c r="E6" s="13" t="s">
        <v>7</v>
      </c>
      <c r="F6" s="9"/>
      <c r="G6" s="9"/>
      <c r="H6" s="9"/>
      <c r="I6" s="9"/>
    </row>
    <row r="7" spans="2:20" s="1" customFormat="1" x14ac:dyDescent="0.25">
      <c r="B7" s="3"/>
      <c r="C7" s="3"/>
      <c r="D7" s="9"/>
      <c r="E7" s="9"/>
      <c r="F7" s="9"/>
      <c r="G7" s="9"/>
      <c r="H7" s="9"/>
      <c r="I7" s="9"/>
    </row>
    <row r="8" spans="2:20" s="1" customFormat="1" ht="23.25" x14ac:dyDescent="0.35">
      <c r="B8" s="2" t="s">
        <v>41</v>
      </c>
      <c r="C8" s="2"/>
      <c r="D8" s="10"/>
      <c r="E8" s="10"/>
      <c r="F8" s="10"/>
      <c r="G8" s="10"/>
      <c r="H8" s="10"/>
      <c r="I8" s="10"/>
    </row>
    <row r="10" spans="2:20" x14ac:dyDescent="0.25">
      <c r="E10" s="1"/>
      <c r="P10" s="1"/>
      <c r="Q10" s="1"/>
      <c r="S10" s="1"/>
      <c r="T10" s="1"/>
    </row>
    <row r="11" spans="2:20" s="1" customFormat="1" ht="20.25" thickBot="1" x14ac:dyDescent="0.35">
      <c r="B11" s="16" t="s">
        <v>13</v>
      </c>
      <c r="C11" s="16"/>
      <c r="D11" s="16"/>
      <c r="E11" s="16"/>
      <c r="F11" s="16"/>
      <c r="G11" s="16"/>
      <c r="H11" s="16"/>
      <c r="I11"/>
      <c r="J11"/>
      <c r="K11"/>
    </row>
    <row r="12" spans="2:20" s="1" customFormat="1" ht="18" thickTop="1" thickBot="1" x14ac:dyDescent="0.3">
      <c r="B12" s="17" t="s">
        <v>15</v>
      </c>
      <c r="C12" s="17" t="s">
        <v>14</v>
      </c>
      <c r="D12" s="17" t="s">
        <v>10</v>
      </c>
      <c r="E12" s="124" t="s">
        <v>11</v>
      </c>
      <c r="F12" s="124"/>
      <c r="G12" s="124"/>
      <c r="H12" s="124"/>
      <c r="I12"/>
      <c r="J12"/>
      <c r="K12"/>
    </row>
    <row r="13" spans="2:20" s="1" customFormat="1" ht="30.75" thickTop="1" x14ac:dyDescent="0.25">
      <c r="B13" s="34" t="s">
        <v>142</v>
      </c>
      <c r="C13" s="40">
        <v>0.15</v>
      </c>
      <c r="D13" s="35" t="s">
        <v>144</v>
      </c>
      <c r="E13" s="125" t="s">
        <v>145</v>
      </c>
      <c r="F13" s="125"/>
      <c r="G13" s="125"/>
      <c r="H13" s="125"/>
      <c r="I13"/>
      <c r="J13"/>
      <c r="K13"/>
    </row>
    <row r="14" spans="2:20" s="1" customFormat="1" x14ac:dyDescent="0.25">
      <c r="B14" s="34" t="s">
        <v>143</v>
      </c>
      <c r="C14" s="41">
        <v>970</v>
      </c>
      <c r="D14" s="35" t="s">
        <v>146</v>
      </c>
      <c r="E14" s="125"/>
      <c r="F14" s="125"/>
      <c r="G14" s="125"/>
      <c r="H14" s="125"/>
      <c r="I14"/>
      <c r="J14"/>
      <c r="K14"/>
    </row>
    <row r="15" spans="2:20" s="1" customFormat="1" x14ac:dyDescent="0.25">
      <c r="B15" s="32" t="s">
        <v>147</v>
      </c>
      <c r="C15" s="42">
        <v>1000</v>
      </c>
      <c r="D15" s="36" t="s">
        <v>147</v>
      </c>
      <c r="E15" s="126" t="s">
        <v>204</v>
      </c>
      <c r="F15" s="127"/>
      <c r="G15" s="127"/>
      <c r="H15" s="127"/>
      <c r="I15"/>
      <c r="J15"/>
      <c r="K15"/>
    </row>
    <row r="16" spans="2:20" s="1" customFormat="1" x14ac:dyDescent="0.25">
      <c r="B16" s="32" t="s">
        <v>148</v>
      </c>
      <c r="C16" s="43">
        <v>0.8</v>
      </c>
      <c r="D16" s="36" t="s">
        <v>144</v>
      </c>
      <c r="E16" s="126" t="s">
        <v>149</v>
      </c>
      <c r="F16" s="127"/>
      <c r="G16" s="127"/>
      <c r="H16" s="127"/>
      <c r="I16"/>
      <c r="J16"/>
      <c r="K16"/>
    </row>
    <row r="17" spans="2:11" s="1" customFormat="1" x14ac:dyDescent="0.25">
      <c r="B17" s="32" t="s">
        <v>202</v>
      </c>
      <c r="C17" s="42">
        <v>3.4119999999999999</v>
      </c>
      <c r="D17" s="36" t="s">
        <v>203</v>
      </c>
      <c r="E17" s="126" t="s">
        <v>204</v>
      </c>
      <c r="F17" s="127"/>
      <c r="G17" s="127"/>
      <c r="H17" s="127"/>
      <c r="I17"/>
      <c r="J17"/>
      <c r="K17"/>
    </row>
    <row r="18" spans="2:11" s="1" customFormat="1" x14ac:dyDescent="0.25">
      <c r="B18" s="32" t="s">
        <v>206</v>
      </c>
      <c r="C18" s="42">
        <v>100000</v>
      </c>
      <c r="D18" s="36" t="s">
        <v>205</v>
      </c>
      <c r="E18" s="126" t="s">
        <v>204</v>
      </c>
      <c r="F18" s="127"/>
      <c r="G18" s="127"/>
      <c r="H18" s="127"/>
      <c r="I18"/>
      <c r="J18"/>
      <c r="K18"/>
    </row>
    <row r="19" spans="2:11" s="1" customFormat="1" ht="30" x14ac:dyDescent="0.25">
      <c r="B19" s="61" t="s">
        <v>213</v>
      </c>
      <c r="C19" s="70">
        <v>0.4</v>
      </c>
      <c r="D19" s="62" t="s">
        <v>214</v>
      </c>
      <c r="E19" s="126" t="s">
        <v>215</v>
      </c>
      <c r="F19" s="127"/>
      <c r="G19" s="127"/>
      <c r="H19" s="127"/>
      <c r="I19"/>
      <c r="J19"/>
      <c r="K19"/>
    </row>
    <row r="20" spans="2:11" s="1" customFormat="1" ht="30" x14ac:dyDescent="0.25">
      <c r="B20" s="99" t="s">
        <v>289</v>
      </c>
      <c r="C20" s="70">
        <v>1.25</v>
      </c>
      <c r="D20" s="101" t="s">
        <v>290</v>
      </c>
      <c r="E20" s="126" t="s">
        <v>215</v>
      </c>
      <c r="F20" s="127"/>
      <c r="G20" s="127"/>
      <c r="H20" s="127"/>
      <c r="I20"/>
      <c r="J20"/>
      <c r="K20"/>
    </row>
    <row r="21" spans="2:11" s="1" customFormat="1" ht="30" x14ac:dyDescent="0.25">
      <c r="B21" s="99" t="s">
        <v>296</v>
      </c>
      <c r="C21" s="70">
        <v>0.5</v>
      </c>
      <c r="D21" s="101" t="s">
        <v>290</v>
      </c>
      <c r="E21" s="126" t="s">
        <v>215</v>
      </c>
      <c r="F21" s="127"/>
      <c r="G21" s="127"/>
      <c r="H21" s="127"/>
      <c r="I21"/>
      <c r="J21"/>
      <c r="K21"/>
    </row>
    <row r="22" spans="2:11" s="1" customFormat="1" ht="30" x14ac:dyDescent="0.25">
      <c r="B22" s="61" t="s">
        <v>216</v>
      </c>
      <c r="C22" s="43">
        <v>0.95</v>
      </c>
      <c r="D22" s="62" t="s">
        <v>144</v>
      </c>
      <c r="E22" s="126" t="s">
        <v>217</v>
      </c>
      <c r="F22" s="127"/>
      <c r="G22" s="127"/>
      <c r="H22" s="127"/>
      <c r="I22"/>
      <c r="J22"/>
      <c r="K22"/>
    </row>
    <row r="23" spans="2:11" s="1" customFormat="1" ht="15" customHeight="1" x14ac:dyDescent="0.25">
      <c r="B23" s="99" t="s">
        <v>287</v>
      </c>
      <c r="C23" s="103">
        <v>12000</v>
      </c>
      <c r="D23" s="101" t="s">
        <v>288</v>
      </c>
      <c r="E23" s="126" t="s">
        <v>204</v>
      </c>
      <c r="F23" s="127"/>
      <c r="G23" s="127"/>
      <c r="H23" s="127"/>
      <c r="I23"/>
      <c r="J23"/>
      <c r="K23"/>
    </row>
    <row r="24" spans="2:11" x14ac:dyDescent="0.25">
      <c r="E24" s="1"/>
      <c r="F24" s="1"/>
    </row>
    <row r="25" spans="2:11" x14ac:dyDescent="0.25">
      <c r="E25" s="1"/>
      <c r="F25" s="1"/>
    </row>
    <row r="26" spans="2:11" ht="20.25" thickBot="1" x14ac:dyDescent="0.35">
      <c r="B26" s="16" t="s">
        <v>141</v>
      </c>
      <c r="C26" s="16"/>
      <c r="D26" s="16"/>
      <c r="E26" s="16"/>
      <c r="F26" s="16"/>
      <c r="G26" s="16"/>
      <c r="H26" s="16"/>
      <c r="I26" s="16"/>
      <c r="J26" s="16"/>
    </row>
    <row r="27" spans="2:11" ht="18" thickTop="1" thickBot="1" x14ac:dyDescent="0.3">
      <c r="B27" s="17" t="s">
        <v>18</v>
      </c>
      <c r="C27" s="17" t="s">
        <v>17</v>
      </c>
      <c r="D27" s="17"/>
      <c r="E27" s="17"/>
      <c r="F27" s="17"/>
      <c r="G27" s="17"/>
      <c r="H27" s="17"/>
      <c r="I27" s="17"/>
      <c r="J27" s="17"/>
    </row>
    <row r="28" spans="2:11" ht="30.75" thickTop="1" thickBot="1" x14ac:dyDescent="0.3">
      <c r="B28" s="21"/>
      <c r="C28" s="23" t="s">
        <v>199</v>
      </c>
      <c r="D28" s="23" t="s">
        <v>200</v>
      </c>
      <c r="E28" s="23" t="s">
        <v>150</v>
      </c>
      <c r="F28" s="22" t="s">
        <v>151</v>
      </c>
      <c r="G28" s="30" t="s">
        <v>11</v>
      </c>
      <c r="H28" s="21"/>
      <c r="I28" s="21"/>
      <c r="J28" s="21"/>
    </row>
    <row r="29" spans="2:11" x14ac:dyDescent="0.25">
      <c r="B29" s="1" t="s">
        <v>21</v>
      </c>
      <c r="C29" s="37">
        <v>4.5</v>
      </c>
      <c r="D29" s="65">
        <v>0.08</v>
      </c>
      <c r="E29" s="38">
        <f>C29*$C$17</f>
        <v>15.353999999999999</v>
      </c>
      <c r="F29" s="38">
        <f>D29*(1+$C$13)*$C$18/$C$14</f>
        <v>9.4845360824742269</v>
      </c>
      <c r="G29" s="119" t="s">
        <v>198</v>
      </c>
      <c r="H29" s="120"/>
      <c r="I29" s="120"/>
      <c r="J29" s="120"/>
    </row>
    <row r="30" spans="2:11" x14ac:dyDescent="0.25">
      <c r="B30" s="1" t="s">
        <v>22</v>
      </c>
      <c r="C30" s="37">
        <v>4.5</v>
      </c>
      <c r="D30" s="65">
        <v>0.08</v>
      </c>
      <c r="E30" s="38">
        <f t="shared" ref="E30:E40" si="0">C30*$C$17</f>
        <v>15.353999999999999</v>
      </c>
      <c r="F30" s="38">
        <f t="shared" ref="F30:F40" si="1">D30*(1+$C$13)*$C$18/$C$14</f>
        <v>9.4845360824742269</v>
      </c>
      <c r="G30" s="119" t="s">
        <v>198</v>
      </c>
      <c r="H30" s="120"/>
      <c r="I30" s="120"/>
      <c r="J30" s="120"/>
    </row>
    <row r="31" spans="2:11" x14ac:dyDescent="0.25">
      <c r="B31" s="1" t="s">
        <v>23</v>
      </c>
      <c r="C31" s="37">
        <v>4.5</v>
      </c>
      <c r="D31" s="65">
        <v>0.08</v>
      </c>
      <c r="E31" s="38">
        <f>C31*$C$17</f>
        <v>15.353999999999999</v>
      </c>
      <c r="F31" s="38">
        <f t="shared" si="1"/>
        <v>9.4845360824742269</v>
      </c>
      <c r="G31" s="119" t="s">
        <v>198</v>
      </c>
      <c r="H31" s="120"/>
      <c r="I31" s="120"/>
      <c r="J31" s="120"/>
    </row>
    <row r="32" spans="2:11" x14ac:dyDescent="0.25">
      <c r="B32" s="1" t="s">
        <v>24</v>
      </c>
      <c r="C32" s="37">
        <v>14</v>
      </c>
      <c r="D32" s="65">
        <v>0.73</v>
      </c>
      <c r="E32" s="38">
        <f t="shared" si="0"/>
        <v>47.768000000000001</v>
      </c>
      <c r="F32" s="38">
        <f t="shared" si="1"/>
        <v>86.546391752577307</v>
      </c>
      <c r="G32" s="119" t="s">
        <v>209</v>
      </c>
      <c r="H32" s="120"/>
      <c r="I32" s="120"/>
      <c r="J32" s="120"/>
    </row>
    <row r="33" spans="2:10" x14ac:dyDescent="0.25">
      <c r="B33" s="1" t="s">
        <v>25</v>
      </c>
      <c r="C33" s="37">
        <v>14</v>
      </c>
      <c r="D33" s="65">
        <v>0.73</v>
      </c>
      <c r="E33" s="38">
        <f t="shared" si="0"/>
        <v>47.768000000000001</v>
      </c>
      <c r="F33" s="38">
        <f t="shared" si="1"/>
        <v>86.546391752577307</v>
      </c>
      <c r="G33" s="119" t="s">
        <v>209</v>
      </c>
      <c r="H33" s="120"/>
      <c r="I33" s="120"/>
      <c r="J33" s="120"/>
    </row>
    <row r="34" spans="2:10" x14ac:dyDescent="0.25">
      <c r="B34" s="1" t="s">
        <v>26</v>
      </c>
      <c r="C34" s="37">
        <v>4.5</v>
      </c>
      <c r="D34" s="65">
        <v>0.08</v>
      </c>
      <c r="E34" s="38">
        <f t="shared" si="0"/>
        <v>15.353999999999999</v>
      </c>
      <c r="F34" s="38">
        <f t="shared" si="1"/>
        <v>9.4845360824742269</v>
      </c>
      <c r="G34" s="119" t="s">
        <v>198</v>
      </c>
      <c r="H34" s="120"/>
      <c r="I34" s="120"/>
      <c r="J34" s="120"/>
    </row>
    <row r="35" spans="2:10" x14ac:dyDescent="0.25">
      <c r="B35" s="1" t="s">
        <v>27</v>
      </c>
      <c r="C35" s="37">
        <v>14</v>
      </c>
      <c r="D35" s="65">
        <v>0.08</v>
      </c>
      <c r="E35" s="38">
        <f t="shared" si="0"/>
        <v>47.768000000000001</v>
      </c>
      <c r="F35" s="38">
        <f t="shared" si="1"/>
        <v>9.4845360824742269</v>
      </c>
      <c r="G35" s="119" t="s">
        <v>209</v>
      </c>
      <c r="H35" s="120"/>
      <c r="I35" s="120"/>
      <c r="J35" s="120"/>
    </row>
    <row r="36" spans="2:10" x14ac:dyDescent="0.25">
      <c r="B36" s="1" t="s">
        <v>28</v>
      </c>
      <c r="C36" s="37">
        <v>14</v>
      </c>
      <c r="D36" s="65">
        <v>0.73</v>
      </c>
      <c r="E36" s="38">
        <f t="shared" si="0"/>
        <v>47.768000000000001</v>
      </c>
      <c r="F36" s="38">
        <f t="shared" si="1"/>
        <v>86.546391752577307</v>
      </c>
      <c r="G36" s="119" t="s">
        <v>209</v>
      </c>
      <c r="H36" s="120"/>
      <c r="I36" s="120"/>
      <c r="J36" s="120"/>
    </row>
    <row r="37" spans="2:10" x14ac:dyDescent="0.25">
      <c r="B37" s="1" t="s">
        <v>29</v>
      </c>
      <c r="C37" s="37">
        <v>4.5</v>
      </c>
      <c r="D37" s="65">
        <v>0.08</v>
      </c>
      <c r="E37" s="38">
        <f t="shared" si="0"/>
        <v>15.353999999999999</v>
      </c>
      <c r="F37" s="38">
        <f t="shared" si="1"/>
        <v>9.4845360824742269</v>
      </c>
      <c r="G37" s="119" t="s">
        <v>198</v>
      </c>
      <c r="H37" s="120"/>
      <c r="I37" s="120"/>
      <c r="J37" s="120"/>
    </row>
    <row r="38" spans="2:10" x14ac:dyDescent="0.25">
      <c r="B38" s="1" t="s">
        <v>30</v>
      </c>
      <c r="C38" s="63">
        <f>AVERAGE(C36,C34,C29)</f>
        <v>7.666666666666667</v>
      </c>
      <c r="D38" s="66">
        <f>AVERAGE(D36,D34,D29)</f>
        <v>0.29666666666666663</v>
      </c>
      <c r="E38" s="38">
        <f t="shared" si="0"/>
        <v>26.158666666666669</v>
      </c>
      <c r="F38" s="38">
        <f t="shared" si="1"/>
        <v>35.171821305841924</v>
      </c>
      <c r="G38" s="119" t="s">
        <v>201</v>
      </c>
      <c r="H38" s="120"/>
      <c r="I38" s="120"/>
      <c r="J38" s="120"/>
    </row>
    <row r="39" spans="2:10" x14ac:dyDescent="0.25">
      <c r="B39" s="1" t="s">
        <v>31</v>
      </c>
      <c r="C39" s="37">
        <v>14</v>
      </c>
      <c r="D39" s="65">
        <v>0.73</v>
      </c>
      <c r="E39" s="38">
        <f t="shared" si="0"/>
        <v>47.768000000000001</v>
      </c>
      <c r="F39" s="38">
        <f t="shared" si="1"/>
        <v>86.546391752577307</v>
      </c>
      <c r="G39" s="119" t="s">
        <v>209</v>
      </c>
      <c r="H39" s="120"/>
      <c r="I39" s="120"/>
      <c r="J39" s="120"/>
    </row>
    <row r="40" spans="2:10" x14ac:dyDescent="0.25">
      <c r="B40" s="1" t="s">
        <v>32</v>
      </c>
      <c r="C40" s="60">
        <v>3.1</v>
      </c>
      <c r="D40" s="65">
        <v>0.12</v>
      </c>
      <c r="E40" s="38">
        <f t="shared" si="0"/>
        <v>10.577199999999999</v>
      </c>
      <c r="F40" s="38">
        <f t="shared" si="1"/>
        <v>14.226804123711338</v>
      </c>
      <c r="G40" s="121" t="s">
        <v>208</v>
      </c>
      <c r="H40" s="122"/>
      <c r="I40" s="122"/>
      <c r="J40" s="123"/>
    </row>
    <row r="41" spans="2:10" x14ac:dyDescent="0.25">
      <c r="B41" s="1"/>
      <c r="C41" s="1"/>
      <c r="D41" s="1"/>
      <c r="E41" s="1"/>
      <c r="F41" s="1"/>
      <c r="G41" s="1"/>
      <c r="H41" s="1"/>
      <c r="I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</row>
    <row r="43" spans="2:10" ht="20.25" thickBot="1" x14ac:dyDescent="0.35">
      <c r="B43" s="16" t="s">
        <v>20</v>
      </c>
      <c r="C43" s="16"/>
      <c r="D43" s="16"/>
      <c r="E43" s="16"/>
      <c r="F43" s="16"/>
      <c r="G43" s="16"/>
      <c r="H43" s="16"/>
      <c r="I43" s="16"/>
      <c r="J43" s="16"/>
    </row>
    <row r="44" spans="2:10" ht="18" thickTop="1" thickBot="1" x14ac:dyDescent="0.3">
      <c r="B44" s="17" t="s">
        <v>18</v>
      </c>
      <c r="C44" s="17" t="s">
        <v>12</v>
      </c>
      <c r="D44" s="17"/>
      <c r="E44" s="17"/>
      <c r="F44" s="17"/>
      <c r="G44" s="17" t="s">
        <v>19</v>
      </c>
      <c r="H44" s="17"/>
      <c r="I44" s="17"/>
      <c r="J44" s="17"/>
    </row>
    <row r="45" spans="2:10" ht="30.75" thickTop="1" thickBot="1" x14ac:dyDescent="0.3">
      <c r="B45" s="21"/>
      <c r="C45" s="23" t="s">
        <v>33</v>
      </c>
      <c r="D45" s="22" t="s">
        <v>34</v>
      </c>
      <c r="E45" s="22" t="s">
        <v>35</v>
      </c>
      <c r="F45" s="22" t="s">
        <v>36</v>
      </c>
      <c r="G45" s="21" t="s">
        <v>37</v>
      </c>
      <c r="H45" s="21" t="s">
        <v>38</v>
      </c>
      <c r="I45" s="21" t="s">
        <v>39</v>
      </c>
      <c r="J45" s="21" t="s">
        <v>40</v>
      </c>
    </row>
    <row r="46" spans="2:10" x14ac:dyDescent="0.25">
      <c r="B46" s="1" t="s">
        <v>21</v>
      </c>
      <c r="C46" s="25">
        <v>0.1</v>
      </c>
      <c r="D46" s="25">
        <v>0.12</v>
      </c>
      <c r="E46" s="25">
        <v>0.22</v>
      </c>
      <c r="F46" s="25">
        <v>0.56000000000000005</v>
      </c>
      <c r="G46" s="25">
        <v>0.8</v>
      </c>
      <c r="H46" s="25">
        <v>0.2</v>
      </c>
      <c r="I46" s="25">
        <v>0</v>
      </c>
      <c r="J46" s="25">
        <v>0</v>
      </c>
    </row>
    <row r="47" spans="2:10" x14ac:dyDescent="0.25">
      <c r="B47" s="1" t="s">
        <v>22</v>
      </c>
      <c r="C47" s="25">
        <v>0.24</v>
      </c>
      <c r="D47" s="25">
        <v>0.26</v>
      </c>
      <c r="E47" s="25">
        <v>0.28999999999999998</v>
      </c>
      <c r="F47" s="25">
        <v>0.21</v>
      </c>
      <c r="G47" s="25">
        <v>0.6</v>
      </c>
      <c r="H47" s="25">
        <v>0.4</v>
      </c>
      <c r="I47" s="25">
        <v>0</v>
      </c>
      <c r="J47" s="25">
        <v>0</v>
      </c>
    </row>
    <row r="48" spans="2:10" x14ac:dyDescent="0.25">
      <c r="B48" s="1" t="s">
        <v>23</v>
      </c>
      <c r="C48" s="25">
        <v>0.26</v>
      </c>
      <c r="D48" s="25">
        <v>0.31</v>
      </c>
      <c r="E48" s="25">
        <v>0.27</v>
      </c>
      <c r="F48" s="25">
        <v>0.16</v>
      </c>
      <c r="G48" s="25">
        <v>0.9</v>
      </c>
      <c r="H48" s="25">
        <v>0.1</v>
      </c>
      <c r="I48" s="25">
        <v>0</v>
      </c>
      <c r="J48" s="25">
        <v>0</v>
      </c>
    </row>
    <row r="49" spans="2:13" x14ac:dyDescent="0.25">
      <c r="B49" s="1" t="s">
        <v>24</v>
      </c>
      <c r="C49" s="25">
        <v>0.25</v>
      </c>
      <c r="D49" s="25">
        <v>0.35</v>
      </c>
      <c r="E49" s="25">
        <v>0.18</v>
      </c>
      <c r="F49" s="25">
        <v>0.22</v>
      </c>
      <c r="G49" s="25">
        <v>0.7</v>
      </c>
      <c r="H49" s="25">
        <v>0.3</v>
      </c>
      <c r="I49" s="25">
        <v>0</v>
      </c>
      <c r="J49" s="25">
        <v>0</v>
      </c>
    </row>
    <row r="50" spans="2:13" x14ac:dyDescent="0.25">
      <c r="B50" s="1" t="s">
        <v>25</v>
      </c>
      <c r="C50" s="25">
        <v>0.25</v>
      </c>
      <c r="D50" s="25">
        <v>0.35</v>
      </c>
      <c r="E50" s="25">
        <v>0.18</v>
      </c>
      <c r="F50" s="25">
        <v>0.22</v>
      </c>
      <c r="G50" s="25">
        <v>0.7</v>
      </c>
      <c r="H50" s="25">
        <v>0.3</v>
      </c>
      <c r="I50" s="25">
        <v>0</v>
      </c>
      <c r="J50" s="25">
        <v>0</v>
      </c>
    </row>
    <row r="51" spans="2:13" x14ac:dyDescent="0.25">
      <c r="B51" s="1" t="s">
        <v>26</v>
      </c>
      <c r="C51" s="25">
        <v>0.26</v>
      </c>
      <c r="D51" s="25">
        <v>0.23</v>
      </c>
      <c r="E51" s="25">
        <v>0.26</v>
      </c>
      <c r="F51" s="25">
        <v>0.25</v>
      </c>
      <c r="G51" s="25">
        <v>0.8</v>
      </c>
      <c r="H51" s="25">
        <v>0.2</v>
      </c>
      <c r="I51" s="25">
        <v>0</v>
      </c>
      <c r="J51" s="25">
        <v>0</v>
      </c>
    </row>
    <row r="52" spans="2:13" x14ac:dyDescent="0.25">
      <c r="B52" s="1" t="s">
        <v>27</v>
      </c>
      <c r="C52" s="25">
        <v>0.05</v>
      </c>
      <c r="D52" s="25">
        <v>0.04</v>
      </c>
      <c r="E52" s="25">
        <v>0.01</v>
      </c>
      <c r="F52" s="25">
        <v>0.9</v>
      </c>
      <c r="G52" s="25">
        <v>0.8</v>
      </c>
      <c r="H52" s="25">
        <v>0.2</v>
      </c>
      <c r="I52" s="25">
        <v>0</v>
      </c>
      <c r="J52" s="25">
        <v>0</v>
      </c>
    </row>
    <row r="53" spans="2:13" x14ac:dyDescent="0.25">
      <c r="B53" s="1" t="s">
        <v>28</v>
      </c>
      <c r="C53" s="25">
        <v>0.12</v>
      </c>
      <c r="D53" s="25">
        <v>0.14000000000000001</v>
      </c>
      <c r="E53" s="25">
        <v>0.26</v>
      </c>
      <c r="F53" s="25">
        <v>0.48</v>
      </c>
      <c r="G53" s="25">
        <v>0.7</v>
      </c>
      <c r="H53" s="25">
        <v>0.3</v>
      </c>
      <c r="I53" s="25">
        <v>0</v>
      </c>
      <c r="J53" s="25">
        <v>0</v>
      </c>
    </row>
    <row r="54" spans="2:13" x14ac:dyDescent="0.25">
      <c r="B54" s="1" t="s">
        <v>29</v>
      </c>
      <c r="C54" s="25">
        <v>0.16597154608282005</v>
      </c>
      <c r="D54" s="25">
        <v>0.19259834809964024</v>
      </c>
      <c r="E54" s="25">
        <v>0.24583874787042273</v>
      </c>
      <c r="F54" s="25">
        <v>0.39559135794711692</v>
      </c>
      <c r="G54" s="25">
        <v>0.8</v>
      </c>
      <c r="H54" s="25">
        <v>0.2</v>
      </c>
      <c r="I54" s="25">
        <v>0</v>
      </c>
      <c r="J54" s="25">
        <v>0</v>
      </c>
    </row>
    <row r="55" spans="2:13" x14ac:dyDescent="0.25">
      <c r="B55" s="1" t="s">
        <v>30</v>
      </c>
      <c r="C55" s="64">
        <f>AVERAGE(C53,C51,C46)</f>
        <v>0.16</v>
      </c>
      <c r="D55" s="64">
        <f t="shared" ref="D55:E55" si="2">AVERAGE(D53,D51,D46)</f>
        <v>0.16333333333333333</v>
      </c>
      <c r="E55" s="64">
        <f t="shared" si="2"/>
        <v>0.24666666666666667</v>
      </c>
      <c r="F55" s="64">
        <f>1-SUM(C55:E55)</f>
        <v>0.42999999999999994</v>
      </c>
      <c r="G55" s="64">
        <f>AVERAGE(G53,G51,G46)</f>
        <v>0.76666666666666661</v>
      </c>
      <c r="H55" s="64">
        <f t="shared" ref="H55:I55" si="3">AVERAGE(H53,H51,H46)</f>
        <v>0.23333333333333331</v>
      </c>
      <c r="I55" s="64">
        <f t="shared" si="3"/>
        <v>0</v>
      </c>
      <c r="J55" s="64">
        <f>1-SUM(G55:I55)</f>
        <v>0</v>
      </c>
    </row>
    <row r="56" spans="2:13" x14ac:dyDescent="0.25">
      <c r="B56" s="1" t="s">
        <v>31</v>
      </c>
      <c r="C56" s="25">
        <v>0.12</v>
      </c>
      <c r="D56" s="25">
        <v>0.14000000000000001</v>
      </c>
      <c r="E56" s="25">
        <v>0.26</v>
      </c>
      <c r="F56" s="25">
        <v>0.48</v>
      </c>
      <c r="G56" s="25">
        <v>0.7</v>
      </c>
      <c r="H56" s="25">
        <v>0.3</v>
      </c>
      <c r="I56" s="25">
        <v>0</v>
      </c>
      <c r="J56" s="25">
        <v>0</v>
      </c>
    </row>
    <row r="57" spans="2:13" x14ac:dyDescent="0.25">
      <c r="B57" s="1" t="s">
        <v>32</v>
      </c>
      <c r="C57" s="25">
        <v>0</v>
      </c>
      <c r="D57" s="25">
        <v>0.1</v>
      </c>
      <c r="E57" s="25">
        <v>0.4</v>
      </c>
      <c r="F57" s="25">
        <v>0.5</v>
      </c>
      <c r="G57" s="25">
        <v>0.6</v>
      </c>
      <c r="H57" s="25">
        <v>0.4</v>
      </c>
      <c r="I57" s="25">
        <v>0</v>
      </c>
      <c r="J57" s="25">
        <v>0</v>
      </c>
    </row>
    <row r="58" spans="2:13" x14ac:dyDescent="0.25">
      <c r="E58" s="1"/>
      <c r="F58" s="1"/>
    </row>
    <row r="59" spans="2:13" x14ac:dyDescent="0.25">
      <c r="E59" s="1"/>
      <c r="F59" s="1"/>
    </row>
    <row r="60" spans="2:13" ht="20.25" thickBot="1" x14ac:dyDescent="0.35">
      <c r="B60" s="75" t="s">
        <v>164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2:13" ht="21" thickTop="1" thickBot="1" x14ac:dyDescent="0.35">
      <c r="B61" s="17" t="s">
        <v>318</v>
      </c>
      <c r="C61" s="17"/>
      <c r="D61" s="17" t="s">
        <v>168</v>
      </c>
      <c r="E61" s="17"/>
      <c r="F61" s="17"/>
      <c r="G61" s="17"/>
      <c r="H61" s="75" t="s">
        <v>210</v>
      </c>
      <c r="I61" s="75" t="s">
        <v>211</v>
      </c>
      <c r="J61" s="30" t="s">
        <v>11</v>
      </c>
      <c r="K61" s="17"/>
      <c r="L61" s="17"/>
      <c r="M61" s="17"/>
    </row>
    <row r="62" spans="2:13" ht="30.75" thickTop="1" thickBot="1" x14ac:dyDescent="0.3">
      <c r="B62" s="21"/>
      <c r="C62" s="21" t="s">
        <v>207</v>
      </c>
      <c r="D62" s="21" t="s">
        <v>207</v>
      </c>
      <c r="E62" s="23" t="s">
        <v>39</v>
      </c>
      <c r="F62" s="23" t="s">
        <v>40</v>
      </c>
      <c r="G62" s="23" t="s">
        <v>169</v>
      </c>
      <c r="H62" s="23" t="s">
        <v>165</v>
      </c>
      <c r="I62" s="23" t="s">
        <v>212</v>
      </c>
      <c r="J62" s="39"/>
      <c r="K62" s="21"/>
      <c r="L62" s="21"/>
      <c r="M62" s="21"/>
    </row>
    <row r="63" spans="2:13" x14ac:dyDescent="0.25">
      <c r="B63" s="1" t="s">
        <v>21</v>
      </c>
      <c r="C63" s="65">
        <v>0.1</v>
      </c>
      <c r="D63" s="63">
        <f t="shared" ref="D63:D74" si="4">C63*Btu_per_therm/Btu_per_kBtu</f>
        <v>10</v>
      </c>
      <c r="E63" s="37">
        <v>0</v>
      </c>
      <c r="F63" s="37">
        <v>0</v>
      </c>
      <c r="G63" s="38">
        <f t="shared" ref="G63:G74" si="5">SUM(C63:F63)</f>
        <v>10.1</v>
      </c>
      <c r="H63" s="46">
        <v>1</v>
      </c>
      <c r="I63" s="46">
        <v>1.39</v>
      </c>
      <c r="J63" s="119" t="s">
        <v>198</v>
      </c>
      <c r="K63" s="120"/>
      <c r="L63" s="120"/>
      <c r="M63" s="120"/>
    </row>
    <row r="64" spans="2:13" x14ac:dyDescent="0.25">
      <c r="B64" s="1" t="s">
        <v>22</v>
      </c>
      <c r="C64" s="65">
        <v>0.1</v>
      </c>
      <c r="D64" s="63">
        <f t="shared" si="4"/>
        <v>10</v>
      </c>
      <c r="E64" s="37">
        <v>0</v>
      </c>
      <c r="F64" s="37">
        <v>0</v>
      </c>
      <c r="G64" s="38">
        <f t="shared" si="5"/>
        <v>10.1</v>
      </c>
      <c r="H64" s="46">
        <v>1</v>
      </c>
      <c r="I64" s="46">
        <v>1.39</v>
      </c>
      <c r="J64" s="119" t="s">
        <v>198</v>
      </c>
      <c r="K64" s="120"/>
      <c r="L64" s="120"/>
      <c r="M64" s="120"/>
    </row>
    <row r="65" spans="2:13" x14ac:dyDescent="0.25">
      <c r="B65" s="1" t="s">
        <v>23</v>
      </c>
      <c r="C65" s="65">
        <v>0.1</v>
      </c>
      <c r="D65" s="63">
        <f t="shared" si="4"/>
        <v>10</v>
      </c>
      <c r="E65" s="37">
        <v>0</v>
      </c>
      <c r="F65" s="37">
        <v>0</v>
      </c>
      <c r="G65" s="38">
        <f t="shared" si="5"/>
        <v>10.1</v>
      </c>
      <c r="H65" s="46">
        <v>1</v>
      </c>
      <c r="I65" s="46">
        <v>1.39</v>
      </c>
      <c r="J65" s="119" t="s">
        <v>198</v>
      </c>
      <c r="K65" s="120"/>
      <c r="L65" s="120"/>
      <c r="M65" s="120"/>
    </row>
    <row r="66" spans="2:13" x14ac:dyDescent="0.25">
      <c r="B66" s="1" t="s">
        <v>24</v>
      </c>
      <c r="C66" s="65">
        <v>0.34</v>
      </c>
      <c r="D66" s="63">
        <f t="shared" si="4"/>
        <v>34</v>
      </c>
      <c r="E66" s="37">
        <v>0</v>
      </c>
      <c r="F66" s="37">
        <v>7.1</v>
      </c>
      <c r="G66" s="38">
        <f>SUM(C66:F66)</f>
        <v>41.440000000000005</v>
      </c>
      <c r="H66" s="46">
        <v>2.5</v>
      </c>
      <c r="I66" s="46">
        <v>3.4</v>
      </c>
      <c r="J66" s="119" t="s">
        <v>209</v>
      </c>
      <c r="K66" s="120"/>
      <c r="L66" s="120"/>
      <c r="M66" s="120"/>
    </row>
    <row r="67" spans="2:13" x14ac:dyDescent="0.25">
      <c r="B67" s="1" t="s">
        <v>25</v>
      </c>
      <c r="C67" s="65">
        <v>0.34</v>
      </c>
      <c r="D67" s="63">
        <f t="shared" si="4"/>
        <v>34</v>
      </c>
      <c r="E67" s="37">
        <v>0</v>
      </c>
      <c r="F67" s="37">
        <v>1.6</v>
      </c>
      <c r="G67" s="38">
        <f t="shared" si="5"/>
        <v>35.940000000000005</v>
      </c>
      <c r="H67" s="46">
        <v>2.5</v>
      </c>
      <c r="I67" s="46">
        <v>3.4</v>
      </c>
      <c r="J67" s="119" t="s">
        <v>209</v>
      </c>
      <c r="K67" s="120"/>
      <c r="L67" s="120"/>
      <c r="M67" s="120"/>
    </row>
    <row r="68" spans="2:13" x14ac:dyDescent="0.25">
      <c r="B68" s="1" t="s">
        <v>26</v>
      </c>
      <c r="C68" s="65">
        <v>0.1</v>
      </c>
      <c r="D68" s="63">
        <f t="shared" si="4"/>
        <v>10</v>
      </c>
      <c r="E68" s="37">
        <v>0</v>
      </c>
      <c r="F68" s="37">
        <v>0</v>
      </c>
      <c r="G68" s="38">
        <f t="shared" si="5"/>
        <v>10.1</v>
      </c>
      <c r="H68" s="46">
        <v>1</v>
      </c>
      <c r="I68" s="46">
        <v>1.39</v>
      </c>
      <c r="J68" s="119" t="s">
        <v>198</v>
      </c>
      <c r="K68" s="120"/>
      <c r="L68" s="120"/>
      <c r="M68" s="120"/>
    </row>
    <row r="69" spans="2:13" x14ac:dyDescent="0.25">
      <c r="B69" s="1" t="s">
        <v>27</v>
      </c>
      <c r="C69" s="65">
        <v>0.1</v>
      </c>
      <c r="D69" s="63">
        <f t="shared" si="4"/>
        <v>10</v>
      </c>
      <c r="E69" s="37">
        <v>0</v>
      </c>
      <c r="F69" s="37">
        <v>0</v>
      </c>
      <c r="G69" s="38">
        <f t="shared" si="5"/>
        <v>10.1</v>
      </c>
      <c r="H69" s="46">
        <v>2.5</v>
      </c>
      <c r="I69" s="46">
        <v>3.4</v>
      </c>
      <c r="J69" s="119" t="s">
        <v>209</v>
      </c>
      <c r="K69" s="120"/>
      <c r="L69" s="120"/>
      <c r="M69" s="120"/>
    </row>
    <row r="70" spans="2:13" x14ac:dyDescent="0.25">
      <c r="B70" s="1" t="s">
        <v>28</v>
      </c>
      <c r="C70" s="65">
        <v>0.34</v>
      </c>
      <c r="D70" s="63">
        <f t="shared" si="4"/>
        <v>34</v>
      </c>
      <c r="E70" s="37">
        <v>0</v>
      </c>
      <c r="F70" s="37">
        <v>1.6</v>
      </c>
      <c r="G70" s="38">
        <f t="shared" si="5"/>
        <v>35.940000000000005</v>
      </c>
      <c r="H70" s="46">
        <v>2.5</v>
      </c>
      <c r="I70" s="46">
        <v>3.4</v>
      </c>
      <c r="J70" s="119" t="s">
        <v>209</v>
      </c>
      <c r="K70" s="120"/>
      <c r="L70" s="120"/>
      <c r="M70" s="120"/>
    </row>
    <row r="71" spans="2:13" x14ac:dyDescent="0.25">
      <c r="B71" s="1" t="s">
        <v>29</v>
      </c>
      <c r="C71" s="65">
        <v>0.1</v>
      </c>
      <c r="D71" s="63">
        <f t="shared" si="4"/>
        <v>10</v>
      </c>
      <c r="E71" s="37">
        <v>0</v>
      </c>
      <c r="F71" s="37">
        <v>0</v>
      </c>
      <c r="G71" s="38">
        <f t="shared" si="5"/>
        <v>10.1</v>
      </c>
      <c r="H71" s="46">
        <v>1</v>
      </c>
      <c r="I71" s="46">
        <v>1.39</v>
      </c>
      <c r="J71" s="119" t="s">
        <v>198</v>
      </c>
      <c r="K71" s="120"/>
      <c r="L71" s="120"/>
      <c r="M71" s="120"/>
    </row>
    <row r="72" spans="2:13" x14ac:dyDescent="0.25">
      <c r="B72" s="1" t="s">
        <v>30</v>
      </c>
      <c r="C72" s="66">
        <f>AVERAGE(C70,C68,C63)</f>
        <v>0.18000000000000002</v>
      </c>
      <c r="D72" s="63">
        <f t="shared" si="4"/>
        <v>18.000000000000004</v>
      </c>
      <c r="E72" s="63">
        <f t="shared" ref="E72:I72" si="6">AVERAGE(E70,E68,E63)</f>
        <v>0</v>
      </c>
      <c r="F72" s="63">
        <f t="shared" si="6"/>
        <v>0.53333333333333333</v>
      </c>
      <c r="G72" s="38">
        <f t="shared" si="5"/>
        <v>18.713333333333338</v>
      </c>
      <c r="H72" s="67">
        <f t="shared" si="6"/>
        <v>1.5</v>
      </c>
      <c r="I72" s="67">
        <f t="shared" si="6"/>
        <v>2.06</v>
      </c>
      <c r="J72" s="119" t="s">
        <v>201</v>
      </c>
      <c r="K72" s="120"/>
      <c r="L72" s="120"/>
      <c r="M72" s="120"/>
    </row>
    <row r="73" spans="2:13" x14ac:dyDescent="0.25">
      <c r="B73" s="1" t="s">
        <v>31</v>
      </c>
      <c r="C73" s="65">
        <v>0.34</v>
      </c>
      <c r="D73" s="63">
        <f t="shared" si="4"/>
        <v>34</v>
      </c>
      <c r="E73" s="37">
        <v>0</v>
      </c>
      <c r="F73" s="37">
        <v>1.6</v>
      </c>
      <c r="G73" s="38">
        <f t="shared" si="5"/>
        <v>35.940000000000005</v>
      </c>
      <c r="H73" s="46">
        <v>2.5</v>
      </c>
      <c r="I73" s="46">
        <v>3.4</v>
      </c>
      <c r="J73" s="119" t="s">
        <v>209</v>
      </c>
      <c r="K73" s="120"/>
      <c r="L73" s="120"/>
      <c r="M73" s="120"/>
    </row>
    <row r="74" spans="2:13" x14ac:dyDescent="0.25">
      <c r="B74" s="1" t="s">
        <v>32</v>
      </c>
      <c r="C74" s="65">
        <v>0.14000000000000001</v>
      </c>
      <c r="D74" s="63">
        <f t="shared" si="4"/>
        <v>14.000000000000002</v>
      </c>
      <c r="E74" s="37">
        <v>0</v>
      </c>
      <c r="F74" s="37">
        <v>0</v>
      </c>
      <c r="G74" s="38">
        <f t="shared" si="5"/>
        <v>14.140000000000002</v>
      </c>
      <c r="H74" s="46">
        <v>0.7</v>
      </c>
      <c r="I74" s="46">
        <v>0.98</v>
      </c>
      <c r="J74" s="121" t="s">
        <v>208</v>
      </c>
      <c r="K74" s="122"/>
      <c r="L74" s="122"/>
      <c r="M74" s="123"/>
    </row>
    <row r="76" spans="2:13" ht="17.25" thickBot="1" x14ac:dyDescent="0.3">
      <c r="B76" s="17" t="s">
        <v>167</v>
      </c>
      <c r="C76" s="17"/>
      <c r="D76" s="17"/>
      <c r="E76" s="17"/>
      <c r="F76" s="17"/>
    </row>
    <row r="77" spans="2:13" ht="16.5" thickTop="1" thickBot="1" x14ac:dyDescent="0.3">
      <c r="B77" s="21"/>
      <c r="C77" s="21" t="s">
        <v>37</v>
      </c>
      <c r="D77" s="21" t="s">
        <v>38</v>
      </c>
      <c r="E77" s="21" t="s">
        <v>39</v>
      </c>
      <c r="F77" s="21" t="s">
        <v>40</v>
      </c>
    </row>
    <row r="78" spans="2:13" x14ac:dyDescent="0.25">
      <c r="B78" s="1" t="s">
        <v>21</v>
      </c>
      <c r="C78" s="25">
        <v>0.9</v>
      </c>
      <c r="D78" s="25">
        <v>0.1</v>
      </c>
      <c r="E78" s="25">
        <v>0</v>
      </c>
      <c r="F78" s="25">
        <v>0</v>
      </c>
    </row>
    <row r="79" spans="2:13" x14ac:dyDescent="0.25">
      <c r="B79" s="1" t="s">
        <v>22</v>
      </c>
      <c r="C79" s="25">
        <v>0.6</v>
      </c>
      <c r="D79" s="25">
        <v>0.4</v>
      </c>
      <c r="E79" s="25">
        <v>0</v>
      </c>
      <c r="F79" s="25">
        <v>0</v>
      </c>
    </row>
    <row r="80" spans="2:13" x14ac:dyDescent="0.25">
      <c r="B80" s="1" t="s">
        <v>23</v>
      </c>
      <c r="C80" s="25">
        <v>0.9</v>
      </c>
      <c r="D80" s="25">
        <v>0.1</v>
      </c>
      <c r="E80" s="25">
        <v>0</v>
      </c>
      <c r="F80" s="25">
        <v>0</v>
      </c>
    </row>
    <row r="81" spans="2:6" x14ac:dyDescent="0.25">
      <c r="B81" s="1" t="s">
        <v>24</v>
      </c>
      <c r="C81" s="25">
        <v>0.8</v>
      </c>
      <c r="D81" s="25">
        <v>0.2</v>
      </c>
      <c r="E81" s="25">
        <v>0</v>
      </c>
      <c r="F81" s="25">
        <v>0</v>
      </c>
    </row>
    <row r="82" spans="2:6" x14ac:dyDescent="0.25">
      <c r="B82" s="1" t="s">
        <v>25</v>
      </c>
      <c r="C82" s="25">
        <v>0.9</v>
      </c>
      <c r="D82" s="25">
        <v>0.1</v>
      </c>
      <c r="E82" s="25">
        <v>0</v>
      </c>
      <c r="F82" s="25">
        <v>0</v>
      </c>
    </row>
    <row r="83" spans="2:6" x14ac:dyDescent="0.25">
      <c r="B83" s="1" t="s">
        <v>26</v>
      </c>
      <c r="C83" s="25">
        <v>0.9</v>
      </c>
      <c r="D83" s="25">
        <v>0.1</v>
      </c>
      <c r="E83" s="25">
        <v>0</v>
      </c>
      <c r="F83" s="25">
        <v>0</v>
      </c>
    </row>
    <row r="84" spans="2:6" x14ac:dyDescent="0.25">
      <c r="B84" s="1" t="s">
        <v>27</v>
      </c>
      <c r="C84" s="25">
        <v>0.6</v>
      </c>
      <c r="D84" s="25">
        <v>0.4</v>
      </c>
      <c r="E84" s="25">
        <v>0</v>
      </c>
      <c r="F84" s="25">
        <v>0</v>
      </c>
    </row>
    <row r="85" spans="2:6" x14ac:dyDescent="0.25">
      <c r="B85" s="1" t="s">
        <v>28</v>
      </c>
      <c r="C85" s="25">
        <v>0.8</v>
      </c>
      <c r="D85" s="25">
        <v>0.2</v>
      </c>
      <c r="E85" s="25">
        <v>0</v>
      </c>
      <c r="F85" s="25">
        <v>0</v>
      </c>
    </row>
    <row r="86" spans="2:6" x14ac:dyDescent="0.25">
      <c r="B86" s="1" t="s">
        <v>29</v>
      </c>
      <c r="C86" s="25">
        <v>0.9</v>
      </c>
      <c r="D86" s="25">
        <v>0.1</v>
      </c>
      <c r="E86" s="25">
        <v>0</v>
      </c>
      <c r="F86" s="25">
        <v>0</v>
      </c>
    </row>
    <row r="87" spans="2:6" x14ac:dyDescent="0.25">
      <c r="B87" s="1" t="s">
        <v>30</v>
      </c>
      <c r="C87" s="64">
        <f>AVERAGE(C85,C83,C78)</f>
        <v>0.8666666666666667</v>
      </c>
      <c r="D87" s="64">
        <f t="shared" ref="D87:E87" si="7">AVERAGE(D85,D83,D78)</f>
        <v>0.13333333333333333</v>
      </c>
      <c r="E87" s="64">
        <f t="shared" si="7"/>
        <v>0</v>
      </c>
      <c r="F87" s="64">
        <f>1-SUM(C87:E87)</f>
        <v>0</v>
      </c>
    </row>
    <row r="88" spans="2:6" x14ac:dyDescent="0.25">
      <c r="B88" s="1" t="s">
        <v>31</v>
      </c>
      <c r="C88" s="25">
        <v>0.8</v>
      </c>
      <c r="D88" s="25">
        <v>0.2</v>
      </c>
      <c r="E88" s="25">
        <v>0</v>
      </c>
      <c r="F88" s="25">
        <v>0</v>
      </c>
    </row>
    <row r="89" spans="2:6" x14ac:dyDescent="0.25">
      <c r="B89" s="1" t="s">
        <v>32</v>
      </c>
      <c r="C89" s="25">
        <v>0.5</v>
      </c>
      <c r="D89" s="25">
        <v>0.5</v>
      </c>
      <c r="E89" s="25">
        <v>0</v>
      </c>
      <c r="F89" s="25">
        <v>0</v>
      </c>
    </row>
    <row r="92" spans="2:6" ht="20.25" thickBot="1" x14ac:dyDescent="0.35">
      <c r="B92" s="16" t="s">
        <v>224</v>
      </c>
      <c r="C92" s="16"/>
      <c r="D92" s="16"/>
      <c r="E92" s="16"/>
      <c r="F92" s="16"/>
    </row>
    <row r="93" spans="2:6" ht="18" thickTop="1" thickBot="1" x14ac:dyDescent="0.3">
      <c r="B93" s="17"/>
      <c r="C93" s="17" t="s">
        <v>159</v>
      </c>
      <c r="D93" s="17" t="s">
        <v>165</v>
      </c>
      <c r="E93" s="17" t="s">
        <v>11</v>
      </c>
      <c r="F93" s="17"/>
    </row>
    <row r="94" spans="2:6" ht="15.75" thickTop="1" x14ac:dyDescent="0.25">
      <c r="B94" s="1" t="s">
        <v>222</v>
      </c>
      <c r="C94" s="76">
        <v>0.8</v>
      </c>
      <c r="D94" s="76">
        <v>0.9</v>
      </c>
      <c r="E94" s="118" t="s">
        <v>225</v>
      </c>
      <c r="F94" s="118"/>
    </row>
    <row r="95" spans="2:6" x14ac:dyDescent="0.25">
      <c r="B95" s="1" t="s">
        <v>172</v>
      </c>
      <c r="C95" s="76">
        <v>0.85</v>
      </c>
      <c r="D95" s="76">
        <v>0.95</v>
      </c>
      <c r="E95" s="118" t="s">
        <v>225</v>
      </c>
      <c r="F95" s="118"/>
    </row>
    <row r="98" spans="2:3" ht="20.25" thickBot="1" x14ac:dyDescent="0.35">
      <c r="B98" s="16" t="s">
        <v>285</v>
      </c>
      <c r="C98" s="16"/>
    </row>
    <row r="99" spans="2:3" ht="18" thickTop="1" thickBot="1" x14ac:dyDescent="0.3">
      <c r="B99" s="17" t="s">
        <v>285</v>
      </c>
      <c r="C99" s="17" t="s">
        <v>283</v>
      </c>
    </row>
    <row r="100" spans="2:3" ht="15.75" thickTop="1" x14ac:dyDescent="0.25">
      <c r="B100" s="92" t="s">
        <v>258</v>
      </c>
      <c r="C100" s="97">
        <v>2025</v>
      </c>
    </row>
    <row r="101" spans="2:3" x14ac:dyDescent="0.25">
      <c r="B101" s="92" t="s">
        <v>269</v>
      </c>
      <c r="C101" s="97">
        <v>2030</v>
      </c>
    </row>
    <row r="102" spans="2:3" x14ac:dyDescent="0.25">
      <c r="B102" s="94" t="s">
        <v>265</v>
      </c>
      <c r="C102" s="96">
        <v>2035</v>
      </c>
    </row>
    <row r="103" spans="2:3" x14ac:dyDescent="0.25">
      <c r="B103" s="94" t="s">
        <v>266</v>
      </c>
      <c r="C103" s="96">
        <v>2040</v>
      </c>
    </row>
    <row r="104" spans="2:3" x14ac:dyDescent="0.25">
      <c r="B104" s="94" t="s">
        <v>261</v>
      </c>
      <c r="C104" s="96">
        <v>2040</v>
      </c>
    </row>
    <row r="105" spans="2:3" x14ac:dyDescent="0.25">
      <c r="B105" s="94" t="s">
        <v>263</v>
      </c>
      <c r="C105" s="96">
        <v>2045</v>
      </c>
    </row>
    <row r="106" spans="2:3" x14ac:dyDescent="0.25">
      <c r="B106" s="94" t="s">
        <v>260</v>
      </c>
      <c r="C106" s="96">
        <v>2035</v>
      </c>
    </row>
    <row r="107" spans="2:3" x14ac:dyDescent="0.25">
      <c r="B107" s="94" t="s">
        <v>268</v>
      </c>
      <c r="C107" s="96">
        <v>2030</v>
      </c>
    </row>
    <row r="108" spans="2:3" x14ac:dyDescent="0.25">
      <c r="B108" s="94" t="s">
        <v>270</v>
      </c>
      <c r="C108" s="96">
        <v>2040</v>
      </c>
    </row>
    <row r="109" spans="2:3" x14ac:dyDescent="0.25">
      <c r="B109" s="94" t="s">
        <v>267</v>
      </c>
      <c r="C109" s="96">
        <v>2035</v>
      </c>
    </row>
    <row r="110" spans="2:3" x14ac:dyDescent="0.25">
      <c r="B110" s="94" t="s">
        <v>271</v>
      </c>
      <c r="C110" s="96">
        <v>2040</v>
      </c>
    </row>
    <row r="111" spans="2:3" x14ac:dyDescent="0.25">
      <c r="B111" s="94" t="s">
        <v>262</v>
      </c>
      <c r="C111" s="96">
        <v>2035</v>
      </c>
    </row>
    <row r="112" spans="2:3" x14ac:dyDescent="0.25">
      <c r="B112" s="94" t="s">
        <v>259</v>
      </c>
      <c r="C112" s="96">
        <v>2040</v>
      </c>
    </row>
    <row r="113" spans="2:8" x14ac:dyDescent="0.25">
      <c r="B113" s="94" t="s">
        <v>279</v>
      </c>
      <c r="C113" s="96">
        <v>2045</v>
      </c>
    </row>
    <row r="114" spans="2:8" x14ac:dyDescent="0.25">
      <c r="B114" s="94" t="s">
        <v>280</v>
      </c>
      <c r="C114" s="96">
        <v>2030</v>
      </c>
    </row>
    <row r="115" spans="2:8" x14ac:dyDescent="0.25">
      <c r="B115" s="94" t="s">
        <v>281</v>
      </c>
      <c r="C115" s="96">
        <v>2045</v>
      </c>
    </row>
    <row r="116" spans="2:8" x14ac:dyDescent="0.25">
      <c r="B116" s="94" t="s">
        <v>273</v>
      </c>
      <c r="C116" s="96">
        <v>2045</v>
      </c>
    </row>
    <row r="117" spans="2:8" x14ac:dyDescent="0.25">
      <c r="B117" s="94" t="s">
        <v>257</v>
      </c>
      <c r="C117" s="96">
        <v>2045</v>
      </c>
    </row>
    <row r="118" spans="2:8" x14ac:dyDescent="0.25">
      <c r="B118" s="94" t="s">
        <v>264</v>
      </c>
      <c r="C118" s="96">
        <v>2500</v>
      </c>
    </row>
    <row r="119" spans="2:8" x14ac:dyDescent="0.25">
      <c r="B119" s="92" t="s">
        <v>153</v>
      </c>
      <c r="C119" s="97">
        <v>2025</v>
      </c>
    </row>
    <row r="120" spans="2:8" x14ac:dyDescent="0.25">
      <c r="B120" s="94" t="s">
        <v>193</v>
      </c>
      <c r="C120" s="96">
        <v>2045</v>
      </c>
    </row>
    <row r="121" spans="2:8" x14ac:dyDescent="0.25">
      <c r="B121" s="92" t="s">
        <v>272</v>
      </c>
      <c r="C121" s="97">
        <v>2030</v>
      </c>
    </row>
    <row r="124" spans="2:8" ht="20.25" thickBot="1" x14ac:dyDescent="0.35">
      <c r="B124" s="16" t="s">
        <v>300</v>
      </c>
      <c r="C124" s="16"/>
      <c r="D124" s="16"/>
      <c r="E124" s="16"/>
      <c r="F124" s="16"/>
      <c r="G124" s="16"/>
      <c r="H124" s="16"/>
    </row>
    <row r="125" spans="2:8" ht="18" thickTop="1" thickBot="1" x14ac:dyDescent="0.3">
      <c r="B125" s="17" t="s">
        <v>152</v>
      </c>
      <c r="C125" s="17"/>
      <c r="D125" s="17" t="s">
        <v>299</v>
      </c>
      <c r="E125" s="17" t="s">
        <v>303</v>
      </c>
      <c r="F125" s="17"/>
      <c r="G125" s="17"/>
      <c r="H125" s="17"/>
    </row>
    <row r="126" spans="2:8" ht="16.5" thickTop="1" thickBot="1" x14ac:dyDescent="0.3">
      <c r="B126" s="106" t="s">
        <v>301</v>
      </c>
      <c r="C126" s="106" t="s">
        <v>302</v>
      </c>
      <c r="D126" s="106"/>
      <c r="E126" s="106" t="s">
        <v>10</v>
      </c>
      <c r="F126" s="106" t="s">
        <v>14</v>
      </c>
      <c r="G126" s="106" t="s">
        <v>10</v>
      </c>
      <c r="H126" s="106" t="s">
        <v>14</v>
      </c>
    </row>
    <row r="127" spans="2:8" x14ac:dyDescent="0.25">
      <c r="B127" s="107">
        <v>0</v>
      </c>
      <c r="C127" s="107">
        <v>10000</v>
      </c>
      <c r="D127" s="50" t="s">
        <v>304</v>
      </c>
      <c r="E127" s="50" t="s">
        <v>307</v>
      </c>
      <c r="F127" s="15">
        <v>10</v>
      </c>
      <c r="G127" s="50" t="s">
        <v>290</v>
      </c>
      <c r="H127" s="108">
        <f>1/F127/$C$15*$C$23</f>
        <v>1.2</v>
      </c>
    </row>
    <row r="128" spans="2:8" x14ac:dyDescent="0.25">
      <c r="B128" s="107">
        <v>10000</v>
      </c>
      <c r="C128" s="107">
        <v>150000</v>
      </c>
      <c r="D128" s="50" t="s">
        <v>305</v>
      </c>
      <c r="E128" s="50" t="s">
        <v>307</v>
      </c>
      <c r="F128" s="15">
        <v>9.6999999999999993</v>
      </c>
      <c r="G128" s="50" t="s">
        <v>290</v>
      </c>
      <c r="H128" s="108">
        <f>1/(F128/$C$23*$C$15)</f>
        <v>1.2371134020618557</v>
      </c>
    </row>
    <row r="129" spans="2:8" x14ac:dyDescent="0.25">
      <c r="B129" s="107">
        <v>150000</v>
      </c>
      <c r="C129" s="107">
        <v>10000000</v>
      </c>
      <c r="D129" s="50" t="s">
        <v>306</v>
      </c>
      <c r="E129" s="50" t="s">
        <v>290</v>
      </c>
      <c r="F129" s="15">
        <v>0.58499999999999996</v>
      </c>
      <c r="G129" s="50" t="s">
        <v>290</v>
      </c>
      <c r="H129" s="8">
        <f>F129</f>
        <v>0.58499999999999996</v>
      </c>
    </row>
  </sheetData>
  <sortState xmlns:xlrd2="http://schemas.microsoft.com/office/spreadsheetml/2017/richdata2" ref="Q58:S69">
    <sortCondition ref="Q57"/>
  </sortState>
  <mergeCells count="38">
    <mergeCell ref="G37:J37"/>
    <mergeCell ref="G38:J38"/>
    <mergeCell ref="G39:J39"/>
    <mergeCell ref="G40:J40"/>
    <mergeCell ref="G35:J35"/>
    <mergeCell ref="G36:J36"/>
    <mergeCell ref="G30:J30"/>
    <mergeCell ref="G31:J31"/>
    <mergeCell ref="G32:J32"/>
    <mergeCell ref="G33:J33"/>
    <mergeCell ref="G34:J34"/>
    <mergeCell ref="E12:H12"/>
    <mergeCell ref="E13:H13"/>
    <mergeCell ref="E14:H14"/>
    <mergeCell ref="E15:H15"/>
    <mergeCell ref="G29:J29"/>
    <mergeCell ref="E16:H16"/>
    <mergeCell ref="E17:H17"/>
    <mergeCell ref="E18:H18"/>
    <mergeCell ref="E19:H19"/>
    <mergeCell ref="E22:H22"/>
    <mergeCell ref="E23:H23"/>
    <mergeCell ref="E20:H20"/>
    <mergeCell ref="E21:H21"/>
    <mergeCell ref="J63:M63"/>
    <mergeCell ref="J64:M64"/>
    <mergeCell ref="J65:M65"/>
    <mergeCell ref="J66:M66"/>
    <mergeCell ref="J67:M67"/>
    <mergeCell ref="E95:F95"/>
    <mergeCell ref="E94:F94"/>
    <mergeCell ref="J73:M73"/>
    <mergeCell ref="J74:M74"/>
    <mergeCell ref="J68:M68"/>
    <mergeCell ref="J69:M69"/>
    <mergeCell ref="J70:M70"/>
    <mergeCell ref="J71:M71"/>
    <mergeCell ref="J72:M72"/>
  </mergeCells>
  <conditionalFormatting sqref="F41:F42">
    <cfRule type="containsText" dxfId="599" priority="40" operator="containsText" text="In progress">
      <formula>NOT(ISERROR(SEARCH("In progress",F41)))</formula>
    </cfRule>
    <cfRule type="containsText" dxfId="598" priority="41" operator="containsText" text="Complete">
      <formula>NOT(ISERROR(SEARCH("Complete",F41)))</formula>
    </cfRule>
    <cfRule type="containsText" dxfId="597" priority="42" operator="containsText" text="Outstanding">
      <formula>NOT(ISERROR(SEARCH("Outstanding",F41)))</formula>
    </cfRule>
  </conditionalFormatting>
  <conditionalFormatting sqref="G53:G54">
    <cfRule type="containsText" dxfId="596" priority="43" operator="containsText" text="In progress">
      <formula>NOT(ISERROR(SEARCH("In progress",G53)))</formula>
    </cfRule>
    <cfRule type="containsText" dxfId="595" priority="44" operator="containsText" text="Complete">
      <formula>NOT(ISERROR(SEARCH("Complete",G53)))</formula>
    </cfRule>
    <cfRule type="containsText" dxfId="594" priority="45" operator="containsText" text="Outstanding">
      <formula>NOT(ISERROR(SEARCH("Outstanding",G53)))</formula>
    </cfRule>
  </conditionalFormatting>
  <conditionalFormatting sqref="G46">
    <cfRule type="containsText" dxfId="593" priority="52" operator="containsText" text="In progress">
      <formula>NOT(ISERROR(SEARCH("In progress",G46)))</formula>
    </cfRule>
    <cfRule type="containsText" dxfId="592" priority="53" operator="containsText" text="Complete">
      <formula>NOT(ISERROR(SEARCH("Complete",G46)))</formula>
    </cfRule>
    <cfRule type="containsText" dxfId="591" priority="54" operator="containsText" text="Outstanding">
      <formula>NOT(ISERROR(SEARCH("Outstanding",G46)))</formula>
    </cfRule>
  </conditionalFormatting>
  <conditionalFormatting sqref="G44">
    <cfRule type="containsText" dxfId="590" priority="37" operator="containsText" text="In progress">
      <formula>NOT(ISERROR(SEARCH("In progress",G44)))</formula>
    </cfRule>
    <cfRule type="containsText" dxfId="589" priority="38" operator="containsText" text="Complete">
      <formula>NOT(ISERROR(SEARCH("Complete",G44)))</formula>
    </cfRule>
    <cfRule type="containsText" dxfId="588" priority="39" operator="containsText" text="Outstanding">
      <formula>NOT(ISERROR(SEARCH("Outstanding",G44)))</formula>
    </cfRule>
  </conditionalFormatting>
  <conditionalFormatting sqref="F43">
    <cfRule type="containsText" dxfId="587" priority="34" operator="containsText" text="In progress">
      <formula>NOT(ISERROR(SEARCH("In progress",F43)))</formula>
    </cfRule>
    <cfRule type="containsText" dxfId="586" priority="35" operator="containsText" text="Complete">
      <formula>NOT(ISERROR(SEARCH("Complete",F43)))</formula>
    </cfRule>
    <cfRule type="containsText" dxfId="585" priority="36" operator="containsText" text="Outstanding">
      <formula>NOT(ISERROR(SEARCH("Outstanding",F43)))</formula>
    </cfRule>
  </conditionalFormatting>
  <conditionalFormatting sqref="C85:C86">
    <cfRule type="containsText" dxfId="584" priority="22" operator="containsText" text="In progress">
      <formula>NOT(ISERROR(SEARCH("In progress",C85)))</formula>
    </cfRule>
    <cfRule type="containsText" dxfId="583" priority="23" operator="containsText" text="Complete">
      <formula>NOT(ISERROR(SEARCH("Complete",C85)))</formula>
    </cfRule>
    <cfRule type="containsText" dxfId="582" priority="24" operator="containsText" text="Outstanding">
      <formula>NOT(ISERROR(SEARCH("Outstanding",C85)))</formula>
    </cfRule>
  </conditionalFormatting>
  <conditionalFormatting sqref="C78">
    <cfRule type="containsText" dxfId="581" priority="25" operator="containsText" text="In progress">
      <formula>NOT(ISERROR(SEARCH("In progress",C78)))</formula>
    </cfRule>
    <cfRule type="containsText" dxfId="580" priority="26" operator="containsText" text="Complete">
      <formula>NOT(ISERROR(SEARCH("Complete",C78)))</formula>
    </cfRule>
    <cfRule type="containsText" dxfId="579" priority="27" operator="containsText" text="Outstanding">
      <formula>NOT(ISERROR(SEARCH("Outstanding",C78)))</formula>
    </cfRule>
  </conditionalFormatting>
  <conditionalFormatting sqref="C76">
    <cfRule type="containsText" dxfId="578" priority="19" operator="containsText" text="In progress">
      <formula>NOT(ISERROR(SEARCH("In progress",C76)))</formula>
    </cfRule>
    <cfRule type="containsText" dxfId="577" priority="20" operator="containsText" text="Complete">
      <formula>NOT(ISERROR(SEARCH("Complete",C76)))</formula>
    </cfRule>
    <cfRule type="containsText" dxfId="576" priority="21" operator="containsText" text="Outstanding">
      <formula>NOT(ISERROR(SEARCH("Outstanding",C76)))</formula>
    </cfRule>
  </conditionalFormatting>
  <pageMargins left="0.7" right="0.7" top="0.75" bottom="0.75" header="0.3" footer="0.3"/>
  <pageSetup paperSize="256" orientation="portrait" horizontalDpi="1200" verticalDpi="12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5" operator="containsText" text="In progress" id="{2DAEBF8E-9915-47CE-835E-7F01E57FEEE2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6" operator="containsText" text="Complete" id="{38A56963-5F07-4E65-989E-0BF436EFFE81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7" operator="containsText" text="Outstanding" id="{2EA93317-5DDC-4845-9D5B-DF0D99C05106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G49:G52</xm:sqref>
        </x14:conditionalFormatting>
        <x14:conditionalFormatting xmlns:xm="http://schemas.microsoft.com/office/excel/2006/main">
          <x14:cfRule type="containsText" priority="58" operator="containsText" text="In progress" id="{53FAEA4E-620D-4436-A814-ACDF191BF932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" operator="containsText" text="Complete" id="{58E7AD32-20CD-4A15-9845-C7E73A6E84CD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60" operator="containsText" text="Outstanding" id="{71C3A52A-0B8B-4CE2-96C8-539FD06EBC4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G56:G57</xm:sqref>
        </x14:conditionalFormatting>
        <x14:conditionalFormatting xmlns:xm="http://schemas.microsoft.com/office/excel/2006/main">
          <x14:cfRule type="containsText" priority="28" operator="containsText" text="In progress" id="{3765AC40-F3AB-4CE5-B9D7-C5669E428FFC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9" operator="containsText" text="Complete" id="{75B5BFBA-EB39-4C00-9B00-BF342EEC3D62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0" operator="containsText" text="Outstanding" id="{B6C26999-71D1-4EC8-A1A0-D45816790893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C81:C84</xm:sqref>
        </x14:conditionalFormatting>
        <x14:conditionalFormatting xmlns:xm="http://schemas.microsoft.com/office/excel/2006/main">
          <x14:cfRule type="containsText" priority="31" operator="containsText" text="In progress" id="{99EC83B6-AC6E-416E-9A7D-CC98CA7A0EAE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2" operator="containsText" text="Complete" id="{A61A262E-C7C9-40EC-9649-8C499E487F40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3" operator="containsText" text="Outstanding" id="{EA1CAB36-FDE9-4840-8610-780A08BE2D22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C88:C89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5F7E-DF3D-45E2-A059-B1CE215A4DDC}">
  <sheetPr filterMode="1"/>
  <dimension ref="B2:XFB289"/>
  <sheetViews>
    <sheetView showGridLines="0" topLeftCell="A41" zoomScale="85" zoomScaleNormal="85" workbookViewId="0">
      <selection activeCell="C112" sqref="C112"/>
    </sheetView>
  </sheetViews>
  <sheetFormatPr defaultRowHeight="15" x14ac:dyDescent="0.25"/>
  <cols>
    <col min="2" max="2" width="17.140625" bestFit="1" customWidth="1"/>
    <col min="3" max="3" width="45.28515625" bestFit="1" customWidth="1"/>
    <col min="4" max="4" width="14.28515625" bestFit="1" customWidth="1"/>
    <col min="5" max="5" width="12.5703125" bestFit="1" customWidth="1"/>
    <col min="6" max="6" width="12.140625" bestFit="1" customWidth="1"/>
    <col min="7" max="7" width="14.28515625" customWidth="1"/>
    <col min="8" max="8" width="31.7109375" bestFit="1" customWidth="1"/>
    <col min="9" max="9" width="31.85546875" customWidth="1"/>
    <col min="10" max="10" width="19.85546875" customWidth="1"/>
    <col min="11" max="11" width="25.85546875" bestFit="1" customWidth="1"/>
    <col min="12" max="12" width="23.5703125" bestFit="1" customWidth="1"/>
    <col min="13" max="13" width="7.85546875" bestFit="1" customWidth="1"/>
    <col min="14" max="14" width="17.5703125" bestFit="1" customWidth="1"/>
    <col min="15" max="15" width="10" bestFit="1" customWidth="1"/>
    <col min="16" max="16" width="7.140625" bestFit="1" customWidth="1"/>
    <col min="17" max="17" width="14.5703125" bestFit="1" customWidth="1"/>
    <col min="18" max="18" width="18.5703125" bestFit="1" customWidth="1"/>
    <col min="19" max="19" width="6.28515625" bestFit="1" customWidth="1"/>
    <col min="20" max="20" width="11.42578125" bestFit="1" customWidth="1"/>
    <col min="21" max="21" width="8.42578125" bestFit="1" customWidth="1"/>
    <col min="22" max="22" width="7.140625" bestFit="1" customWidth="1"/>
    <col min="23" max="23" width="3.7109375" customWidth="1"/>
    <col min="24" max="24" width="35.42578125" bestFit="1" customWidth="1"/>
    <col min="25" max="25" width="23.5703125" bestFit="1" customWidth="1"/>
    <col min="26" max="26" width="7.85546875" bestFit="1" customWidth="1"/>
    <col min="27" max="27" width="17.5703125" bestFit="1" customWidth="1"/>
    <col min="28" max="28" width="10" bestFit="1" customWidth="1"/>
    <col min="29" max="29" width="18.5703125" bestFit="1" customWidth="1"/>
    <col min="30" max="30" width="6.28515625" bestFit="1" customWidth="1"/>
    <col min="31" max="31" width="11.42578125" bestFit="1" customWidth="1"/>
    <col min="32" max="32" width="8.42578125" bestFit="1" customWidth="1"/>
    <col min="33" max="33" width="23.5703125" bestFit="1" customWidth="1"/>
    <col min="34" max="34" width="7.85546875" bestFit="1" customWidth="1"/>
    <col min="35" max="35" width="17.5703125" bestFit="1" customWidth="1"/>
    <col min="36" max="36" width="10" bestFit="1" customWidth="1"/>
    <col min="37" max="37" width="18.5703125" bestFit="1" customWidth="1"/>
    <col min="38" max="38" width="6.85546875" bestFit="1" customWidth="1"/>
    <col min="39" max="39" width="11.42578125" bestFit="1" customWidth="1"/>
    <col min="40" max="40" width="8.42578125" bestFit="1" customWidth="1"/>
    <col min="41" max="41" width="3.7109375" customWidth="1"/>
  </cols>
  <sheetData>
    <row r="2" spans="2:41" x14ac:dyDescent="0.25">
      <c r="B2" t="s">
        <v>3</v>
      </c>
      <c r="C2" s="8" t="str">
        <f>Inputs!C2</f>
        <v>UC Berkeley</v>
      </c>
      <c r="K2" s="15" t="s">
        <v>0</v>
      </c>
    </row>
    <row r="3" spans="2:41" x14ac:dyDescent="0.25">
      <c r="B3" t="s">
        <v>4</v>
      </c>
      <c r="C3" s="8" t="str">
        <f>Inputs!C3</f>
        <v>Campus energy study update</v>
      </c>
      <c r="K3" s="8" t="s">
        <v>6</v>
      </c>
    </row>
    <row r="4" spans="2:41" x14ac:dyDescent="0.25">
      <c r="B4" t="s">
        <v>5</v>
      </c>
      <c r="C4" s="8">
        <f>Inputs!C4</f>
        <v>267147</v>
      </c>
      <c r="K4" s="18" t="s">
        <v>1</v>
      </c>
    </row>
    <row r="5" spans="2:41" x14ac:dyDescent="0.25">
      <c r="K5" s="19" t="s">
        <v>2</v>
      </c>
    </row>
    <row r="6" spans="2:41" x14ac:dyDescent="0.25">
      <c r="K6" s="13" t="s">
        <v>7</v>
      </c>
    </row>
    <row r="7" spans="2:41" s="1" customFormat="1" ht="23.25" x14ac:dyDescent="0.35">
      <c r="B7" s="3"/>
      <c r="C7" s="3"/>
      <c r="D7" s="9"/>
      <c r="E7" s="9"/>
      <c r="F7" s="9"/>
      <c r="G7" s="9"/>
      <c r="H7" s="9"/>
      <c r="I7" s="9"/>
      <c r="J7" s="9"/>
      <c r="K7" s="9"/>
      <c r="L7" s="11"/>
      <c r="X7" s="12"/>
      <c r="Y7" s="12"/>
      <c r="Z7" s="12"/>
      <c r="AA7" s="12"/>
      <c r="AG7" s="12"/>
      <c r="AH7" s="12"/>
      <c r="AI7" s="12"/>
    </row>
    <row r="8" spans="2:41" s="1" customFormat="1" ht="23.25" x14ac:dyDescent="0.35">
      <c r="B8" s="2" t="s">
        <v>155</v>
      </c>
      <c r="C8" s="2"/>
      <c r="D8" s="10"/>
      <c r="E8" s="10"/>
      <c r="F8" s="10"/>
      <c r="G8" s="10"/>
      <c r="H8" s="10"/>
      <c r="I8" s="10"/>
      <c r="J8" s="10"/>
      <c r="K8" s="10"/>
      <c r="L8" s="12"/>
      <c r="M8" s="5"/>
      <c r="N8" s="5"/>
      <c r="O8" s="5"/>
      <c r="P8" s="5"/>
      <c r="R8" s="5"/>
      <c r="U8" s="5"/>
      <c r="V8" s="5"/>
      <c r="X8" s="12"/>
      <c r="Y8" s="12"/>
      <c r="Z8" s="12"/>
      <c r="AA8" s="12"/>
      <c r="AB8" s="5"/>
      <c r="AC8" s="5"/>
      <c r="AF8" s="5"/>
      <c r="AG8" s="12"/>
      <c r="AH8" s="12"/>
      <c r="AI8" s="12"/>
      <c r="AJ8" s="5"/>
      <c r="AK8" s="5"/>
      <c r="AN8" s="5"/>
    </row>
    <row r="10" spans="2:41" x14ac:dyDescent="0.25">
      <c r="P10" s="1"/>
      <c r="Q10" s="1"/>
      <c r="R10" s="1"/>
      <c r="S10" s="1"/>
      <c r="T10" s="1"/>
      <c r="U10" s="1"/>
      <c r="V10" s="1"/>
      <c r="W10" s="1"/>
      <c r="AC10" s="1"/>
      <c r="AD10" s="1"/>
      <c r="AE10" s="1"/>
      <c r="AF10" s="1"/>
      <c r="AK10" s="1"/>
      <c r="AL10" s="1"/>
      <c r="AM10" s="1"/>
      <c r="AN10" s="1"/>
      <c r="AO10" s="1"/>
    </row>
    <row r="11" spans="2:41" s="1" customFormat="1" ht="20.25" thickBot="1" x14ac:dyDescent="0.35">
      <c r="B11" s="26" t="s">
        <v>42</v>
      </c>
      <c r="C11" s="26"/>
      <c r="D11" s="26"/>
      <c r="E11" s="26"/>
      <c r="F11" s="26"/>
      <c r="G11" s="26"/>
      <c r="H11" s="26"/>
      <c r="I11" s="26"/>
      <c r="J11"/>
      <c r="K11" s="26" t="s">
        <v>45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X11" s="26" t="s">
        <v>7</v>
      </c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/>
    </row>
    <row r="12" spans="2:41" s="1" customFormat="1" ht="34.5" thickTop="1" thickBot="1" x14ac:dyDescent="0.3">
      <c r="B12" s="21" t="s">
        <v>43</v>
      </c>
      <c r="C12" s="21" t="s">
        <v>44</v>
      </c>
      <c r="D12" s="21" t="s">
        <v>18</v>
      </c>
      <c r="E12" s="21" t="s">
        <v>170</v>
      </c>
      <c r="F12" s="21" t="s">
        <v>171</v>
      </c>
      <c r="G12" s="21" t="s">
        <v>152</v>
      </c>
      <c r="H12" s="21" t="s">
        <v>172</v>
      </c>
      <c r="I12" s="21" t="s">
        <v>231</v>
      </c>
      <c r="J12" s="20"/>
      <c r="K12" s="20" t="s">
        <v>46</v>
      </c>
      <c r="L12" s="30" t="s">
        <v>47</v>
      </c>
      <c r="M12" s="20"/>
      <c r="N12" s="20"/>
      <c r="O12" s="20"/>
      <c r="P12" s="20"/>
      <c r="Q12" s="20" t="s">
        <v>48</v>
      </c>
      <c r="R12" s="30" t="s">
        <v>49</v>
      </c>
      <c r="S12" s="20"/>
      <c r="T12" s="20"/>
      <c r="U12" s="20"/>
      <c r="V12" s="20"/>
      <c r="X12" s="20" t="s">
        <v>46</v>
      </c>
      <c r="Y12" s="30" t="s">
        <v>47</v>
      </c>
      <c r="Z12" s="20"/>
      <c r="AA12" s="20"/>
      <c r="AB12" s="20"/>
      <c r="AC12" s="30" t="s">
        <v>49</v>
      </c>
      <c r="AD12" s="20"/>
      <c r="AE12" s="20"/>
      <c r="AF12" s="20"/>
      <c r="AG12" s="30" t="s">
        <v>47</v>
      </c>
      <c r="AH12" s="20"/>
      <c r="AI12" s="20"/>
      <c r="AJ12" s="20"/>
      <c r="AK12" s="30" t="s">
        <v>49</v>
      </c>
      <c r="AL12" s="20"/>
      <c r="AM12" s="20"/>
      <c r="AN12" s="20"/>
      <c r="AO12"/>
    </row>
    <row r="13" spans="2:41" s="1" customFormat="1" ht="30" thickBot="1" x14ac:dyDescent="0.3">
      <c r="B13" s="21"/>
      <c r="C13" s="21"/>
      <c r="D13" s="21"/>
      <c r="E13" s="21"/>
      <c r="F13" s="21"/>
      <c r="G13" s="21"/>
      <c r="H13" s="21"/>
      <c r="I13" s="21"/>
      <c r="J13"/>
      <c r="K13" s="21"/>
      <c r="L13" s="21" t="s">
        <v>33</v>
      </c>
      <c r="M13" s="21" t="s">
        <v>34</v>
      </c>
      <c r="N13" s="21" t="s">
        <v>35</v>
      </c>
      <c r="O13" s="21" t="s">
        <v>36</v>
      </c>
      <c r="P13" s="21" t="s">
        <v>7</v>
      </c>
      <c r="Q13" s="21"/>
      <c r="R13" s="21" t="s">
        <v>37</v>
      </c>
      <c r="S13" s="21" t="s">
        <v>38</v>
      </c>
      <c r="T13" s="21" t="s">
        <v>39</v>
      </c>
      <c r="U13" s="21" t="s">
        <v>40</v>
      </c>
      <c r="V13" s="21" t="s">
        <v>7</v>
      </c>
      <c r="X13" s="21"/>
      <c r="Y13" s="21" t="s">
        <v>33</v>
      </c>
      <c r="Z13" s="21" t="s">
        <v>34</v>
      </c>
      <c r="AA13" s="21" t="s">
        <v>35</v>
      </c>
      <c r="AB13" s="21" t="s">
        <v>36</v>
      </c>
      <c r="AC13" s="21" t="s">
        <v>37</v>
      </c>
      <c r="AD13" s="21" t="s">
        <v>38</v>
      </c>
      <c r="AE13" s="21" t="s">
        <v>39</v>
      </c>
      <c r="AF13" s="21" t="s">
        <v>40</v>
      </c>
      <c r="AG13" s="21" t="s">
        <v>33</v>
      </c>
      <c r="AH13" s="21" t="s">
        <v>34</v>
      </c>
      <c r="AI13" s="21" t="s">
        <v>35</v>
      </c>
      <c r="AJ13" s="21" t="s">
        <v>36</v>
      </c>
      <c r="AK13" s="21" t="s">
        <v>37</v>
      </c>
      <c r="AL13" s="21" t="s">
        <v>38</v>
      </c>
      <c r="AM13" s="21" t="s">
        <v>39</v>
      </c>
      <c r="AN13" s="21" t="s">
        <v>40</v>
      </c>
      <c r="AO13"/>
    </row>
    <row r="14" spans="2:41" hidden="1" x14ac:dyDescent="0.25">
      <c r="B14" s="54">
        <v>1215</v>
      </c>
      <c r="C14" s="54" t="s">
        <v>50</v>
      </c>
      <c r="D14" s="54" t="s">
        <v>21</v>
      </c>
      <c r="E14" s="55">
        <v>1954</v>
      </c>
      <c r="F14" s="55" t="s">
        <v>319</v>
      </c>
      <c r="G14" s="27">
        <v>15326</v>
      </c>
      <c r="H14" s="15" t="s">
        <v>173</v>
      </c>
      <c r="I14" s="50" t="s">
        <v>257</v>
      </c>
      <c r="J14" s="116"/>
      <c r="K14" s="27">
        <v>143076</v>
      </c>
      <c r="L14" s="31">
        <f>LOOKUP($D14,Inputs!$B$46:$B$57,Inputs!C$46:C$57)</f>
        <v>0.1</v>
      </c>
      <c r="M14" s="31">
        <f>LOOKUP($D14,Inputs!$B$46:$B$57,Inputs!D$46:D$57)</f>
        <v>0.12</v>
      </c>
      <c r="N14" s="31">
        <f>LOOKUP($D14,Inputs!$B$46:$B$57,Inputs!E$46:E$57)</f>
        <v>0.22</v>
      </c>
      <c r="O14" s="31">
        <f>LOOKUP($D14,Inputs!$B$46:$B$57,Inputs!F$46:F$57)</f>
        <v>0.56000000000000005</v>
      </c>
      <c r="P14" s="13" t="str">
        <f t="shared" ref="P14:P75" si="0">IF(SUM(L14:O14)=100%,"","FLAG")</f>
        <v/>
      </c>
      <c r="Q14" s="27">
        <v>463628.98334226944</v>
      </c>
      <c r="R14" s="31">
        <f>LOOKUP($D14,Inputs!$B$46:$B$57,Inputs!G$46:G$57)</f>
        <v>0.8</v>
      </c>
      <c r="S14" s="31">
        <f>LOOKUP($D14,Inputs!$B$46:$B$57,Inputs!H$46:H$57)</f>
        <v>0.2</v>
      </c>
      <c r="T14" s="31">
        <f>LOOKUP($D14,Inputs!$B$46:$B$57,Inputs!I$46:I$57)</f>
        <v>0</v>
      </c>
      <c r="U14" s="31">
        <f>LOOKUP($D14,Inputs!$B$46:$B$57,Inputs!J$46:J$57)</f>
        <v>0</v>
      </c>
      <c r="V14" s="13" t="str">
        <f t="shared" ref="V14:V75" si="1">IF(SUM(R14:U14)=100%,"","FLAG")</f>
        <v/>
      </c>
      <c r="W14" s="1"/>
      <c r="X14" s="27">
        <v>143076</v>
      </c>
      <c r="Y14" s="28">
        <v>0.1</v>
      </c>
      <c r="Z14" s="28">
        <v>0.12</v>
      </c>
      <c r="AA14" s="28">
        <v>0.22</v>
      </c>
      <c r="AB14" s="28">
        <v>0.56000000000000005</v>
      </c>
      <c r="AC14" s="28">
        <v>0.8</v>
      </c>
      <c r="AD14" s="28">
        <v>0.2</v>
      </c>
      <c r="AE14" s="28">
        <v>0</v>
      </c>
      <c r="AF14" s="28">
        <v>0</v>
      </c>
      <c r="AG14" s="33" t="str">
        <f t="shared" ref="AG14:AG42" si="2">IF(L14-Y14=0,"","FLAG")</f>
        <v/>
      </c>
      <c r="AH14" s="33" t="str">
        <f t="shared" ref="AH14:AH42" si="3">IF(M14-Z14=0,"","FLAG")</f>
        <v/>
      </c>
      <c r="AI14" s="33" t="str">
        <f t="shared" ref="AI14:AI42" si="4">IF(N14-AA14=0,"","FLAG")</f>
        <v/>
      </c>
      <c r="AJ14" s="33" t="str">
        <f t="shared" ref="AJ14:AJ42" si="5">IF(O14-AB14=0,"","FLAG")</f>
        <v/>
      </c>
      <c r="AK14" s="33" t="str">
        <f t="shared" ref="AK14:AK42" si="6">IF(R14-AC14=0,"","FLAG")</f>
        <v/>
      </c>
      <c r="AL14" s="33" t="str">
        <f t="shared" ref="AL14:AL42" si="7">IF(S14-AD14=0,"","FLAG")</f>
        <v/>
      </c>
      <c r="AM14" s="33" t="str">
        <f t="shared" ref="AM14:AM42" si="8">IF(T14-AE14=0,"","FLAG")</f>
        <v/>
      </c>
      <c r="AN14" s="33" t="str">
        <f t="shared" ref="AN14:AN42" si="9">IF(U14-AF14=0,"","FLAG")</f>
        <v/>
      </c>
      <c r="AO14" s="1"/>
    </row>
    <row r="15" spans="2:41" hidden="1" x14ac:dyDescent="0.25">
      <c r="B15" s="54">
        <v>1298</v>
      </c>
      <c r="C15" s="54" t="s">
        <v>51</v>
      </c>
      <c r="D15" s="54" t="s">
        <v>29</v>
      </c>
      <c r="E15" s="55">
        <v>1949</v>
      </c>
      <c r="F15" s="55" t="s">
        <v>319</v>
      </c>
      <c r="G15" s="27">
        <v>132394</v>
      </c>
      <c r="H15" s="15" t="s">
        <v>177</v>
      </c>
      <c r="I15" s="50" t="s">
        <v>280</v>
      </c>
      <c r="J15" s="116"/>
      <c r="K15" s="27">
        <v>1703847.9320784321</v>
      </c>
      <c r="L15" s="31">
        <f>LOOKUP($D15,Inputs!$B$46:$B$57,Inputs!C$46:C$57)</f>
        <v>0.16597154608282005</v>
      </c>
      <c r="M15" s="31">
        <f>LOOKUP($D15,Inputs!$B$46:$B$57,Inputs!D$46:D$57)</f>
        <v>0.19259834809964024</v>
      </c>
      <c r="N15" s="31">
        <f>LOOKUP($D15,Inputs!$B$46:$B$57,Inputs!E$46:E$57)</f>
        <v>0.24583874787042273</v>
      </c>
      <c r="O15" s="31">
        <f>LOOKUP($D15,Inputs!$B$46:$B$57,Inputs!F$46:F$57)</f>
        <v>0.39559135794711692</v>
      </c>
      <c r="P15" s="13" t="str">
        <f t="shared" si="0"/>
        <v/>
      </c>
      <c r="Q15" s="27">
        <v>6962491.1058823541</v>
      </c>
      <c r="R15" s="31">
        <f>LOOKUP($D15,Inputs!$B$46:$B$57,Inputs!G$46:G$57)</f>
        <v>0.8</v>
      </c>
      <c r="S15" s="31">
        <f>LOOKUP($D15,Inputs!$B$46:$B$57,Inputs!H$46:H$57)</f>
        <v>0.2</v>
      </c>
      <c r="T15" s="31">
        <f>LOOKUP($D15,Inputs!$B$46:$B$57,Inputs!I$46:I$57)</f>
        <v>0</v>
      </c>
      <c r="U15" s="31">
        <f>LOOKUP($D15,Inputs!$B$46:$B$57,Inputs!J$46:J$57)</f>
        <v>0</v>
      </c>
      <c r="V15" s="13" t="str">
        <f t="shared" si="1"/>
        <v/>
      </c>
      <c r="W15" s="1"/>
      <c r="X15" s="27">
        <v>1703847.9320784321</v>
      </c>
      <c r="Y15" s="28">
        <v>0.16597154608282005</v>
      </c>
      <c r="Z15" s="28">
        <v>0.19259834809964024</v>
      </c>
      <c r="AA15" s="28">
        <v>0.24583874787042273</v>
      </c>
      <c r="AB15" s="28">
        <v>0.39559135794711692</v>
      </c>
      <c r="AC15" s="28">
        <v>0.8</v>
      </c>
      <c r="AD15" s="28">
        <v>0.2</v>
      </c>
      <c r="AE15" s="28">
        <v>0</v>
      </c>
      <c r="AF15" s="28">
        <v>0</v>
      </c>
      <c r="AG15" s="33" t="str">
        <f t="shared" si="2"/>
        <v/>
      </c>
      <c r="AH15" s="33" t="str">
        <f t="shared" si="3"/>
        <v/>
      </c>
      <c r="AI15" s="33" t="str">
        <f t="shared" si="4"/>
        <v/>
      </c>
      <c r="AJ15" s="33" t="str">
        <f t="shared" si="5"/>
        <v/>
      </c>
      <c r="AK15" s="33" t="str">
        <f t="shared" si="6"/>
        <v/>
      </c>
      <c r="AL15" s="33" t="str">
        <f t="shared" si="7"/>
        <v/>
      </c>
      <c r="AM15" s="33" t="str">
        <f t="shared" si="8"/>
        <v/>
      </c>
      <c r="AN15" s="33" t="str">
        <f t="shared" si="9"/>
        <v/>
      </c>
      <c r="AO15" s="1"/>
    </row>
    <row r="16" spans="2:41" x14ac:dyDescent="0.25">
      <c r="B16" s="54">
        <v>1793</v>
      </c>
      <c r="C16" s="54" t="s">
        <v>52</v>
      </c>
      <c r="D16" s="54" t="s">
        <v>24</v>
      </c>
      <c r="E16" s="55">
        <v>1964</v>
      </c>
      <c r="F16" s="55" t="s">
        <v>319</v>
      </c>
      <c r="G16" s="27">
        <v>86091</v>
      </c>
      <c r="H16" s="15" t="s">
        <v>175</v>
      </c>
      <c r="I16" s="50" t="s">
        <v>258</v>
      </c>
      <c r="J16" s="116"/>
      <c r="K16" s="27">
        <v>2816021</v>
      </c>
      <c r="L16" s="31">
        <f>LOOKUP($D16,Inputs!$B$46:$B$57,Inputs!C$46:C$57)</f>
        <v>0.25</v>
      </c>
      <c r="M16" s="31">
        <f>LOOKUP($D16,Inputs!$B$46:$B$57,Inputs!D$46:D$57)</f>
        <v>0.35</v>
      </c>
      <c r="N16" s="31">
        <f>LOOKUP($D16,Inputs!$B$46:$B$57,Inputs!E$46:E$57)</f>
        <v>0.18</v>
      </c>
      <c r="O16" s="31">
        <f>LOOKUP($D16,Inputs!$B$46:$B$57,Inputs!F$46:F$57)</f>
        <v>0.22</v>
      </c>
      <c r="P16" s="13" t="str">
        <f t="shared" si="0"/>
        <v/>
      </c>
      <c r="Q16" s="27">
        <v>31229749.563363437</v>
      </c>
      <c r="R16" s="31">
        <f>LOOKUP($D16,Inputs!$B$46:$B$57,Inputs!G$46:G$57)*(1-$U16)</f>
        <v>0.55999999999999994</v>
      </c>
      <c r="S16" s="31">
        <f>LOOKUP($D16,Inputs!$B$46:$B$57,Inputs!H$46:H$57)*(1-$U16)</f>
        <v>0.24</v>
      </c>
      <c r="T16" s="31">
        <f>LOOKUP($D16,Inputs!$B$46:$B$57,Inputs!I$46:I$57)*(1-$U16)</f>
        <v>0</v>
      </c>
      <c r="U16" s="25">
        <v>0.2</v>
      </c>
      <c r="V16" s="13" t="str">
        <f t="shared" si="1"/>
        <v/>
      </c>
      <c r="W16" s="1"/>
      <c r="X16" s="27">
        <v>2816021</v>
      </c>
      <c r="Y16" s="28">
        <v>0.25</v>
      </c>
      <c r="Z16" s="28">
        <v>0.35</v>
      </c>
      <c r="AA16" s="28">
        <v>0.18</v>
      </c>
      <c r="AB16" s="28">
        <v>0.22</v>
      </c>
      <c r="AC16" s="28">
        <v>0.55999999999999994</v>
      </c>
      <c r="AD16" s="28">
        <v>0.24</v>
      </c>
      <c r="AE16" s="28">
        <v>0</v>
      </c>
      <c r="AF16" s="28">
        <v>0.2</v>
      </c>
      <c r="AG16" s="33" t="str">
        <f t="shared" si="2"/>
        <v/>
      </c>
      <c r="AH16" s="33" t="str">
        <f t="shared" si="3"/>
        <v/>
      </c>
      <c r="AI16" s="33" t="str">
        <f t="shared" si="4"/>
        <v/>
      </c>
      <c r="AJ16" s="33" t="str">
        <f t="shared" si="5"/>
        <v/>
      </c>
      <c r="AK16" s="33" t="str">
        <f t="shared" si="6"/>
        <v/>
      </c>
      <c r="AL16" s="33" t="str">
        <f t="shared" si="7"/>
        <v/>
      </c>
      <c r="AM16" s="33" t="str">
        <f t="shared" si="8"/>
        <v/>
      </c>
      <c r="AN16" s="33" t="str">
        <f t="shared" si="9"/>
        <v/>
      </c>
      <c r="AO16" s="1"/>
    </row>
    <row r="17" spans="2:41" hidden="1" x14ac:dyDescent="0.25">
      <c r="B17" s="54">
        <v>1761</v>
      </c>
      <c r="C17" s="54" t="s">
        <v>53</v>
      </c>
      <c r="D17" s="54" t="s">
        <v>26</v>
      </c>
      <c r="E17" s="55">
        <v>1964</v>
      </c>
      <c r="F17" s="55" t="s">
        <v>319</v>
      </c>
      <c r="G17" s="27">
        <v>193202</v>
      </c>
      <c r="H17" s="15" t="s">
        <v>176</v>
      </c>
      <c r="I17" s="50" t="s">
        <v>259</v>
      </c>
      <c r="J17" s="116"/>
      <c r="K17" s="27">
        <v>1260397</v>
      </c>
      <c r="L17" s="31">
        <f>LOOKUP($D17,Inputs!$B$46:$B$57,Inputs!C$46:C$57)</f>
        <v>0.26</v>
      </c>
      <c r="M17" s="31">
        <f>LOOKUP($D17,Inputs!$B$46:$B$57,Inputs!D$46:D$57)</f>
        <v>0.23</v>
      </c>
      <c r="N17" s="31">
        <f>LOOKUP($D17,Inputs!$B$46:$B$57,Inputs!E$46:E$57)</f>
        <v>0.26</v>
      </c>
      <c r="O17" s="31">
        <f>LOOKUP($D17,Inputs!$B$46:$B$57,Inputs!F$46:F$57)</f>
        <v>0.25</v>
      </c>
      <c r="P17" s="13" t="str">
        <f t="shared" si="0"/>
        <v/>
      </c>
      <c r="Q17" s="27">
        <v>4967094.9764705878</v>
      </c>
      <c r="R17" s="31">
        <f>LOOKUP($D17,Inputs!$B$46:$B$57,Inputs!G$46:G$57)</f>
        <v>0.8</v>
      </c>
      <c r="S17" s="31">
        <f>LOOKUP($D17,Inputs!$B$46:$B$57,Inputs!H$46:H$57)</f>
        <v>0.2</v>
      </c>
      <c r="T17" s="31">
        <f>LOOKUP($D17,Inputs!$B$46:$B$57,Inputs!I$46:I$57)</f>
        <v>0</v>
      </c>
      <c r="U17" s="31">
        <f>LOOKUP($D17,Inputs!$B$46:$B$57,Inputs!J$46:J$57)</f>
        <v>0</v>
      </c>
      <c r="V17" s="13" t="str">
        <f t="shared" si="1"/>
        <v/>
      </c>
      <c r="W17" s="1"/>
      <c r="X17" s="27">
        <v>1260397</v>
      </c>
      <c r="Y17" s="28">
        <v>0.26</v>
      </c>
      <c r="Z17" s="28">
        <v>0.23</v>
      </c>
      <c r="AA17" s="28">
        <v>0.26</v>
      </c>
      <c r="AB17" s="28">
        <v>0.25</v>
      </c>
      <c r="AC17" s="28">
        <v>0.8</v>
      </c>
      <c r="AD17" s="28">
        <v>0.2</v>
      </c>
      <c r="AE17" s="28">
        <v>0</v>
      </c>
      <c r="AF17" s="28">
        <v>0</v>
      </c>
      <c r="AG17" s="33" t="str">
        <f t="shared" si="2"/>
        <v/>
      </c>
      <c r="AH17" s="33" t="str">
        <f t="shared" si="3"/>
        <v/>
      </c>
      <c r="AI17" s="33" t="str">
        <f t="shared" si="4"/>
        <v/>
      </c>
      <c r="AJ17" s="33" t="str">
        <f t="shared" si="5"/>
        <v/>
      </c>
      <c r="AK17" s="33" t="str">
        <f t="shared" si="6"/>
        <v/>
      </c>
      <c r="AL17" s="33" t="str">
        <f t="shared" si="7"/>
        <v/>
      </c>
      <c r="AM17" s="33" t="str">
        <f t="shared" si="8"/>
        <v/>
      </c>
      <c r="AN17" s="33" t="str">
        <f t="shared" si="9"/>
        <v/>
      </c>
      <c r="AO17" s="1"/>
    </row>
    <row r="18" spans="2:41" hidden="1" x14ac:dyDescent="0.25">
      <c r="B18" s="54">
        <v>1788</v>
      </c>
      <c r="C18" s="54" t="s">
        <v>54</v>
      </c>
      <c r="D18" s="54" t="s">
        <v>26</v>
      </c>
      <c r="E18" s="55">
        <v>1980</v>
      </c>
      <c r="F18" s="55" t="s">
        <v>319</v>
      </c>
      <c r="G18" s="27">
        <v>47954</v>
      </c>
      <c r="H18" s="15" t="s">
        <v>177</v>
      </c>
      <c r="I18" s="15" t="s">
        <v>260</v>
      </c>
      <c r="J18" s="116"/>
      <c r="K18" s="27">
        <v>405277</v>
      </c>
      <c r="L18" s="31">
        <f>LOOKUP($D18,Inputs!$B$46:$B$57,Inputs!C$46:C$57)</f>
        <v>0.26</v>
      </c>
      <c r="M18" s="31">
        <f>LOOKUP($D18,Inputs!$B$46:$B$57,Inputs!D$46:D$57)</f>
        <v>0.23</v>
      </c>
      <c r="N18" s="31">
        <f>LOOKUP($D18,Inputs!$B$46:$B$57,Inputs!E$46:E$57)</f>
        <v>0.26</v>
      </c>
      <c r="O18" s="31">
        <f>LOOKUP($D18,Inputs!$B$46:$B$57,Inputs!F$46:F$57)</f>
        <v>0.25</v>
      </c>
      <c r="P18" s="13" t="str">
        <f t="shared" si="0"/>
        <v/>
      </c>
      <c r="Q18" s="27">
        <v>1450663.2041755959</v>
      </c>
      <c r="R18" s="31">
        <f>LOOKUP($D18,Inputs!$B$46:$B$57,Inputs!G$46:G$57)</f>
        <v>0.8</v>
      </c>
      <c r="S18" s="31">
        <f>LOOKUP($D18,Inputs!$B$46:$B$57,Inputs!H$46:H$57)</f>
        <v>0.2</v>
      </c>
      <c r="T18" s="31">
        <f>LOOKUP($D18,Inputs!$B$46:$B$57,Inputs!I$46:I$57)</f>
        <v>0</v>
      </c>
      <c r="U18" s="31">
        <f>LOOKUP($D18,Inputs!$B$46:$B$57,Inputs!J$46:J$57)</f>
        <v>0</v>
      </c>
      <c r="V18" s="13" t="str">
        <f t="shared" si="1"/>
        <v/>
      </c>
      <c r="W18" s="1"/>
      <c r="X18" s="27">
        <v>405277</v>
      </c>
      <c r="Y18" s="28">
        <v>0.26</v>
      </c>
      <c r="Z18" s="28">
        <v>0.23</v>
      </c>
      <c r="AA18" s="28">
        <v>0.26</v>
      </c>
      <c r="AB18" s="28">
        <v>0.25</v>
      </c>
      <c r="AC18" s="28">
        <v>0.8</v>
      </c>
      <c r="AD18" s="28">
        <v>0.2</v>
      </c>
      <c r="AE18" s="28">
        <v>0</v>
      </c>
      <c r="AF18" s="28">
        <v>0</v>
      </c>
      <c r="AG18" s="33" t="str">
        <f t="shared" si="2"/>
        <v/>
      </c>
      <c r="AH18" s="33" t="str">
        <f t="shared" si="3"/>
        <v/>
      </c>
      <c r="AI18" s="33" t="str">
        <f t="shared" si="4"/>
        <v/>
      </c>
      <c r="AJ18" s="33" t="str">
        <f t="shared" si="5"/>
        <v/>
      </c>
      <c r="AK18" s="33" t="str">
        <f t="shared" si="6"/>
        <v/>
      </c>
      <c r="AL18" s="33" t="str">
        <f t="shared" si="7"/>
        <v/>
      </c>
      <c r="AM18" s="33" t="str">
        <f t="shared" si="8"/>
        <v/>
      </c>
      <c r="AN18" s="33" t="str">
        <f t="shared" si="9"/>
        <v/>
      </c>
      <c r="AO18" s="1"/>
    </row>
    <row r="19" spans="2:41" hidden="1" x14ac:dyDescent="0.25">
      <c r="B19" s="54">
        <v>1220</v>
      </c>
      <c r="C19" s="54" t="s">
        <v>55</v>
      </c>
      <c r="D19" s="54" t="s">
        <v>31</v>
      </c>
      <c r="E19" s="55">
        <v>1964</v>
      </c>
      <c r="F19" s="55" t="s">
        <v>319</v>
      </c>
      <c r="G19" s="27">
        <v>94175</v>
      </c>
      <c r="H19" s="15" t="s">
        <v>177</v>
      </c>
      <c r="I19" s="50" t="s">
        <v>261</v>
      </c>
      <c r="J19" s="116"/>
      <c r="K19" s="27">
        <v>2985683</v>
      </c>
      <c r="L19" s="31">
        <f>LOOKUP($D19,Inputs!$B$46:$B$57,Inputs!C$46:C$57)</f>
        <v>0.12</v>
      </c>
      <c r="M19" s="31">
        <f>LOOKUP($D19,Inputs!$B$46:$B$57,Inputs!D$46:D$57)</f>
        <v>0.14000000000000001</v>
      </c>
      <c r="N19" s="31">
        <f>LOOKUP($D19,Inputs!$B$46:$B$57,Inputs!E$46:E$57)</f>
        <v>0.26</v>
      </c>
      <c r="O19" s="31">
        <f>LOOKUP($D19,Inputs!$B$46:$B$57,Inputs!F$46:F$57)</f>
        <v>0.48</v>
      </c>
      <c r="P19" s="13" t="str">
        <f t="shared" si="0"/>
        <v/>
      </c>
      <c r="Q19" s="27">
        <v>7154934.2644814514</v>
      </c>
      <c r="R19" s="31">
        <f>LOOKUP($D19,Inputs!$B$46:$B$57,Inputs!G$46:G$57)</f>
        <v>0.7</v>
      </c>
      <c r="S19" s="31">
        <f>LOOKUP($D19,Inputs!$B$46:$B$57,Inputs!H$46:H$57)</f>
        <v>0.3</v>
      </c>
      <c r="T19" s="31">
        <f>LOOKUP($D19,Inputs!$B$46:$B$57,Inputs!I$46:I$57)</f>
        <v>0</v>
      </c>
      <c r="U19" s="31">
        <f>LOOKUP($D19,Inputs!$B$46:$B$57,Inputs!J$46:J$57)</f>
        <v>0</v>
      </c>
      <c r="V19" s="13" t="str">
        <f t="shared" si="1"/>
        <v/>
      </c>
      <c r="W19" s="1"/>
      <c r="X19" s="27">
        <v>2985683</v>
      </c>
      <c r="Y19" s="28">
        <v>0.12</v>
      </c>
      <c r="Z19" s="28">
        <v>0.14000000000000001</v>
      </c>
      <c r="AA19" s="28">
        <v>0.26</v>
      </c>
      <c r="AB19" s="28">
        <v>0.48</v>
      </c>
      <c r="AC19" s="28">
        <v>0.7</v>
      </c>
      <c r="AD19" s="28">
        <v>0.3</v>
      </c>
      <c r="AE19" s="28">
        <v>0</v>
      </c>
      <c r="AF19" s="28">
        <v>0</v>
      </c>
      <c r="AG19" s="33" t="str">
        <f t="shared" si="2"/>
        <v/>
      </c>
      <c r="AH19" s="33" t="str">
        <f t="shared" si="3"/>
        <v/>
      </c>
      <c r="AI19" s="33" t="str">
        <f t="shared" si="4"/>
        <v/>
      </c>
      <c r="AJ19" s="33" t="str">
        <f t="shared" si="5"/>
        <v/>
      </c>
      <c r="AK19" s="33" t="str">
        <f t="shared" si="6"/>
        <v/>
      </c>
      <c r="AL19" s="33" t="str">
        <f t="shared" si="7"/>
        <v/>
      </c>
      <c r="AM19" s="33" t="str">
        <f t="shared" si="8"/>
        <v/>
      </c>
      <c r="AN19" s="33" t="str">
        <f t="shared" si="9"/>
        <v/>
      </c>
      <c r="AO19" s="1"/>
    </row>
    <row r="20" spans="2:41" hidden="1" x14ac:dyDescent="0.25">
      <c r="B20" s="54">
        <v>1322</v>
      </c>
      <c r="C20" s="54" t="s">
        <v>56</v>
      </c>
      <c r="D20" s="54" t="s">
        <v>30</v>
      </c>
      <c r="E20" s="55">
        <v>1914</v>
      </c>
      <c r="F20" s="55" t="s">
        <v>319</v>
      </c>
      <c r="G20" s="27">
        <v>23815</v>
      </c>
      <c r="H20" s="15" t="s">
        <v>177</v>
      </c>
      <c r="I20" s="15" t="s">
        <v>260</v>
      </c>
      <c r="J20" s="116"/>
      <c r="K20" s="27">
        <v>113879</v>
      </c>
      <c r="L20" s="31">
        <f>LOOKUP($D20,Inputs!$B$46:$B$57,Inputs!C$46:C$57)</f>
        <v>0.16</v>
      </c>
      <c r="M20" s="31">
        <f>LOOKUP($D20,Inputs!$B$46:$B$57,Inputs!D$46:D$57)</f>
        <v>0.16333333333333333</v>
      </c>
      <c r="N20" s="31">
        <f>LOOKUP($D20,Inputs!$B$46:$B$57,Inputs!E$46:E$57)</f>
        <v>0.24666666666666667</v>
      </c>
      <c r="O20" s="31">
        <f>LOOKUP($D20,Inputs!$B$46:$B$57,Inputs!F$46:F$57)</f>
        <v>0.42999999999999994</v>
      </c>
      <c r="P20" s="13" t="str">
        <f t="shared" si="0"/>
        <v/>
      </c>
      <c r="Q20" s="27">
        <v>1669338.3798327215</v>
      </c>
      <c r="R20" s="31">
        <f>LOOKUP($D20,Inputs!$B$46:$B$57,Inputs!G$46:G$57)</f>
        <v>0.76666666666666661</v>
      </c>
      <c r="S20" s="31">
        <f>LOOKUP($D20,Inputs!$B$46:$B$57,Inputs!H$46:H$57)</f>
        <v>0.23333333333333331</v>
      </c>
      <c r="T20" s="31">
        <f>LOOKUP($D20,Inputs!$B$46:$B$57,Inputs!I$46:I$57)</f>
        <v>0</v>
      </c>
      <c r="U20" s="31">
        <f>LOOKUP($D20,Inputs!$B$46:$B$57,Inputs!J$46:J$57)</f>
        <v>0</v>
      </c>
      <c r="V20" s="13" t="str">
        <f t="shared" si="1"/>
        <v/>
      </c>
      <c r="W20" s="1"/>
      <c r="X20" s="27">
        <v>113879</v>
      </c>
      <c r="Y20" s="28">
        <v>0.3949579831932773</v>
      </c>
      <c r="Z20" s="28">
        <v>0.13025210084033612</v>
      </c>
      <c r="AA20" s="28">
        <v>0.15126050420168063</v>
      </c>
      <c r="AB20" s="28">
        <v>0.32352941176470584</v>
      </c>
      <c r="AC20" s="28">
        <v>0.7</v>
      </c>
      <c r="AD20" s="28">
        <v>0.3</v>
      </c>
      <c r="AE20" s="28">
        <v>0</v>
      </c>
      <c r="AF20" s="28">
        <v>0</v>
      </c>
      <c r="AG20" s="33" t="str">
        <f t="shared" si="2"/>
        <v>FLAG</v>
      </c>
      <c r="AH20" s="33" t="str">
        <f t="shared" si="3"/>
        <v>FLAG</v>
      </c>
      <c r="AI20" s="33" t="str">
        <f t="shared" si="4"/>
        <v>FLAG</v>
      </c>
      <c r="AJ20" s="33" t="str">
        <f t="shared" si="5"/>
        <v>FLAG</v>
      </c>
      <c r="AK20" s="33" t="str">
        <f t="shared" si="6"/>
        <v>FLAG</v>
      </c>
      <c r="AL20" s="33" t="str">
        <f t="shared" si="7"/>
        <v>FLAG</v>
      </c>
      <c r="AM20" s="33" t="str">
        <f t="shared" si="8"/>
        <v/>
      </c>
      <c r="AN20" s="33" t="str">
        <f t="shared" si="9"/>
        <v/>
      </c>
      <c r="AO20" s="1"/>
    </row>
    <row r="21" spans="2:41" hidden="1" x14ac:dyDescent="0.25">
      <c r="B21" s="54">
        <v>1231</v>
      </c>
      <c r="C21" s="54" t="s">
        <v>57</v>
      </c>
      <c r="D21" s="54" t="s">
        <v>26</v>
      </c>
      <c r="E21" s="55">
        <v>1966</v>
      </c>
      <c r="F21" s="55" t="s">
        <v>319</v>
      </c>
      <c r="G21" s="27">
        <v>277521</v>
      </c>
      <c r="H21" s="15" t="s">
        <v>176</v>
      </c>
      <c r="I21" s="50" t="s">
        <v>262</v>
      </c>
      <c r="J21" s="116"/>
      <c r="K21" s="27">
        <v>1833318.2364887672</v>
      </c>
      <c r="L21" s="31">
        <f>LOOKUP($D21,Inputs!$B$46:$B$57,Inputs!C$46:C$57)</f>
        <v>0.26</v>
      </c>
      <c r="M21" s="31">
        <f>LOOKUP($D21,Inputs!$B$46:$B$57,Inputs!D$46:D$57)</f>
        <v>0.23</v>
      </c>
      <c r="N21" s="31">
        <f>LOOKUP($D21,Inputs!$B$46:$B$57,Inputs!E$46:E$57)</f>
        <v>0.26</v>
      </c>
      <c r="O21" s="31">
        <f>LOOKUP($D21,Inputs!$B$46:$B$57,Inputs!F$46:F$57)</f>
        <v>0.25</v>
      </c>
      <c r="P21" s="13" t="str">
        <f t="shared" si="0"/>
        <v/>
      </c>
      <c r="Q21" s="27">
        <v>7134880.409960011</v>
      </c>
      <c r="R21" s="31">
        <f>LOOKUP($D21,Inputs!$B$46:$B$57,Inputs!G$46:G$57)</f>
        <v>0.8</v>
      </c>
      <c r="S21" s="31">
        <f>LOOKUP($D21,Inputs!$B$46:$B$57,Inputs!H$46:H$57)</f>
        <v>0.2</v>
      </c>
      <c r="T21" s="31">
        <f>LOOKUP($D21,Inputs!$B$46:$B$57,Inputs!I$46:I$57)</f>
        <v>0</v>
      </c>
      <c r="U21" s="31">
        <f>LOOKUP($D21,Inputs!$B$46:$B$57,Inputs!J$46:J$57)</f>
        <v>0</v>
      </c>
      <c r="V21" s="13" t="str">
        <f t="shared" si="1"/>
        <v/>
      </c>
      <c r="W21" s="1"/>
      <c r="X21" s="27">
        <v>1833318.2364887672</v>
      </c>
      <c r="Y21" s="28">
        <v>0.26</v>
      </c>
      <c r="Z21" s="28">
        <v>0.23</v>
      </c>
      <c r="AA21" s="28">
        <v>0.26</v>
      </c>
      <c r="AB21" s="28">
        <v>0.25</v>
      </c>
      <c r="AC21" s="28">
        <v>0.8</v>
      </c>
      <c r="AD21" s="28">
        <v>0.2</v>
      </c>
      <c r="AE21" s="28">
        <v>0</v>
      </c>
      <c r="AF21" s="28">
        <v>0</v>
      </c>
      <c r="AG21" s="33" t="str">
        <f t="shared" si="2"/>
        <v/>
      </c>
      <c r="AH21" s="33" t="str">
        <f t="shared" si="3"/>
        <v/>
      </c>
      <c r="AI21" s="33" t="str">
        <f t="shared" si="4"/>
        <v/>
      </c>
      <c r="AJ21" s="33" t="str">
        <f t="shared" si="5"/>
        <v/>
      </c>
      <c r="AK21" s="33" t="str">
        <f t="shared" si="6"/>
        <v/>
      </c>
      <c r="AL21" s="33" t="str">
        <f t="shared" si="7"/>
        <v/>
      </c>
      <c r="AM21" s="33" t="str">
        <f t="shared" si="8"/>
        <v/>
      </c>
      <c r="AN21" s="33" t="str">
        <f t="shared" si="9"/>
        <v/>
      </c>
      <c r="AO21" s="1"/>
    </row>
    <row r="22" spans="2:41" hidden="1" x14ac:dyDescent="0.25">
      <c r="B22" s="54">
        <v>1230</v>
      </c>
      <c r="C22" s="54" t="s">
        <v>58</v>
      </c>
      <c r="D22" s="54" t="s">
        <v>32</v>
      </c>
      <c r="E22" s="55">
        <v>1929</v>
      </c>
      <c r="F22" s="55" t="s">
        <v>319</v>
      </c>
      <c r="G22" s="27">
        <v>73700</v>
      </c>
      <c r="H22" s="15" t="s">
        <v>177</v>
      </c>
      <c r="I22" s="50" t="s">
        <v>263</v>
      </c>
      <c r="J22" s="116"/>
      <c r="K22" s="27">
        <v>141083</v>
      </c>
      <c r="L22" s="31">
        <f>LOOKUP($D22,Inputs!$B$46:$B$57,Inputs!C$46:C$57)</f>
        <v>0</v>
      </c>
      <c r="M22" s="31">
        <f>LOOKUP($D22,Inputs!$B$46:$B$57,Inputs!D$46:D$57)</f>
        <v>0.1</v>
      </c>
      <c r="N22" s="31">
        <f>LOOKUP($D22,Inputs!$B$46:$B$57,Inputs!E$46:E$57)</f>
        <v>0.4</v>
      </c>
      <c r="O22" s="31">
        <f>LOOKUP($D22,Inputs!$B$46:$B$57,Inputs!F$46:F$57)</f>
        <v>0.5</v>
      </c>
      <c r="P22" s="13" t="str">
        <f t="shared" si="0"/>
        <v/>
      </c>
      <c r="Q22" s="27">
        <v>750202.56470588245</v>
      </c>
      <c r="R22" s="31">
        <f>LOOKUP($D22,Inputs!$B$46:$B$57,Inputs!G$46:G$57)</f>
        <v>0.6</v>
      </c>
      <c r="S22" s="31">
        <f>LOOKUP($D22,Inputs!$B$46:$B$57,Inputs!H$46:H$57)</f>
        <v>0.4</v>
      </c>
      <c r="T22" s="31">
        <f>LOOKUP($D22,Inputs!$B$46:$B$57,Inputs!I$46:I$57)</f>
        <v>0</v>
      </c>
      <c r="U22" s="31">
        <f>LOOKUP($D22,Inputs!$B$46:$B$57,Inputs!J$46:J$57)</f>
        <v>0</v>
      </c>
      <c r="V22" s="13" t="str">
        <f t="shared" si="1"/>
        <v/>
      </c>
      <c r="W22" s="1"/>
      <c r="X22" s="27">
        <v>141083</v>
      </c>
      <c r="Y22" s="28">
        <v>0</v>
      </c>
      <c r="Z22" s="28">
        <v>0.1</v>
      </c>
      <c r="AA22" s="28">
        <v>0.4</v>
      </c>
      <c r="AB22" s="28">
        <v>0.5</v>
      </c>
      <c r="AC22" s="28">
        <v>0.6</v>
      </c>
      <c r="AD22" s="28">
        <v>0.4</v>
      </c>
      <c r="AE22" s="28">
        <v>0</v>
      </c>
      <c r="AF22" s="28">
        <v>0</v>
      </c>
      <c r="AG22" s="33" t="str">
        <f t="shared" si="2"/>
        <v/>
      </c>
      <c r="AH22" s="33" t="str">
        <f t="shared" si="3"/>
        <v/>
      </c>
      <c r="AI22" s="33" t="str">
        <f t="shared" si="4"/>
        <v/>
      </c>
      <c r="AJ22" s="33" t="str">
        <f t="shared" si="5"/>
        <v/>
      </c>
      <c r="AK22" s="33" t="str">
        <f t="shared" si="6"/>
        <v/>
      </c>
      <c r="AL22" s="33" t="str">
        <f t="shared" si="7"/>
        <v/>
      </c>
      <c r="AM22" s="33" t="str">
        <f t="shared" si="8"/>
        <v/>
      </c>
      <c r="AN22" s="33" t="str">
        <f t="shared" si="9"/>
        <v/>
      </c>
      <c r="AO22" s="1"/>
    </row>
    <row r="23" spans="2:41" hidden="1" x14ac:dyDescent="0.25">
      <c r="B23" s="54">
        <v>1270</v>
      </c>
      <c r="C23" s="54" t="s">
        <v>59</v>
      </c>
      <c r="D23" s="54" t="s">
        <v>21</v>
      </c>
      <c r="E23" s="55">
        <v>1905</v>
      </c>
      <c r="F23" s="55" t="s">
        <v>319</v>
      </c>
      <c r="G23" s="27">
        <v>56343</v>
      </c>
      <c r="H23" s="15" t="s">
        <v>177</v>
      </c>
      <c r="I23" s="50" t="s">
        <v>281</v>
      </c>
      <c r="J23" s="116"/>
      <c r="K23" s="27">
        <v>388057</v>
      </c>
      <c r="L23" s="31">
        <f>LOOKUP($D23,Inputs!$B$46:$B$57,Inputs!C$46:C$57)</f>
        <v>0.1</v>
      </c>
      <c r="M23" s="31">
        <f>LOOKUP($D23,Inputs!$B$46:$B$57,Inputs!D$46:D$57)</f>
        <v>0.12</v>
      </c>
      <c r="N23" s="31">
        <f>LOOKUP($D23,Inputs!$B$46:$B$57,Inputs!E$46:E$57)</f>
        <v>0.22</v>
      </c>
      <c r="O23" s="31">
        <f>LOOKUP($D23,Inputs!$B$46:$B$57,Inputs!F$46:F$57)</f>
        <v>0.56000000000000005</v>
      </c>
      <c r="P23" s="13" t="str">
        <f t="shared" si="0"/>
        <v/>
      </c>
      <c r="Q23" s="27">
        <v>1704440.0240410729</v>
      </c>
      <c r="R23" s="31">
        <f>LOOKUP($D23,Inputs!$B$46:$B$57,Inputs!G$46:G$57)</f>
        <v>0.8</v>
      </c>
      <c r="S23" s="31">
        <f>LOOKUP($D23,Inputs!$B$46:$B$57,Inputs!H$46:H$57)</f>
        <v>0.2</v>
      </c>
      <c r="T23" s="31">
        <f>LOOKUP($D23,Inputs!$B$46:$B$57,Inputs!I$46:I$57)</f>
        <v>0</v>
      </c>
      <c r="U23" s="31">
        <f>LOOKUP($D23,Inputs!$B$46:$B$57,Inputs!J$46:J$57)</f>
        <v>0</v>
      </c>
      <c r="V23" s="13" t="str">
        <f t="shared" si="1"/>
        <v/>
      </c>
      <c r="W23" s="1"/>
      <c r="X23" s="27">
        <v>388057</v>
      </c>
      <c r="Y23" s="28">
        <v>0.1</v>
      </c>
      <c r="Z23" s="28">
        <v>0.12</v>
      </c>
      <c r="AA23" s="28">
        <v>0.22</v>
      </c>
      <c r="AB23" s="28">
        <v>0.56000000000000005</v>
      </c>
      <c r="AC23" s="28">
        <v>0.8</v>
      </c>
      <c r="AD23" s="28">
        <v>0.2</v>
      </c>
      <c r="AE23" s="28">
        <v>0</v>
      </c>
      <c r="AF23" s="28">
        <v>0</v>
      </c>
      <c r="AG23" s="33" t="str">
        <f t="shared" si="2"/>
        <v/>
      </c>
      <c r="AH23" s="33" t="str">
        <f t="shared" si="3"/>
        <v/>
      </c>
      <c r="AI23" s="33" t="str">
        <f t="shared" si="4"/>
        <v/>
      </c>
      <c r="AJ23" s="33" t="str">
        <f t="shared" si="5"/>
        <v/>
      </c>
      <c r="AK23" s="33" t="str">
        <f t="shared" si="6"/>
        <v/>
      </c>
      <c r="AL23" s="33" t="str">
        <f t="shared" si="7"/>
        <v/>
      </c>
      <c r="AM23" s="33" t="str">
        <f t="shared" si="8"/>
        <v/>
      </c>
      <c r="AN23" s="33" t="str">
        <f t="shared" si="9"/>
        <v/>
      </c>
      <c r="AO23" s="1"/>
    </row>
    <row r="24" spans="2:41" hidden="1" x14ac:dyDescent="0.25">
      <c r="B24" s="54">
        <v>1271</v>
      </c>
      <c r="C24" s="54" t="s">
        <v>60</v>
      </c>
      <c r="D24" s="54" t="s">
        <v>22</v>
      </c>
      <c r="E24" s="55">
        <v>1923</v>
      </c>
      <c r="F24" s="55" t="s">
        <v>319</v>
      </c>
      <c r="G24" s="27">
        <v>261091</v>
      </c>
      <c r="H24" s="15" t="s">
        <v>176</v>
      </c>
      <c r="I24" s="50" t="s">
        <v>262</v>
      </c>
      <c r="J24" s="116"/>
      <c r="K24" s="27">
        <v>2692449</v>
      </c>
      <c r="L24" s="31">
        <f>LOOKUP($D24,Inputs!$B$46:$B$57,Inputs!C$46:C$57)</f>
        <v>0.24</v>
      </c>
      <c r="M24" s="31">
        <f>LOOKUP($D24,Inputs!$B$46:$B$57,Inputs!D$46:D$57)</f>
        <v>0.26</v>
      </c>
      <c r="N24" s="31">
        <f>LOOKUP($D24,Inputs!$B$46:$B$57,Inputs!E$46:E$57)</f>
        <v>0.28999999999999998</v>
      </c>
      <c r="O24" s="31">
        <f>LOOKUP($D24,Inputs!$B$46:$B$57,Inputs!F$46:F$57)</f>
        <v>0.21</v>
      </c>
      <c r="P24" s="13" t="str">
        <f t="shared" si="0"/>
        <v/>
      </c>
      <c r="Q24" s="27">
        <v>1876212.8</v>
      </c>
      <c r="R24" s="31">
        <f>LOOKUP($D24,Inputs!$B$46:$B$57,Inputs!G$46:G$57)</f>
        <v>0.6</v>
      </c>
      <c r="S24" s="31">
        <f>LOOKUP($D24,Inputs!$B$46:$B$57,Inputs!H$46:H$57)</f>
        <v>0.4</v>
      </c>
      <c r="T24" s="31">
        <f>LOOKUP($D24,Inputs!$B$46:$B$57,Inputs!I$46:I$57)</f>
        <v>0</v>
      </c>
      <c r="U24" s="31">
        <f>LOOKUP($D24,Inputs!$B$46:$B$57,Inputs!J$46:J$57)</f>
        <v>0</v>
      </c>
      <c r="V24" s="13" t="str">
        <f t="shared" si="1"/>
        <v/>
      </c>
      <c r="W24" s="1"/>
      <c r="X24" s="27">
        <v>2692449</v>
      </c>
      <c r="Y24" s="28">
        <v>0.24</v>
      </c>
      <c r="Z24" s="28">
        <v>0.26</v>
      </c>
      <c r="AA24" s="28">
        <v>0.28999999999999998</v>
      </c>
      <c r="AB24" s="28">
        <v>0.21</v>
      </c>
      <c r="AC24" s="28">
        <v>0.6</v>
      </c>
      <c r="AD24" s="28">
        <v>0.4</v>
      </c>
      <c r="AE24" s="28">
        <v>0</v>
      </c>
      <c r="AF24" s="28">
        <v>0</v>
      </c>
      <c r="AG24" s="33" t="str">
        <f t="shared" si="2"/>
        <v/>
      </c>
      <c r="AH24" s="33" t="str">
        <f t="shared" si="3"/>
        <v/>
      </c>
      <c r="AI24" s="33" t="str">
        <f t="shared" si="4"/>
        <v/>
      </c>
      <c r="AJ24" s="33" t="str">
        <f t="shared" si="5"/>
        <v/>
      </c>
      <c r="AK24" s="33" t="str">
        <f t="shared" si="6"/>
        <v/>
      </c>
      <c r="AL24" s="33" t="str">
        <f t="shared" si="7"/>
        <v/>
      </c>
      <c r="AM24" s="33" t="str">
        <f t="shared" si="8"/>
        <v/>
      </c>
      <c r="AN24" s="33" t="str">
        <f t="shared" si="9"/>
        <v/>
      </c>
      <c r="AO24" s="1"/>
    </row>
    <row r="25" spans="2:41" s="1" customFormat="1" hidden="1" x14ac:dyDescent="0.25">
      <c r="B25" s="54">
        <v>1799</v>
      </c>
      <c r="C25" s="54" t="s">
        <v>61</v>
      </c>
      <c r="D25" s="54" t="s">
        <v>24</v>
      </c>
      <c r="E25" s="55">
        <v>1963</v>
      </c>
      <c r="F25" s="55" t="s">
        <v>319</v>
      </c>
      <c r="G25" s="27">
        <v>33167</v>
      </c>
      <c r="H25" s="15" t="s">
        <v>176</v>
      </c>
      <c r="I25" s="50" t="s">
        <v>262</v>
      </c>
      <c r="J25" s="116"/>
      <c r="K25" s="27">
        <v>370341</v>
      </c>
      <c r="L25" s="31">
        <f>LOOKUP($D25,Inputs!$B$46:$B$57,Inputs!C$46:C$57)</f>
        <v>0.25</v>
      </c>
      <c r="M25" s="31">
        <f>LOOKUP($D25,Inputs!$B$46:$B$57,Inputs!D$46:D$57)</f>
        <v>0.35</v>
      </c>
      <c r="N25" s="31">
        <f>LOOKUP($D25,Inputs!$B$46:$B$57,Inputs!E$46:E$57)</f>
        <v>0.18</v>
      </c>
      <c r="O25" s="31">
        <f>LOOKUP($D25,Inputs!$B$46:$B$57,Inputs!F$46:F$57)</f>
        <v>0.22</v>
      </c>
      <c r="P25" s="13" t="str">
        <f t="shared" si="0"/>
        <v/>
      </c>
      <c r="Q25" s="27">
        <v>4199764.7066641226</v>
      </c>
      <c r="R25" s="31">
        <f>LOOKUP($D25,Inputs!$B$46:$B$57,Inputs!G$46:G$57)*(1-$U25)</f>
        <v>0.55999999999999994</v>
      </c>
      <c r="S25" s="31">
        <f>LOOKUP($D25,Inputs!$B$46:$B$57,Inputs!H$46:H$57)*(1-$U25)</f>
        <v>0.24</v>
      </c>
      <c r="T25" s="31">
        <f>LOOKUP($D25,Inputs!$B$46:$B$57,Inputs!I$46:I$57)*(1-$U25)</f>
        <v>0</v>
      </c>
      <c r="U25" s="25">
        <v>0.2</v>
      </c>
      <c r="V25" s="13" t="str">
        <f t="shared" si="1"/>
        <v/>
      </c>
      <c r="X25" s="27">
        <v>370341</v>
      </c>
      <c r="Y25" s="28">
        <v>0.25</v>
      </c>
      <c r="Z25" s="28">
        <v>0.35</v>
      </c>
      <c r="AA25" s="28">
        <v>0.18</v>
      </c>
      <c r="AB25" s="28">
        <v>0.22</v>
      </c>
      <c r="AC25" s="28">
        <v>0.55999999999999994</v>
      </c>
      <c r="AD25" s="28">
        <v>0.24</v>
      </c>
      <c r="AE25" s="28">
        <v>0</v>
      </c>
      <c r="AF25" s="28">
        <v>0.2</v>
      </c>
      <c r="AG25" s="33" t="str">
        <f t="shared" si="2"/>
        <v/>
      </c>
      <c r="AH25" s="33" t="str">
        <f t="shared" si="3"/>
        <v/>
      </c>
      <c r="AI25" s="33" t="str">
        <f t="shared" si="4"/>
        <v/>
      </c>
      <c r="AJ25" s="33" t="str">
        <f t="shared" si="5"/>
        <v/>
      </c>
      <c r="AK25" s="33" t="str">
        <f t="shared" si="6"/>
        <v/>
      </c>
      <c r="AL25" s="33" t="str">
        <f t="shared" si="7"/>
        <v/>
      </c>
      <c r="AM25" s="33" t="str">
        <f t="shared" si="8"/>
        <v/>
      </c>
      <c r="AN25" s="33" t="str">
        <f t="shared" si="9"/>
        <v/>
      </c>
    </row>
    <row r="26" spans="2:41" s="1" customFormat="1" hidden="1" x14ac:dyDescent="0.25">
      <c r="B26" s="54">
        <v>1374</v>
      </c>
      <c r="C26" s="54" t="s">
        <v>62</v>
      </c>
      <c r="D26" s="54" t="s">
        <v>63</v>
      </c>
      <c r="E26" s="55">
        <v>1930</v>
      </c>
      <c r="F26" s="55" t="s">
        <v>319</v>
      </c>
      <c r="G26" s="27">
        <v>20385</v>
      </c>
      <c r="H26" s="15" t="s">
        <v>16</v>
      </c>
      <c r="I26" s="50" t="s">
        <v>264</v>
      </c>
      <c r="J26" s="116"/>
      <c r="K26" s="27">
        <v>0</v>
      </c>
      <c r="L26" s="25">
        <v>0</v>
      </c>
      <c r="M26" s="25">
        <v>0</v>
      </c>
      <c r="N26" s="25">
        <v>0</v>
      </c>
      <c r="O26" s="25">
        <v>0</v>
      </c>
      <c r="P26" s="13" t="str">
        <f t="shared" si="0"/>
        <v>FLAG</v>
      </c>
      <c r="Q26" s="27">
        <v>0</v>
      </c>
      <c r="R26" s="25">
        <v>0</v>
      </c>
      <c r="S26" s="25">
        <v>0</v>
      </c>
      <c r="T26" s="25">
        <v>0</v>
      </c>
      <c r="U26" s="25">
        <v>0</v>
      </c>
      <c r="V26" s="13" t="str">
        <f t="shared" si="1"/>
        <v>FLAG</v>
      </c>
      <c r="X26" s="27"/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33" t="str">
        <f t="shared" si="2"/>
        <v/>
      </c>
      <c r="AH26" s="33" t="str">
        <f t="shared" si="3"/>
        <v/>
      </c>
      <c r="AI26" s="33" t="str">
        <f t="shared" si="4"/>
        <v/>
      </c>
      <c r="AJ26" s="33" t="str">
        <f t="shared" si="5"/>
        <v/>
      </c>
      <c r="AK26" s="33" t="str">
        <f t="shared" si="6"/>
        <v/>
      </c>
      <c r="AL26" s="33" t="str">
        <f t="shared" si="7"/>
        <v/>
      </c>
      <c r="AM26" s="33" t="str">
        <f t="shared" si="8"/>
        <v/>
      </c>
      <c r="AN26" s="33" t="str">
        <f t="shared" si="9"/>
        <v/>
      </c>
    </row>
    <row r="27" spans="2:41" s="1" customFormat="1" hidden="1" x14ac:dyDescent="0.25">
      <c r="B27" s="54">
        <v>1784</v>
      </c>
      <c r="C27" s="54" t="s">
        <v>64</v>
      </c>
      <c r="D27" s="54" t="s">
        <v>21</v>
      </c>
      <c r="E27" s="55">
        <v>1960</v>
      </c>
      <c r="F27" s="55" t="s">
        <v>319</v>
      </c>
      <c r="G27" s="27">
        <v>104016</v>
      </c>
      <c r="H27" s="15" t="s">
        <v>173</v>
      </c>
      <c r="I27" s="50" t="s">
        <v>257</v>
      </c>
      <c r="J27" s="116"/>
      <c r="K27" s="27">
        <v>1010700</v>
      </c>
      <c r="L27" s="31">
        <f>LOOKUP($D27,Inputs!$B$46:$B$57,Inputs!C$46:C$57)</f>
        <v>0.1</v>
      </c>
      <c r="M27" s="31">
        <f>LOOKUP($D27,Inputs!$B$46:$B$57,Inputs!D$46:D$57)</f>
        <v>0.12</v>
      </c>
      <c r="N27" s="31">
        <f>LOOKUP($D27,Inputs!$B$46:$B$57,Inputs!E$46:E$57)</f>
        <v>0.22</v>
      </c>
      <c r="O27" s="31">
        <f>LOOKUP($D27,Inputs!$B$46:$B$57,Inputs!F$46:F$57)</f>
        <v>0.56000000000000005</v>
      </c>
      <c r="P27" s="13" t="str">
        <f t="shared" si="0"/>
        <v/>
      </c>
      <c r="Q27" s="27">
        <v>3146602.6576621099</v>
      </c>
      <c r="R27" s="31">
        <f>LOOKUP($D27,Inputs!$B$46:$B$57,Inputs!G$46:G$57)</f>
        <v>0.8</v>
      </c>
      <c r="S27" s="31">
        <f>LOOKUP($D27,Inputs!$B$46:$B$57,Inputs!H$46:H$57)</f>
        <v>0.2</v>
      </c>
      <c r="T27" s="31">
        <f>LOOKUP($D27,Inputs!$B$46:$B$57,Inputs!I$46:I$57)</f>
        <v>0</v>
      </c>
      <c r="U27" s="31">
        <f>LOOKUP($D27,Inputs!$B$46:$B$57,Inputs!J$46:J$57)</f>
        <v>0</v>
      </c>
      <c r="V27" s="13" t="str">
        <f t="shared" si="1"/>
        <v/>
      </c>
      <c r="X27" s="27">
        <v>1010700</v>
      </c>
      <c r="Y27" s="28">
        <v>0.1</v>
      </c>
      <c r="Z27" s="28">
        <v>0.12</v>
      </c>
      <c r="AA27" s="28">
        <v>0.22</v>
      </c>
      <c r="AB27" s="28">
        <v>0.56000000000000005</v>
      </c>
      <c r="AC27" s="28">
        <v>0.8</v>
      </c>
      <c r="AD27" s="28">
        <v>0.2</v>
      </c>
      <c r="AE27" s="28">
        <v>0</v>
      </c>
      <c r="AF27" s="28">
        <v>0</v>
      </c>
      <c r="AG27" s="33" t="str">
        <f t="shared" si="2"/>
        <v/>
      </c>
      <c r="AH27" s="33" t="str">
        <f t="shared" si="3"/>
        <v/>
      </c>
      <c r="AI27" s="33" t="str">
        <f t="shared" si="4"/>
        <v/>
      </c>
      <c r="AJ27" s="33" t="str">
        <f t="shared" si="5"/>
        <v/>
      </c>
      <c r="AK27" s="33" t="str">
        <f t="shared" si="6"/>
        <v/>
      </c>
      <c r="AL27" s="33" t="str">
        <f t="shared" si="7"/>
        <v/>
      </c>
      <c r="AM27" s="33" t="str">
        <f t="shared" si="8"/>
        <v/>
      </c>
      <c r="AN27" s="33" t="str">
        <f t="shared" si="9"/>
        <v/>
      </c>
    </row>
    <row r="28" spans="2:41" hidden="1" x14ac:dyDescent="0.25">
      <c r="B28" s="54">
        <v>1233</v>
      </c>
      <c r="C28" s="54" t="s">
        <v>65</v>
      </c>
      <c r="D28" s="54" t="s">
        <v>26</v>
      </c>
      <c r="E28" s="55">
        <v>1995</v>
      </c>
      <c r="F28" s="55" t="s">
        <v>319</v>
      </c>
      <c r="G28" s="27">
        <v>32120</v>
      </c>
      <c r="H28" s="15" t="s">
        <v>176</v>
      </c>
      <c r="I28" s="50" t="s">
        <v>265</v>
      </c>
      <c r="J28" s="116"/>
      <c r="K28" s="27">
        <v>604834.75851957418</v>
      </c>
      <c r="L28" s="31">
        <f>LOOKUP($D28,Inputs!$B$46:$B$57,Inputs!C$46:C$57)</f>
        <v>0.26</v>
      </c>
      <c r="M28" s="31">
        <f>LOOKUP($D28,Inputs!$B$46:$B$57,Inputs!D$46:D$57)</f>
        <v>0.23</v>
      </c>
      <c r="N28" s="31">
        <f>LOOKUP($D28,Inputs!$B$46:$B$57,Inputs!E$46:E$57)</f>
        <v>0.26</v>
      </c>
      <c r="O28" s="31">
        <f>LOOKUP($D28,Inputs!$B$46:$B$57,Inputs!F$46:F$57)</f>
        <v>0.25</v>
      </c>
      <c r="P28" s="13" t="str">
        <f t="shared" si="0"/>
        <v/>
      </c>
      <c r="Q28" s="27">
        <v>825783.84615187871</v>
      </c>
      <c r="R28" s="31">
        <f>LOOKUP($D28,Inputs!$B$46:$B$57,Inputs!G$46:G$57)</f>
        <v>0.8</v>
      </c>
      <c r="S28" s="31">
        <f>LOOKUP($D28,Inputs!$B$46:$B$57,Inputs!H$46:H$57)</f>
        <v>0.2</v>
      </c>
      <c r="T28" s="31">
        <f>LOOKUP($D28,Inputs!$B$46:$B$57,Inputs!I$46:I$57)</f>
        <v>0</v>
      </c>
      <c r="U28" s="31">
        <f>LOOKUP($D28,Inputs!$B$46:$B$57,Inputs!J$46:J$57)</f>
        <v>0</v>
      </c>
      <c r="V28" s="13" t="str">
        <f t="shared" si="1"/>
        <v/>
      </c>
      <c r="W28" s="1"/>
      <c r="X28" s="27">
        <v>604834.75851957418</v>
      </c>
      <c r="Y28" s="28">
        <v>0.26</v>
      </c>
      <c r="Z28" s="28">
        <v>0.23</v>
      </c>
      <c r="AA28" s="28">
        <v>0.26</v>
      </c>
      <c r="AB28" s="28">
        <v>0.25</v>
      </c>
      <c r="AC28" s="28">
        <v>0.8</v>
      </c>
      <c r="AD28" s="28">
        <v>0.2</v>
      </c>
      <c r="AE28" s="28">
        <v>0</v>
      </c>
      <c r="AF28" s="28">
        <v>0</v>
      </c>
      <c r="AG28" s="33" t="str">
        <f t="shared" si="2"/>
        <v/>
      </c>
      <c r="AH28" s="33" t="str">
        <f t="shared" si="3"/>
        <v/>
      </c>
      <c r="AI28" s="33" t="str">
        <f t="shared" si="4"/>
        <v/>
      </c>
      <c r="AJ28" s="33" t="str">
        <f t="shared" si="5"/>
        <v/>
      </c>
      <c r="AK28" s="33" t="str">
        <f t="shared" si="6"/>
        <v/>
      </c>
      <c r="AL28" s="33" t="str">
        <f t="shared" si="7"/>
        <v/>
      </c>
      <c r="AM28" s="33" t="str">
        <f t="shared" si="8"/>
        <v/>
      </c>
      <c r="AN28" s="33" t="str">
        <f t="shared" si="9"/>
        <v/>
      </c>
      <c r="AO28" s="1"/>
    </row>
    <row r="29" spans="2:41" s="1" customFormat="1" hidden="1" x14ac:dyDescent="0.25">
      <c r="B29" s="54">
        <v>1325</v>
      </c>
      <c r="C29" s="54" t="s">
        <v>66</v>
      </c>
      <c r="D29" s="54" t="s">
        <v>28</v>
      </c>
      <c r="E29" s="55">
        <v>1950</v>
      </c>
      <c r="F29" s="55">
        <v>2025</v>
      </c>
      <c r="G29" s="27">
        <v>206054</v>
      </c>
      <c r="H29" s="15" t="s">
        <v>177</v>
      </c>
      <c r="I29" s="15" t="s">
        <v>260</v>
      </c>
      <c r="J29" s="116"/>
      <c r="K29" s="27">
        <v>4902265</v>
      </c>
      <c r="L29" s="31">
        <f>LOOKUP($D29,Inputs!$B$46:$B$57,Inputs!C$46:C$57)</f>
        <v>0.12</v>
      </c>
      <c r="M29" s="31">
        <f>LOOKUP($D29,Inputs!$B$46:$B$57,Inputs!D$46:D$57)</f>
        <v>0.14000000000000001</v>
      </c>
      <c r="N29" s="31">
        <f>LOOKUP($D29,Inputs!$B$46:$B$57,Inputs!E$46:E$57)</f>
        <v>0.26</v>
      </c>
      <c r="O29" s="31">
        <f>LOOKUP($D29,Inputs!$B$46:$B$57,Inputs!F$46:F$57)</f>
        <v>0.48</v>
      </c>
      <c r="P29" s="13" t="str">
        <f t="shared" si="0"/>
        <v/>
      </c>
      <c r="Q29" s="27">
        <v>12063124.270588236</v>
      </c>
      <c r="R29" s="31">
        <f>LOOKUP($D29,Inputs!$B$46:$B$57,Inputs!G$46:G$57)</f>
        <v>0.7</v>
      </c>
      <c r="S29" s="31">
        <f>LOOKUP($D29,Inputs!$B$46:$B$57,Inputs!H$46:H$57)</f>
        <v>0.3</v>
      </c>
      <c r="T29" s="31">
        <f>LOOKUP($D29,Inputs!$B$46:$B$57,Inputs!I$46:I$57)</f>
        <v>0</v>
      </c>
      <c r="U29" s="31">
        <f>LOOKUP($D29,Inputs!$B$46:$B$57,Inputs!J$46:J$57)</f>
        <v>0</v>
      </c>
      <c r="V29" s="13" t="str">
        <f t="shared" si="1"/>
        <v/>
      </c>
      <c r="X29" s="27">
        <v>4902265</v>
      </c>
      <c r="Y29" s="28">
        <v>0.12</v>
      </c>
      <c r="Z29" s="28">
        <v>0.14000000000000001</v>
      </c>
      <c r="AA29" s="28">
        <v>0.26</v>
      </c>
      <c r="AB29" s="28">
        <v>0.48</v>
      </c>
      <c r="AC29" s="28">
        <v>0.7</v>
      </c>
      <c r="AD29" s="28">
        <v>0.3</v>
      </c>
      <c r="AE29" s="28">
        <v>0</v>
      </c>
      <c r="AF29" s="28">
        <v>0</v>
      </c>
      <c r="AG29" s="33" t="str">
        <f t="shared" si="2"/>
        <v/>
      </c>
      <c r="AH29" s="33" t="str">
        <f t="shared" si="3"/>
        <v/>
      </c>
      <c r="AI29" s="33" t="str">
        <f t="shared" si="4"/>
        <v/>
      </c>
      <c r="AJ29" s="33" t="str">
        <f t="shared" si="5"/>
        <v/>
      </c>
      <c r="AK29" s="33" t="str">
        <f t="shared" si="6"/>
        <v/>
      </c>
      <c r="AL29" s="33" t="str">
        <f t="shared" si="7"/>
        <v/>
      </c>
      <c r="AM29" s="33" t="str">
        <f t="shared" si="8"/>
        <v/>
      </c>
      <c r="AN29" s="33" t="str">
        <f t="shared" si="9"/>
        <v/>
      </c>
    </row>
    <row r="30" spans="2:41" s="1" customFormat="1" hidden="1" x14ac:dyDescent="0.25">
      <c r="B30" s="54">
        <v>1297</v>
      </c>
      <c r="C30" s="54" t="s">
        <v>67</v>
      </c>
      <c r="D30" s="54" t="s">
        <v>29</v>
      </c>
      <c r="E30" s="55">
        <v>1994</v>
      </c>
      <c r="F30" s="55" t="s">
        <v>319</v>
      </c>
      <c r="G30" s="27">
        <v>189425</v>
      </c>
      <c r="H30" s="15" t="s">
        <v>177</v>
      </c>
      <c r="I30" s="50" t="s">
        <v>280</v>
      </c>
      <c r="J30" s="116"/>
      <c r="K30" s="27">
        <v>1509589</v>
      </c>
      <c r="L30" s="31">
        <f>LOOKUP($D30,Inputs!$B$46:$B$57,Inputs!C$46:C$57)</f>
        <v>0.16597154608282005</v>
      </c>
      <c r="M30" s="31">
        <f>LOOKUP($D30,Inputs!$B$46:$B$57,Inputs!D$46:D$57)</f>
        <v>0.19259834809964024</v>
      </c>
      <c r="N30" s="31">
        <f>LOOKUP($D30,Inputs!$B$46:$B$57,Inputs!E$46:E$57)</f>
        <v>0.24583874787042273</v>
      </c>
      <c r="O30" s="31">
        <f>LOOKUP($D30,Inputs!$B$46:$B$57,Inputs!F$46:F$57)</f>
        <v>0.39559135794711692</v>
      </c>
      <c r="P30" s="13" t="str">
        <f t="shared" si="0"/>
        <v/>
      </c>
      <c r="Q30" s="27">
        <v>4447741</v>
      </c>
      <c r="R30" s="31">
        <f>LOOKUP($D30,Inputs!$B$46:$B$57,Inputs!G$46:G$57)</f>
        <v>0.8</v>
      </c>
      <c r="S30" s="31">
        <f>LOOKUP($D30,Inputs!$B$46:$B$57,Inputs!H$46:H$57)</f>
        <v>0.2</v>
      </c>
      <c r="T30" s="31">
        <f>LOOKUP($D30,Inputs!$B$46:$B$57,Inputs!I$46:I$57)</f>
        <v>0</v>
      </c>
      <c r="U30" s="31">
        <f>LOOKUP($D30,Inputs!$B$46:$B$57,Inputs!J$46:J$57)</f>
        <v>0</v>
      </c>
      <c r="V30" s="13" t="str">
        <f t="shared" si="1"/>
        <v/>
      </c>
      <c r="X30" s="27">
        <v>1509589</v>
      </c>
      <c r="Y30" s="28">
        <v>0.16597154608282005</v>
      </c>
      <c r="Z30" s="28">
        <v>0.19259834809964024</v>
      </c>
      <c r="AA30" s="28">
        <v>0.24583874787042273</v>
      </c>
      <c r="AB30" s="28">
        <v>0.39559135794711692</v>
      </c>
      <c r="AC30" s="28">
        <v>0.8</v>
      </c>
      <c r="AD30" s="28">
        <v>0.2</v>
      </c>
      <c r="AE30" s="28">
        <v>0</v>
      </c>
      <c r="AF30" s="28">
        <v>0</v>
      </c>
      <c r="AG30" s="33" t="str">
        <f t="shared" si="2"/>
        <v/>
      </c>
      <c r="AH30" s="33" t="str">
        <f t="shared" si="3"/>
        <v/>
      </c>
      <c r="AI30" s="33" t="str">
        <f t="shared" si="4"/>
        <v/>
      </c>
      <c r="AJ30" s="33" t="str">
        <f t="shared" si="5"/>
        <v/>
      </c>
      <c r="AK30" s="33" t="str">
        <f t="shared" si="6"/>
        <v/>
      </c>
      <c r="AL30" s="33" t="str">
        <f t="shared" si="7"/>
        <v/>
      </c>
      <c r="AM30" s="33" t="str">
        <f t="shared" si="8"/>
        <v/>
      </c>
      <c r="AN30" s="33" t="str">
        <f t="shared" si="9"/>
        <v/>
      </c>
    </row>
    <row r="31" spans="2:41" s="1" customFormat="1" hidden="1" x14ac:dyDescent="0.25">
      <c r="B31" s="54">
        <v>1323</v>
      </c>
      <c r="C31" s="54" t="s">
        <v>68</v>
      </c>
      <c r="D31" s="54" t="s">
        <v>28</v>
      </c>
      <c r="E31" s="55">
        <v>1967</v>
      </c>
      <c r="F31" s="55">
        <v>2023</v>
      </c>
      <c r="G31" s="27">
        <v>137806</v>
      </c>
      <c r="H31" s="15" t="s">
        <v>177</v>
      </c>
      <c r="I31" s="15" t="s">
        <v>260</v>
      </c>
      <c r="J31" s="116"/>
      <c r="K31" s="27">
        <v>1165656</v>
      </c>
      <c r="L31" s="31">
        <f>LOOKUP($D31,Inputs!$B$46:$B$57,Inputs!C$46:C$57)</f>
        <v>0.12</v>
      </c>
      <c r="M31" s="31">
        <f>LOOKUP($D31,Inputs!$B$46:$B$57,Inputs!D$46:D$57)</f>
        <v>0.14000000000000001</v>
      </c>
      <c r="N31" s="31">
        <f>LOOKUP($D31,Inputs!$B$46:$B$57,Inputs!E$46:E$57)</f>
        <v>0.26</v>
      </c>
      <c r="O31" s="31">
        <f>LOOKUP($D31,Inputs!$B$46:$B$57,Inputs!F$46:F$57)</f>
        <v>0.48</v>
      </c>
      <c r="P31" s="13" t="str">
        <f t="shared" si="0"/>
        <v/>
      </c>
      <c r="Q31" s="27">
        <v>4653845.4588235291</v>
      </c>
      <c r="R31" s="31">
        <f>LOOKUP($D31,Inputs!$B$46:$B$57,Inputs!G$46:G$57)</f>
        <v>0.7</v>
      </c>
      <c r="S31" s="31">
        <f>LOOKUP($D31,Inputs!$B$46:$B$57,Inputs!H$46:H$57)</f>
        <v>0.3</v>
      </c>
      <c r="T31" s="31">
        <f>LOOKUP($D31,Inputs!$B$46:$B$57,Inputs!I$46:I$57)</f>
        <v>0</v>
      </c>
      <c r="U31" s="31">
        <f>LOOKUP($D31,Inputs!$B$46:$B$57,Inputs!J$46:J$57)</f>
        <v>0</v>
      </c>
      <c r="V31" s="13" t="str">
        <f t="shared" si="1"/>
        <v/>
      </c>
      <c r="X31" s="27">
        <v>1165656</v>
      </c>
      <c r="Y31" s="28">
        <v>0.12</v>
      </c>
      <c r="Z31" s="28">
        <v>0.14000000000000001</v>
      </c>
      <c r="AA31" s="28">
        <v>0.26</v>
      </c>
      <c r="AB31" s="28">
        <v>0.48</v>
      </c>
      <c r="AC31" s="28">
        <v>0.7</v>
      </c>
      <c r="AD31" s="28">
        <v>0.3</v>
      </c>
      <c r="AE31" s="28">
        <v>0</v>
      </c>
      <c r="AF31" s="28">
        <v>0</v>
      </c>
      <c r="AG31" s="33" t="str">
        <f t="shared" si="2"/>
        <v/>
      </c>
      <c r="AH31" s="33" t="str">
        <f t="shared" si="3"/>
        <v/>
      </c>
      <c r="AI31" s="33" t="str">
        <f t="shared" si="4"/>
        <v/>
      </c>
      <c r="AJ31" s="33" t="str">
        <f t="shared" si="5"/>
        <v/>
      </c>
      <c r="AK31" s="33" t="str">
        <f t="shared" si="6"/>
        <v/>
      </c>
      <c r="AL31" s="33" t="str">
        <f t="shared" si="7"/>
        <v/>
      </c>
      <c r="AM31" s="33" t="str">
        <f t="shared" si="8"/>
        <v/>
      </c>
      <c r="AN31" s="33" t="str">
        <f t="shared" si="9"/>
        <v/>
      </c>
    </row>
    <row r="32" spans="2:41" hidden="1" x14ac:dyDescent="0.25">
      <c r="B32" s="54">
        <v>1301</v>
      </c>
      <c r="C32" s="54" t="s">
        <v>69</v>
      </c>
      <c r="D32" s="54" t="s">
        <v>29</v>
      </c>
      <c r="E32" s="55">
        <v>1917</v>
      </c>
      <c r="F32" s="55" t="s">
        <v>319</v>
      </c>
      <c r="G32" s="27">
        <v>166514</v>
      </c>
      <c r="H32" s="15" t="s">
        <v>177</v>
      </c>
      <c r="I32" s="50" t="s">
        <v>280</v>
      </c>
      <c r="J32" s="116"/>
      <c r="K32" s="27">
        <v>958948</v>
      </c>
      <c r="L32" s="31">
        <f>LOOKUP($D32,Inputs!$B$46:$B$57,Inputs!C$46:C$57)</f>
        <v>0.16597154608282005</v>
      </c>
      <c r="M32" s="31">
        <f>LOOKUP($D32,Inputs!$B$46:$B$57,Inputs!D$46:D$57)</f>
        <v>0.19259834809964024</v>
      </c>
      <c r="N32" s="31">
        <f>LOOKUP($D32,Inputs!$B$46:$B$57,Inputs!E$46:E$57)</f>
        <v>0.24583874787042273</v>
      </c>
      <c r="O32" s="31">
        <f>LOOKUP($D32,Inputs!$B$46:$B$57,Inputs!F$46:F$57)</f>
        <v>0.39559135794711692</v>
      </c>
      <c r="P32" s="13" t="str">
        <f t="shared" si="0"/>
        <v/>
      </c>
      <c r="Q32" s="27">
        <v>6733071.2705882359</v>
      </c>
      <c r="R32" s="31">
        <f>LOOKUP($D32,Inputs!$B$46:$B$57,Inputs!G$46:G$57)</f>
        <v>0.8</v>
      </c>
      <c r="S32" s="31">
        <f>LOOKUP($D32,Inputs!$B$46:$B$57,Inputs!H$46:H$57)</f>
        <v>0.2</v>
      </c>
      <c r="T32" s="31">
        <f>LOOKUP($D32,Inputs!$B$46:$B$57,Inputs!I$46:I$57)</f>
        <v>0</v>
      </c>
      <c r="U32" s="31">
        <f>LOOKUP($D32,Inputs!$B$46:$B$57,Inputs!J$46:J$57)</f>
        <v>0</v>
      </c>
      <c r="V32" s="13" t="str">
        <f t="shared" si="1"/>
        <v/>
      </c>
      <c r="W32" s="1"/>
      <c r="X32" s="27">
        <v>958948</v>
      </c>
      <c r="Y32" s="28">
        <v>0.16597154608282005</v>
      </c>
      <c r="Z32" s="28">
        <v>0.19259834809964024</v>
      </c>
      <c r="AA32" s="28">
        <v>0.24583874787042273</v>
      </c>
      <c r="AB32" s="28">
        <v>0.39559135794711692</v>
      </c>
      <c r="AC32" s="28">
        <v>0.8</v>
      </c>
      <c r="AD32" s="28">
        <v>0.2</v>
      </c>
      <c r="AE32" s="28">
        <v>0</v>
      </c>
      <c r="AF32" s="28">
        <v>0</v>
      </c>
      <c r="AG32" s="33" t="str">
        <f t="shared" si="2"/>
        <v/>
      </c>
      <c r="AH32" s="33" t="str">
        <f t="shared" si="3"/>
        <v/>
      </c>
      <c r="AI32" s="33" t="str">
        <f t="shared" si="4"/>
        <v/>
      </c>
      <c r="AJ32" s="33" t="str">
        <f t="shared" si="5"/>
        <v/>
      </c>
      <c r="AK32" s="33" t="str">
        <f t="shared" si="6"/>
        <v/>
      </c>
      <c r="AL32" s="33" t="str">
        <f t="shared" si="7"/>
        <v/>
      </c>
      <c r="AM32" s="33" t="str">
        <f t="shared" si="8"/>
        <v/>
      </c>
      <c r="AN32" s="33" t="str">
        <f t="shared" si="9"/>
        <v/>
      </c>
      <c r="AO32" s="1"/>
    </row>
    <row r="33" spans="2:41" s="1" customFormat="1" hidden="1" x14ac:dyDescent="0.25">
      <c r="B33" s="54">
        <v>1419</v>
      </c>
      <c r="C33" s="54" t="s">
        <v>70</v>
      </c>
      <c r="D33" s="54" t="s">
        <v>25</v>
      </c>
      <c r="E33" s="55">
        <v>1942</v>
      </c>
      <c r="F33" s="55">
        <v>2030</v>
      </c>
      <c r="G33" s="27">
        <v>53234</v>
      </c>
      <c r="H33" s="15" t="s">
        <v>177</v>
      </c>
      <c r="I33" s="15" t="s">
        <v>260</v>
      </c>
      <c r="J33" s="116"/>
      <c r="K33" s="27">
        <v>1056122</v>
      </c>
      <c r="L33" s="31">
        <f>LOOKUP($D33,Inputs!$B$46:$B$57,Inputs!C$46:C$57)</f>
        <v>0.25</v>
      </c>
      <c r="M33" s="31">
        <f>LOOKUP($D33,Inputs!$B$46:$B$57,Inputs!D$46:D$57)</f>
        <v>0.35</v>
      </c>
      <c r="N33" s="31">
        <f>LOOKUP($D33,Inputs!$B$46:$B$57,Inputs!E$46:E$57)</f>
        <v>0.18</v>
      </c>
      <c r="O33" s="31">
        <f>LOOKUP($D33,Inputs!$B$46:$B$57,Inputs!F$46:F$57)</f>
        <v>0.22</v>
      </c>
      <c r="P33" s="13" t="str">
        <f t="shared" si="0"/>
        <v/>
      </c>
      <c r="Q33" s="27">
        <v>8669654.5882352944</v>
      </c>
      <c r="R33" s="31">
        <f>LOOKUP($D33,Inputs!$B$46:$B$57,Inputs!G$46:G$57)*(1-$U33)</f>
        <v>0.55999999999999994</v>
      </c>
      <c r="S33" s="31">
        <f>LOOKUP($D33,Inputs!$B$46:$B$57,Inputs!H$46:H$57)*(1-$U33)</f>
        <v>0.24</v>
      </c>
      <c r="T33" s="31">
        <f>LOOKUP($D33,Inputs!$B$46:$B$57,Inputs!I$46:I$57)*(1-$U33)</f>
        <v>0</v>
      </c>
      <c r="U33" s="25">
        <v>0.2</v>
      </c>
      <c r="V33" s="13" t="str">
        <f t="shared" si="1"/>
        <v/>
      </c>
      <c r="X33" s="27">
        <v>1056122</v>
      </c>
      <c r="Y33" s="28">
        <v>0.25</v>
      </c>
      <c r="Z33" s="28">
        <v>0.35</v>
      </c>
      <c r="AA33" s="28">
        <v>0.18</v>
      </c>
      <c r="AB33" s="28">
        <v>0.22</v>
      </c>
      <c r="AC33" s="28">
        <v>0.55999999999999994</v>
      </c>
      <c r="AD33" s="28">
        <v>0.24</v>
      </c>
      <c r="AE33" s="28">
        <v>0</v>
      </c>
      <c r="AF33" s="28">
        <v>0.2</v>
      </c>
      <c r="AG33" s="33" t="str">
        <f t="shared" si="2"/>
        <v/>
      </c>
      <c r="AH33" s="33" t="str">
        <f t="shared" si="3"/>
        <v/>
      </c>
      <c r="AI33" s="33" t="str">
        <f t="shared" si="4"/>
        <v/>
      </c>
      <c r="AJ33" s="33" t="str">
        <f t="shared" si="5"/>
        <v/>
      </c>
      <c r="AK33" s="33" t="str">
        <f t="shared" si="6"/>
        <v/>
      </c>
      <c r="AL33" s="33" t="str">
        <f t="shared" si="7"/>
        <v/>
      </c>
      <c r="AM33" s="33" t="str">
        <f t="shared" si="8"/>
        <v/>
      </c>
      <c r="AN33" s="33" t="str">
        <f t="shared" si="9"/>
        <v/>
      </c>
    </row>
    <row r="34" spans="2:41" s="1" customFormat="1" hidden="1" x14ac:dyDescent="0.25">
      <c r="B34" s="54">
        <v>1227</v>
      </c>
      <c r="C34" s="54" t="s">
        <v>71</v>
      </c>
      <c r="D34" s="54" t="s">
        <v>21</v>
      </c>
      <c r="E34" s="55">
        <v>1911</v>
      </c>
      <c r="F34" s="55" t="s">
        <v>319</v>
      </c>
      <c r="G34" s="27">
        <v>21866</v>
      </c>
      <c r="H34" s="15" t="s">
        <v>177</v>
      </c>
      <c r="I34" s="50" t="s">
        <v>281</v>
      </c>
      <c r="J34" s="116"/>
      <c r="K34" s="27">
        <v>188788</v>
      </c>
      <c r="L34" s="31">
        <f>LOOKUP($D34,Inputs!$B$46:$B$57,Inputs!C$46:C$57)</f>
        <v>0.1</v>
      </c>
      <c r="M34" s="31">
        <f>LOOKUP($D34,Inputs!$B$46:$B$57,Inputs!D$46:D$57)</f>
        <v>0.12</v>
      </c>
      <c r="N34" s="31">
        <f>LOOKUP($D34,Inputs!$B$46:$B$57,Inputs!E$46:E$57)</f>
        <v>0.22</v>
      </c>
      <c r="O34" s="31">
        <f>LOOKUP($D34,Inputs!$B$46:$B$57,Inputs!F$46:F$57)</f>
        <v>0.56000000000000005</v>
      </c>
      <c r="P34" s="13" t="str">
        <f t="shared" si="0"/>
        <v/>
      </c>
      <c r="Q34" s="27">
        <v>0</v>
      </c>
      <c r="R34" s="31">
        <f>LOOKUP($D34,Inputs!$B$46:$B$57,Inputs!G$46:G$57)</f>
        <v>0.8</v>
      </c>
      <c r="S34" s="31">
        <f>LOOKUP($D34,Inputs!$B$46:$B$57,Inputs!H$46:H$57)</f>
        <v>0.2</v>
      </c>
      <c r="T34" s="31">
        <f>LOOKUP($D34,Inputs!$B$46:$B$57,Inputs!I$46:I$57)</f>
        <v>0</v>
      </c>
      <c r="U34" s="31">
        <f>LOOKUP($D34,Inputs!$B$46:$B$57,Inputs!J$46:J$57)</f>
        <v>0</v>
      </c>
      <c r="V34" s="13" t="str">
        <f t="shared" si="1"/>
        <v/>
      </c>
      <c r="X34" s="27">
        <v>188788</v>
      </c>
      <c r="Y34" s="28">
        <v>0.1</v>
      </c>
      <c r="Z34" s="28">
        <v>0.12</v>
      </c>
      <c r="AA34" s="28">
        <v>0.22</v>
      </c>
      <c r="AB34" s="28">
        <v>0.56000000000000005</v>
      </c>
      <c r="AC34" s="28">
        <v>0.8</v>
      </c>
      <c r="AD34" s="28">
        <v>0.2</v>
      </c>
      <c r="AE34" s="28">
        <v>0</v>
      </c>
      <c r="AF34" s="28">
        <v>0</v>
      </c>
      <c r="AG34" s="33" t="str">
        <f t="shared" si="2"/>
        <v/>
      </c>
      <c r="AH34" s="33" t="str">
        <f t="shared" si="3"/>
        <v/>
      </c>
      <c r="AI34" s="33" t="str">
        <f t="shared" si="4"/>
        <v/>
      </c>
      <c r="AJ34" s="33" t="str">
        <f t="shared" si="5"/>
        <v/>
      </c>
      <c r="AK34" s="33" t="str">
        <f t="shared" si="6"/>
        <v/>
      </c>
      <c r="AL34" s="33" t="str">
        <f t="shared" si="7"/>
        <v/>
      </c>
      <c r="AM34" s="33" t="str">
        <f t="shared" si="8"/>
        <v/>
      </c>
      <c r="AN34" s="33" t="str">
        <f t="shared" si="9"/>
        <v/>
      </c>
    </row>
    <row r="35" spans="2:41" s="1" customFormat="1" hidden="1" x14ac:dyDescent="0.25">
      <c r="B35" s="54">
        <v>1295</v>
      </c>
      <c r="C35" s="54" t="s">
        <v>72</v>
      </c>
      <c r="D35" s="54" t="s">
        <v>26</v>
      </c>
      <c r="E35" s="55">
        <v>1952</v>
      </c>
      <c r="F35" s="55" t="s">
        <v>319</v>
      </c>
      <c r="G35" s="27">
        <v>305268</v>
      </c>
      <c r="H35" s="15" t="s">
        <v>177</v>
      </c>
      <c r="I35" s="50" t="s">
        <v>281</v>
      </c>
      <c r="J35" s="116"/>
      <c r="K35" s="27">
        <v>1175091</v>
      </c>
      <c r="L35" s="31">
        <f>LOOKUP($D35,Inputs!$B$46:$B$57,Inputs!C$46:C$57)</f>
        <v>0.26</v>
      </c>
      <c r="M35" s="31">
        <f>LOOKUP($D35,Inputs!$B$46:$B$57,Inputs!D$46:D$57)</f>
        <v>0.23</v>
      </c>
      <c r="N35" s="31">
        <f>LOOKUP($D35,Inputs!$B$46:$B$57,Inputs!E$46:E$57)</f>
        <v>0.26</v>
      </c>
      <c r="O35" s="31">
        <f>LOOKUP($D35,Inputs!$B$46:$B$57,Inputs!F$46:F$57)</f>
        <v>0.25</v>
      </c>
      <c r="P35" s="13" t="str">
        <f t="shared" si="0"/>
        <v/>
      </c>
      <c r="Q35" s="27">
        <v>7848237.3333465671</v>
      </c>
      <c r="R35" s="31">
        <f>LOOKUP($D35,Inputs!$B$46:$B$57,Inputs!G$46:G$57)</f>
        <v>0.8</v>
      </c>
      <c r="S35" s="31">
        <f>LOOKUP($D35,Inputs!$B$46:$B$57,Inputs!H$46:H$57)</f>
        <v>0.2</v>
      </c>
      <c r="T35" s="31">
        <f>LOOKUP($D35,Inputs!$B$46:$B$57,Inputs!I$46:I$57)</f>
        <v>0</v>
      </c>
      <c r="U35" s="31">
        <f>LOOKUP($D35,Inputs!$B$46:$B$57,Inputs!J$46:J$57)</f>
        <v>0</v>
      </c>
      <c r="V35" s="13" t="str">
        <f t="shared" si="1"/>
        <v/>
      </c>
      <c r="X35" s="27">
        <v>1175091</v>
      </c>
      <c r="Y35" s="28">
        <v>0.26</v>
      </c>
      <c r="Z35" s="28">
        <v>0.23</v>
      </c>
      <c r="AA35" s="28">
        <v>0.26</v>
      </c>
      <c r="AB35" s="28">
        <v>0.25</v>
      </c>
      <c r="AC35" s="28">
        <v>0.8</v>
      </c>
      <c r="AD35" s="28">
        <v>0.2</v>
      </c>
      <c r="AE35" s="28">
        <v>0</v>
      </c>
      <c r="AF35" s="28">
        <v>0</v>
      </c>
      <c r="AG35" s="33" t="str">
        <f t="shared" si="2"/>
        <v/>
      </c>
      <c r="AH35" s="33" t="str">
        <f t="shared" si="3"/>
        <v/>
      </c>
      <c r="AI35" s="33" t="str">
        <f t="shared" si="4"/>
        <v/>
      </c>
      <c r="AJ35" s="33" t="str">
        <f t="shared" si="5"/>
        <v/>
      </c>
      <c r="AK35" s="33" t="str">
        <f t="shared" si="6"/>
        <v/>
      </c>
      <c r="AL35" s="33" t="str">
        <f t="shared" si="7"/>
        <v/>
      </c>
      <c r="AM35" s="33" t="str">
        <f t="shared" si="8"/>
        <v/>
      </c>
      <c r="AN35" s="33" t="str">
        <f t="shared" si="9"/>
        <v/>
      </c>
    </row>
    <row r="36" spans="2:41" s="1" customFormat="1" x14ac:dyDescent="0.25">
      <c r="B36" s="54">
        <v>1095</v>
      </c>
      <c r="C36" s="54" t="s">
        <v>73</v>
      </c>
      <c r="D36" s="54" t="s">
        <v>27</v>
      </c>
      <c r="E36" s="55">
        <v>2003</v>
      </c>
      <c r="F36" s="55" t="s">
        <v>319</v>
      </c>
      <c r="G36" s="27">
        <v>69032</v>
      </c>
      <c r="H36" s="15" t="s">
        <v>175</v>
      </c>
      <c r="I36" s="50" t="s">
        <v>258</v>
      </c>
      <c r="J36" s="116"/>
      <c r="K36" s="27">
        <v>9034448</v>
      </c>
      <c r="L36" s="31">
        <f>LOOKUP($D36,Inputs!$B$46:$B$57,Inputs!C$46:C$57)</f>
        <v>0.05</v>
      </c>
      <c r="M36" s="31">
        <f>LOOKUP($D36,Inputs!$B$46:$B$57,Inputs!D$46:D$57)</f>
        <v>0.04</v>
      </c>
      <c r="N36" s="31">
        <f>LOOKUP($D36,Inputs!$B$46:$B$57,Inputs!E$46:E$57)</f>
        <v>0.01</v>
      </c>
      <c r="O36" s="31">
        <f>LOOKUP($D36,Inputs!$B$46:$B$57,Inputs!F$46:F$57)</f>
        <v>0.9</v>
      </c>
      <c r="P36" s="13" t="str">
        <f t="shared" si="0"/>
        <v/>
      </c>
      <c r="Q36" s="27">
        <v>1559747.4470588237</v>
      </c>
      <c r="R36" s="31">
        <f>LOOKUP($D36,Inputs!$B$46:$B$57,Inputs!G$46:G$57)</f>
        <v>0.8</v>
      </c>
      <c r="S36" s="31">
        <f>LOOKUP($D36,Inputs!$B$46:$B$57,Inputs!H$46:H$57)</f>
        <v>0.2</v>
      </c>
      <c r="T36" s="31">
        <f>LOOKUP($D36,Inputs!$B$46:$B$57,Inputs!I$46:I$57)</f>
        <v>0</v>
      </c>
      <c r="U36" s="31">
        <f>LOOKUP($D36,Inputs!$B$46:$B$57,Inputs!J$46:J$57)</f>
        <v>0</v>
      </c>
      <c r="V36" s="13" t="str">
        <f t="shared" si="1"/>
        <v/>
      </c>
      <c r="X36" s="27">
        <v>9034448</v>
      </c>
      <c r="Y36" s="28">
        <v>0.05</v>
      </c>
      <c r="Z36" s="28">
        <v>0.04</v>
      </c>
      <c r="AA36" s="28">
        <v>0.01</v>
      </c>
      <c r="AB36" s="28">
        <v>0.9</v>
      </c>
      <c r="AC36" s="28">
        <v>0.8</v>
      </c>
      <c r="AD36" s="28">
        <v>0.2</v>
      </c>
      <c r="AE36" s="28">
        <v>0</v>
      </c>
      <c r="AF36" s="28">
        <v>0</v>
      </c>
      <c r="AG36" s="33" t="str">
        <f t="shared" si="2"/>
        <v/>
      </c>
      <c r="AH36" s="33" t="str">
        <f t="shared" si="3"/>
        <v/>
      </c>
      <c r="AI36" s="33" t="str">
        <f t="shared" si="4"/>
        <v/>
      </c>
      <c r="AJ36" s="33" t="str">
        <f t="shared" si="5"/>
        <v/>
      </c>
      <c r="AK36" s="33" t="str">
        <f t="shared" si="6"/>
        <v/>
      </c>
      <c r="AL36" s="33" t="str">
        <f t="shared" si="7"/>
        <v/>
      </c>
      <c r="AM36" s="33" t="str">
        <f t="shared" si="8"/>
        <v/>
      </c>
      <c r="AN36" s="33" t="str">
        <f t="shared" si="9"/>
        <v/>
      </c>
    </row>
    <row r="37" spans="2:41" s="1" customFormat="1" hidden="1" x14ac:dyDescent="0.25">
      <c r="B37" s="54">
        <v>1318</v>
      </c>
      <c r="C37" s="54" t="s">
        <v>74</v>
      </c>
      <c r="D37" s="54" t="s">
        <v>22</v>
      </c>
      <c r="E37" s="55">
        <v>1932</v>
      </c>
      <c r="F37" s="55">
        <v>2040</v>
      </c>
      <c r="G37" s="27">
        <v>59326</v>
      </c>
      <c r="H37" s="15" t="s">
        <v>173</v>
      </c>
      <c r="I37" s="15" t="s">
        <v>266</v>
      </c>
      <c r="J37" s="116"/>
      <c r="K37" s="27">
        <v>47770</v>
      </c>
      <c r="L37" s="31">
        <f>LOOKUP($D37,Inputs!$B$46:$B$57,Inputs!C$46:C$57)</f>
        <v>0.24</v>
      </c>
      <c r="M37" s="31">
        <f>LOOKUP($D37,Inputs!$B$46:$B$57,Inputs!D$46:D$57)</f>
        <v>0.26</v>
      </c>
      <c r="N37" s="31">
        <f>LOOKUP($D37,Inputs!$B$46:$B$57,Inputs!E$46:E$57)</f>
        <v>0.28999999999999998</v>
      </c>
      <c r="O37" s="31">
        <f>LOOKUP($D37,Inputs!$B$46:$B$57,Inputs!F$46:F$57)</f>
        <v>0.21</v>
      </c>
      <c r="P37" s="13" t="str">
        <f t="shared" si="0"/>
        <v/>
      </c>
      <c r="Q37" s="27">
        <v>0</v>
      </c>
      <c r="R37" s="31">
        <f>LOOKUP($D37,Inputs!$B$46:$B$57,Inputs!G$46:G$57)</f>
        <v>0.6</v>
      </c>
      <c r="S37" s="31">
        <f>LOOKUP($D37,Inputs!$B$46:$B$57,Inputs!H$46:H$57)</f>
        <v>0.4</v>
      </c>
      <c r="T37" s="31">
        <f>LOOKUP($D37,Inputs!$B$46:$B$57,Inputs!I$46:I$57)</f>
        <v>0</v>
      </c>
      <c r="U37" s="31">
        <f>LOOKUP($D37,Inputs!$B$46:$B$57,Inputs!J$46:J$57)</f>
        <v>0</v>
      </c>
      <c r="V37" s="13" t="str">
        <f t="shared" si="1"/>
        <v/>
      </c>
      <c r="X37" s="27">
        <v>47770</v>
      </c>
      <c r="Y37" s="28">
        <v>0.24</v>
      </c>
      <c r="Z37" s="28">
        <v>0.26</v>
      </c>
      <c r="AA37" s="28">
        <v>0.28999999999999998</v>
      </c>
      <c r="AB37" s="28">
        <v>0.21</v>
      </c>
      <c r="AC37" s="28">
        <v>0.6</v>
      </c>
      <c r="AD37" s="28">
        <v>0.4</v>
      </c>
      <c r="AE37" s="28">
        <v>0</v>
      </c>
      <c r="AF37" s="28">
        <v>0</v>
      </c>
      <c r="AG37" s="33" t="str">
        <f t="shared" si="2"/>
        <v/>
      </c>
      <c r="AH37" s="33" t="str">
        <f t="shared" si="3"/>
        <v/>
      </c>
      <c r="AI37" s="33" t="str">
        <f t="shared" si="4"/>
        <v/>
      </c>
      <c r="AJ37" s="33" t="str">
        <f t="shared" si="5"/>
        <v/>
      </c>
      <c r="AK37" s="33" t="str">
        <f t="shared" si="6"/>
        <v/>
      </c>
      <c r="AL37" s="33" t="str">
        <f t="shared" si="7"/>
        <v/>
      </c>
      <c r="AM37" s="33" t="str">
        <f t="shared" si="8"/>
        <v/>
      </c>
      <c r="AN37" s="33" t="str">
        <f t="shared" si="9"/>
        <v/>
      </c>
    </row>
    <row r="38" spans="2:41" hidden="1" x14ac:dyDescent="0.25">
      <c r="B38" s="54">
        <v>1783</v>
      </c>
      <c r="C38" s="54" t="s">
        <v>75</v>
      </c>
      <c r="D38" s="54" t="s">
        <v>28</v>
      </c>
      <c r="E38" s="55">
        <v>1964</v>
      </c>
      <c r="F38" s="55" t="s">
        <v>319</v>
      </c>
      <c r="G38" s="27">
        <v>177281</v>
      </c>
      <c r="H38" s="15" t="s">
        <v>177</v>
      </c>
      <c r="I38" s="50" t="s">
        <v>267</v>
      </c>
      <c r="J38" s="116"/>
      <c r="K38" s="27">
        <v>3609041</v>
      </c>
      <c r="L38" s="31">
        <f>LOOKUP($D38,Inputs!$B$46:$B$57,Inputs!C$46:C$57)</f>
        <v>0.12</v>
      </c>
      <c r="M38" s="31">
        <f>LOOKUP($D38,Inputs!$B$46:$B$57,Inputs!D$46:D$57)</f>
        <v>0.14000000000000001</v>
      </c>
      <c r="N38" s="31">
        <f>LOOKUP($D38,Inputs!$B$46:$B$57,Inputs!E$46:E$57)</f>
        <v>0.26</v>
      </c>
      <c r="O38" s="31">
        <f>LOOKUP($D38,Inputs!$B$46:$B$57,Inputs!F$46:F$57)</f>
        <v>0.48</v>
      </c>
      <c r="P38" s="13" t="str">
        <f t="shared" si="0"/>
        <v/>
      </c>
      <c r="Q38" s="27">
        <v>10378651.876761204</v>
      </c>
      <c r="R38" s="31">
        <f>LOOKUP($D38,Inputs!$B$46:$B$57,Inputs!G$46:G$57)</f>
        <v>0.7</v>
      </c>
      <c r="S38" s="31">
        <f>LOOKUP($D38,Inputs!$B$46:$B$57,Inputs!H$46:H$57)</f>
        <v>0.3</v>
      </c>
      <c r="T38" s="31">
        <f>LOOKUP($D38,Inputs!$B$46:$B$57,Inputs!I$46:I$57)</f>
        <v>0</v>
      </c>
      <c r="U38" s="31">
        <f>LOOKUP($D38,Inputs!$B$46:$B$57,Inputs!J$46:J$57)</f>
        <v>0</v>
      </c>
      <c r="V38" s="13" t="str">
        <f t="shared" si="1"/>
        <v/>
      </c>
      <c r="W38" s="1"/>
      <c r="X38" s="27">
        <v>3609041</v>
      </c>
      <c r="Y38" s="28">
        <v>0.12</v>
      </c>
      <c r="Z38" s="28">
        <v>0.14000000000000001</v>
      </c>
      <c r="AA38" s="28">
        <v>0.26</v>
      </c>
      <c r="AB38" s="28">
        <v>0.48</v>
      </c>
      <c r="AC38" s="28">
        <v>0.7</v>
      </c>
      <c r="AD38" s="28">
        <v>0.3</v>
      </c>
      <c r="AE38" s="28">
        <v>0</v>
      </c>
      <c r="AF38" s="28">
        <v>0</v>
      </c>
      <c r="AG38" s="33" t="str">
        <f t="shared" si="2"/>
        <v/>
      </c>
      <c r="AH38" s="33" t="str">
        <f t="shared" si="3"/>
        <v/>
      </c>
      <c r="AI38" s="33" t="str">
        <f t="shared" si="4"/>
        <v/>
      </c>
      <c r="AJ38" s="33" t="str">
        <f t="shared" si="5"/>
        <v/>
      </c>
      <c r="AK38" s="33" t="str">
        <f t="shared" si="6"/>
        <v/>
      </c>
      <c r="AL38" s="33" t="str">
        <f t="shared" si="7"/>
        <v/>
      </c>
      <c r="AM38" s="33" t="str">
        <f t="shared" si="8"/>
        <v/>
      </c>
      <c r="AN38" s="33" t="str">
        <f t="shared" si="9"/>
        <v/>
      </c>
      <c r="AO38" s="1"/>
    </row>
    <row r="39" spans="2:41" s="1" customFormat="1" hidden="1" x14ac:dyDescent="0.25">
      <c r="B39" s="54">
        <v>1790</v>
      </c>
      <c r="C39" s="54" t="s">
        <v>76</v>
      </c>
      <c r="D39" s="54" t="s">
        <v>30</v>
      </c>
      <c r="E39" s="55">
        <v>1971</v>
      </c>
      <c r="F39" s="55">
        <v>2025</v>
      </c>
      <c r="G39" s="27">
        <v>270413</v>
      </c>
      <c r="H39" s="15" t="s">
        <v>177</v>
      </c>
      <c r="I39" s="50" t="s">
        <v>268</v>
      </c>
      <c r="J39" s="116"/>
      <c r="K39" s="27">
        <v>2202163</v>
      </c>
      <c r="L39" s="31">
        <f>LOOKUP($D39,Inputs!$B$46:$B$57,Inputs!C$46:C$57)</f>
        <v>0.16</v>
      </c>
      <c r="M39" s="31">
        <f>LOOKUP($D39,Inputs!$B$46:$B$57,Inputs!D$46:D$57)</f>
        <v>0.16333333333333333</v>
      </c>
      <c r="N39" s="31">
        <f>LOOKUP($D39,Inputs!$B$46:$B$57,Inputs!E$46:E$57)</f>
        <v>0.24666666666666667</v>
      </c>
      <c r="O39" s="31">
        <f>LOOKUP($D39,Inputs!$B$46:$B$57,Inputs!F$46:F$57)</f>
        <v>0.42999999999999994</v>
      </c>
      <c r="P39" s="13" t="str">
        <f t="shared" si="0"/>
        <v/>
      </c>
      <c r="Q39" s="27">
        <v>14907615.035294119</v>
      </c>
      <c r="R39" s="31">
        <f>LOOKUP($D39,Inputs!$B$46:$B$57,Inputs!G$46:G$57)</f>
        <v>0.76666666666666661</v>
      </c>
      <c r="S39" s="31">
        <f>LOOKUP($D39,Inputs!$B$46:$B$57,Inputs!H$46:H$57)</f>
        <v>0.23333333333333331</v>
      </c>
      <c r="T39" s="31">
        <f>LOOKUP($D39,Inputs!$B$46:$B$57,Inputs!I$46:I$57)</f>
        <v>0</v>
      </c>
      <c r="U39" s="31">
        <f>LOOKUP($D39,Inputs!$B$46:$B$57,Inputs!J$46:J$57)</f>
        <v>0</v>
      </c>
      <c r="V39" s="13" t="str">
        <f t="shared" si="1"/>
        <v/>
      </c>
      <c r="X39" s="27">
        <v>2202163</v>
      </c>
      <c r="Y39" s="28">
        <v>0.3949579831932773</v>
      </c>
      <c r="Z39" s="28">
        <v>0.13025210084033612</v>
      </c>
      <c r="AA39" s="28">
        <v>0.15126050420168063</v>
      </c>
      <c r="AB39" s="28">
        <v>0.32352941176470584</v>
      </c>
      <c r="AC39" s="28">
        <v>0.7</v>
      </c>
      <c r="AD39" s="28">
        <v>0.3</v>
      </c>
      <c r="AE39" s="28">
        <v>0</v>
      </c>
      <c r="AF39" s="28">
        <v>0</v>
      </c>
      <c r="AG39" s="33" t="str">
        <f t="shared" si="2"/>
        <v>FLAG</v>
      </c>
      <c r="AH39" s="33" t="str">
        <f t="shared" si="3"/>
        <v>FLAG</v>
      </c>
      <c r="AI39" s="33" t="str">
        <f t="shared" si="4"/>
        <v>FLAG</v>
      </c>
      <c r="AJ39" s="33" t="str">
        <f t="shared" si="5"/>
        <v>FLAG</v>
      </c>
      <c r="AK39" s="33" t="str">
        <f t="shared" si="6"/>
        <v>FLAG</v>
      </c>
      <c r="AL39" s="33" t="str">
        <f t="shared" si="7"/>
        <v>FLAG</v>
      </c>
      <c r="AM39" s="33" t="str">
        <f t="shared" si="8"/>
        <v/>
      </c>
      <c r="AN39" s="33" t="str">
        <f t="shared" si="9"/>
        <v/>
      </c>
    </row>
    <row r="40" spans="2:41" s="1" customFormat="1" hidden="1" x14ac:dyDescent="0.25">
      <c r="B40" s="54">
        <v>1340</v>
      </c>
      <c r="C40" s="54" t="s">
        <v>77</v>
      </c>
      <c r="D40" s="54" t="s">
        <v>21</v>
      </c>
      <c r="E40" s="55">
        <v>1903</v>
      </c>
      <c r="F40" s="55" t="s">
        <v>319</v>
      </c>
      <c r="G40" s="27">
        <v>35483</v>
      </c>
      <c r="H40" s="15" t="s">
        <v>176</v>
      </c>
      <c r="I40" s="50" t="s">
        <v>265</v>
      </c>
      <c r="J40" s="116"/>
      <c r="K40" s="27">
        <v>337170</v>
      </c>
      <c r="L40" s="25">
        <v>0.1</v>
      </c>
      <c r="M40" s="25">
        <v>0.12</v>
      </c>
      <c r="N40" s="25">
        <v>0.22</v>
      </c>
      <c r="O40" s="25">
        <v>0.56000000000000005</v>
      </c>
      <c r="P40" s="13" t="str">
        <f t="shared" si="0"/>
        <v/>
      </c>
      <c r="Q40" s="27">
        <v>3167709.8198551652</v>
      </c>
      <c r="R40" s="25">
        <v>0.6</v>
      </c>
      <c r="S40" s="25">
        <v>0.4</v>
      </c>
      <c r="T40" s="31">
        <f>LOOKUP($D40,Inputs!$B$46:$B$57,Inputs!I$46:I$57)</f>
        <v>0</v>
      </c>
      <c r="U40" s="31">
        <f>LOOKUP($D40,Inputs!$B$46:$B$57,Inputs!J$46:J$57)</f>
        <v>0</v>
      </c>
      <c r="V40" s="13" t="str">
        <f t="shared" si="1"/>
        <v/>
      </c>
      <c r="X40" s="27">
        <v>337170</v>
      </c>
      <c r="Y40" s="28">
        <v>0.1</v>
      </c>
      <c r="Z40" s="28">
        <v>0.12</v>
      </c>
      <c r="AA40" s="28">
        <v>0.22</v>
      </c>
      <c r="AB40" s="28">
        <v>0.56000000000000005</v>
      </c>
      <c r="AC40" s="28">
        <v>0.6</v>
      </c>
      <c r="AD40" s="28">
        <v>0.4</v>
      </c>
      <c r="AE40" s="28">
        <v>0</v>
      </c>
      <c r="AF40" s="28">
        <v>0</v>
      </c>
      <c r="AG40" s="33" t="str">
        <f t="shared" si="2"/>
        <v/>
      </c>
      <c r="AH40" s="33" t="str">
        <f t="shared" si="3"/>
        <v/>
      </c>
      <c r="AI40" s="33" t="str">
        <f t="shared" si="4"/>
        <v/>
      </c>
      <c r="AJ40" s="33" t="str">
        <f t="shared" si="5"/>
        <v/>
      </c>
      <c r="AK40" s="33" t="str">
        <f t="shared" si="6"/>
        <v/>
      </c>
      <c r="AL40" s="33" t="str">
        <f t="shared" si="7"/>
        <v/>
      </c>
      <c r="AM40" s="33" t="str">
        <f t="shared" si="8"/>
        <v/>
      </c>
      <c r="AN40" s="33" t="str">
        <f t="shared" si="9"/>
        <v/>
      </c>
    </row>
    <row r="41" spans="2:41" s="1" customFormat="1" x14ac:dyDescent="0.25">
      <c r="B41" s="54">
        <v>1789</v>
      </c>
      <c r="C41" s="54" t="s">
        <v>78</v>
      </c>
      <c r="D41" s="54" t="s">
        <v>24</v>
      </c>
      <c r="E41" s="55">
        <v>1990</v>
      </c>
      <c r="F41" s="55" t="s">
        <v>319</v>
      </c>
      <c r="G41" s="27">
        <v>26321</v>
      </c>
      <c r="H41" s="15" t="s">
        <v>175</v>
      </c>
      <c r="I41" s="50" t="s">
        <v>269</v>
      </c>
      <c r="J41" s="116"/>
      <c r="K41" s="27">
        <v>495636.85177439946</v>
      </c>
      <c r="L41" s="31">
        <f>LOOKUP($D41,Inputs!$B$46:$B$57,Inputs!C$46:C$57)</f>
        <v>0.25</v>
      </c>
      <c r="M41" s="31">
        <f>LOOKUP($D41,Inputs!$B$46:$B$57,Inputs!D$46:D$57)</f>
        <v>0.35</v>
      </c>
      <c r="N41" s="31">
        <f>LOOKUP($D41,Inputs!$B$46:$B$57,Inputs!E$46:E$57)</f>
        <v>0.18</v>
      </c>
      <c r="O41" s="31">
        <f>LOOKUP($D41,Inputs!$B$46:$B$57,Inputs!F$46:F$57)</f>
        <v>0.22</v>
      </c>
      <c r="P41" s="13" t="str">
        <f t="shared" si="0"/>
        <v/>
      </c>
      <c r="Q41" s="27">
        <v>0</v>
      </c>
      <c r="R41" s="31">
        <f>LOOKUP($D41,Inputs!$B$46:$B$57,Inputs!G$46:G$57)*(1-$U41)</f>
        <v>0.55999999999999994</v>
      </c>
      <c r="S41" s="31">
        <f>LOOKUP($D41,Inputs!$B$46:$B$57,Inputs!H$46:H$57)*(1-$U41)</f>
        <v>0.24</v>
      </c>
      <c r="T41" s="31">
        <f>LOOKUP($D41,Inputs!$B$46:$B$57,Inputs!I$46:I$57)*(1-$U41)</f>
        <v>0</v>
      </c>
      <c r="U41" s="25">
        <v>0.2</v>
      </c>
      <c r="V41" s="13" t="str">
        <f t="shared" si="1"/>
        <v/>
      </c>
      <c r="X41" s="27">
        <v>495636.85177439946</v>
      </c>
      <c r="Y41" s="28">
        <v>0.25</v>
      </c>
      <c r="Z41" s="28">
        <v>0.35</v>
      </c>
      <c r="AA41" s="28">
        <v>0.18</v>
      </c>
      <c r="AB41" s="28">
        <v>0.22</v>
      </c>
      <c r="AC41" s="28">
        <v>0.55999999999999994</v>
      </c>
      <c r="AD41" s="28">
        <v>0.24</v>
      </c>
      <c r="AE41" s="28">
        <v>0</v>
      </c>
      <c r="AF41" s="28">
        <v>0.2</v>
      </c>
      <c r="AG41" s="33" t="str">
        <f t="shared" si="2"/>
        <v/>
      </c>
      <c r="AH41" s="33" t="str">
        <f t="shared" si="3"/>
        <v/>
      </c>
      <c r="AI41" s="33" t="str">
        <f t="shared" si="4"/>
        <v/>
      </c>
      <c r="AJ41" s="33" t="str">
        <f t="shared" si="5"/>
        <v/>
      </c>
      <c r="AK41" s="33" t="str">
        <f t="shared" si="6"/>
        <v/>
      </c>
      <c r="AL41" s="33" t="str">
        <f t="shared" si="7"/>
        <v/>
      </c>
      <c r="AM41" s="33" t="str">
        <f t="shared" si="8"/>
        <v/>
      </c>
      <c r="AN41" s="33" t="str">
        <f t="shared" si="9"/>
        <v/>
      </c>
    </row>
    <row r="42" spans="2:41" s="1" customFormat="1" hidden="1" x14ac:dyDescent="0.25">
      <c r="B42" s="54">
        <v>1236</v>
      </c>
      <c r="C42" s="54" t="s">
        <v>79</v>
      </c>
      <c r="D42" s="53" t="s">
        <v>21</v>
      </c>
      <c r="E42" s="55">
        <v>1995</v>
      </c>
      <c r="F42" s="55" t="s">
        <v>319</v>
      </c>
      <c r="G42" s="27">
        <v>106295</v>
      </c>
      <c r="H42" s="15" t="s">
        <v>176</v>
      </c>
      <c r="I42" s="50" t="s">
        <v>265</v>
      </c>
      <c r="J42" s="116"/>
      <c r="K42" s="27">
        <v>0</v>
      </c>
      <c r="L42" s="31">
        <f>LOOKUP($D42,Inputs!$B$46:$B$57,Inputs!C$46:C$57)</f>
        <v>0.1</v>
      </c>
      <c r="M42" s="31">
        <f>LOOKUP($D42,Inputs!$B$46:$B$57,Inputs!D$46:D$57)</f>
        <v>0.12</v>
      </c>
      <c r="N42" s="31">
        <f>LOOKUP($D42,Inputs!$B$46:$B$57,Inputs!E$46:E$57)</f>
        <v>0.22</v>
      </c>
      <c r="O42" s="31">
        <f>LOOKUP($D42,Inputs!$B$46:$B$57,Inputs!F$46:F$57)</f>
        <v>0.56000000000000005</v>
      </c>
      <c r="P42" s="13" t="str">
        <f t="shared" si="0"/>
        <v/>
      </c>
      <c r="Q42" s="27">
        <v>0</v>
      </c>
      <c r="R42" s="31">
        <f>LOOKUP($D42,Inputs!$B$46:$B$57,Inputs!G$46:G$57)</f>
        <v>0.8</v>
      </c>
      <c r="S42" s="31">
        <f>LOOKUP($D42,Inputs!$B$46:$B$57,Inputs!H$46:H$57)</f>
        <v>0.2</v>
      </c>
      <c r="T42" s="31">
        <f>LOOKUP($D42,Inputs!$B$46:$B$57,Inputs!I$46:I$57)</f>
        <v>0</v>
      </c>
      <c r="U42" s="31">
        <f>LOOKUP($D42,Inputs!$B$46:$B$57,Inputs!J$46:J$57)</f>
        <v>0</v>
      </c>
      <c r="V42" s="13" t="str">
        <f t="shared" si="1"/>
        <v/>
      </c>
      <c r="X42" s="27"/>
      <c r="Y42" s="28">
        <v>0.1</v>
      </c>
      <c r="Z42" s="28">
        <v>0.12</v>
      </c>
      <c r="AA42" s="28">
        <v>0.22</v>
      </c>
      <c r="AB42" s="28">
        <v>0.56000000000000005</v>
      </c>
      <c r="AC42" s="28">
        <v>0.8</v>
      </c>
      <c r="AD42" s="28">
        <v>0.2</v>
      </c>
      <c r="AE42" s="28">
        <v>0</v>
      </c>
      <c r="AF42" s="28">
        <v>0</v>
      </c>
      <c r="AG42" s="33" t="str">
        <f t="shared" si="2"/>
        <v/>
      </c>
      <c r="AH42" s="33" t="str">
        <f t="shared" si="3"/>
        <v/>
      </c>
      <c r="AI42" s="33" t="str">
        <f t="shared" si="4"/>
        <v/>
      </c>
      <c r="AJ42" s="33" t="str">
        <f t="shared" si="5"/>
        <v/>
      </c>
      <c r="AK42" s="33" t="str">
        <f t="shared" si="6"/>
        <v/>
      </c>
      <c r="AL42" s="33" t="str">
        <f t="shared" si="7"/>
        <v/>
      </c>
      <c r="AM42" s="33" t="str">
        <f t="shared" si="8"/>
        <v/>
      </c>
      <c r="AN42" s="33" t="str">
        <f t="shared" si="9"/>
        <v/>
      </c>
    </row>
    <row r="43" spans="2:41" s="1" customFormat="1" x14ac:dyDescent="0.25">
      <c r="B43" s="54">
        <v>1355</v>
      </c>
      <c r="C43" s="54" t="s">
        <v>80</v>
      </c>
      <c r="D43" s="54" t="s">
        <v>26</v>
      </c>
      <c r="E43" s="55">
        <v>1930</v>
      </c>
      <c r="F43" s="55" t="s">
        <v>319</v>
      </c>
      <c r="G43" s="27">
        <v>68701</v>
      </c>
      <c r="H43" s="15" t="s">
        <v>175</v>
      </c>
      <c r="I43" s="50" t="s">
        <v>269</v>
      </c>
      <c r="J43" s="116"/>
      <c r="K43" s="27">
        <v>454653</v>
      </c>
      <c r="L43" s="31">
        <f>LOOKUP($D43,Inputs!$B$46:$B$57,Inputs!C$46:C$57)</f>
        <v>0.26</v>
      </c>
      <c r="M43" s="31">
        <f>LOOKUP($D43,Inputs!$B$46:$B$57,Inputs!D$46:D$57)</f>
        <v>0.23</v>
      </c>
      <c r="N43" s="31">
        <f>LOOKUP($D43,Inputs!$B$46:$B$57,Inputs!E$46:E$57)</f>
        <v>0.26</v>
      </c>
      <c r="O43" s="31">
        <f>LOOKUP($D43,Inputs!$B$46:$B$57,Inputs!F$46:F$57)</f>
        <v>0.25</v>
      </c>
      <c r="P43" s="13" t="str">
        <f t="shared" si="0"/>
        <v/>
      </c>
      <c r="Q43" s="27">
        <v>5595752.0769705372</v>
      </c>
      <c r="R43" s="31">
        <f>LOOKUP($D43,Inputs!$B$46:$B$57,Inputs!G$46:G$57)</f>
        <v>0.8</v>
      </c>
      <c r="S43" s="31">
        <f>LOOKUP($D43,Inputs!$B$46:$B$57,Inputs!H$46:H$57)</f>
        <v>0.2</v>
      </c>
      <c r="T43" s="31">
        <f>LOOKUP($D43,Inputs!$B$46:$B$57,Inputs!I$46:I$57)</f>
        <v>0</v>
      </c>
      <c r="U43" s="31">
        <f>LOOKUP($D43,Inputs!$B$46:$B$57,Inputs!J$46:J$57)</f>
        <v>0</v>
      </c>
      <c r="V43" s="13" t="str">
        <f t="shared" si="1"/>
        <v/>
      </c>
      <c r="X43" s="27">
        <v>454653</v>
      </c>
      <c r="Y43" s="28">
        <v>0.26</v>
      </c>
      <c r="Z43" s="28">
        <v>0.23</v>
      </c>
      <c r="AA43" s="28">
        <v>0.26</v>
      </c>
      <c r="AB43" s="28">
        <v>0.25</v>
      </c>
      <c r="AC43" s="28">
        <v>0.8</v>
      </c>
      <c r="AD43" s="28">
        <v>0.2</v>
      </c>
      <c r="AE43" s="28">
        <v>0</v>
      </c>
      <c r="AF43" s="28">
        <v>0</v>
      </c>
      <c r="AG43" s="33" t="str">
        <f t="shared" ref="AG43:AG74" si="10">IF(L43-Y43=0,"","FLAG")</f>
        <v/>
      </c>
      <c r="AH43" s="33" t="str">
        <f t="shared" ref="AH43:AH74" si="11">IF(M43-Z43=0,"","FLAG")</f>
        <v/>
      </c>
      <c r="AI43" s="33" t="str">
        <f t="shared" ref="AI43:AI74" si="12">IF(N43-AA43=0,"","FLAG")</f>
        <v/>
      </c>
      <c r="AJ43" s="33" t="str">
        <f t="shared" ref="AJ43:AJ74" si="13">IF(O43-AB43=0,"","FLAG")</f>
        <v/>
      </c>
      <c r="AK43" s="33" t="str">
        <f t="shared" ref="AK43:AK74" si="14">IF(R43-AC43=0,"","FLAG")</f>
        <v/>
      </c>
      <c r="AL43" s="33" t="str">
        <f t="shared" ref="AL43:AL74" si="15">IF(S43-AD43=0,"","FLAG")</f>
        <v/>
      </c>
      <c r="AM43" s="33" t="str">
        <f t="shared" ref="AM43:AM74" si="16">IF(T43-AE43=0,"","FLAG")</f>
        <v/>
      </c>
      <c r="AN43" s="33" t="str">
        <f t="shared" ref="AN43:AN74" si="17">IF(U43-AF43=0,"","FLAG")</f>
        <v/>
      </c>
    </row>
    <row r="44" spans="2:41" s="1" customFormat="1" hidden="1" x14ac:dyDescent="0.25">
      <c r="B44" s="54">
        <v>1410</v>
      </c>
      <c r="C44" s="54" t="s">
        <v>81</v>
      </c>
      <c r="D44" s="54" t="s">
        <v>25</v>
      </c>
      <c r="E44" s="55">
        <v>1954</v>
      </c>
      <c r="F44" s="55" t="s">
        <v>319</v>
      </c>
      <c r="G44" s="27">
        <v>25996</v>
      </c>
      <c r="H44" s="15" t="s">
        <v>177</v>
      </c>
      <c r="I44" s="50" t="s">
        <v>270</v>
      </c>
      <c r="J44" s="116"/>
      <c r="K44" s="27">
        <v>868207</v>
      </c>
      <c r="L44" s="31">
        <f>LOOKUP($D44,Inputs!$B$46:$B$57,Inputs!C$46:C$57)</f>
        <v>0.25</v>
      </c>
      <c r="M44" s="31">
        <f>LOOKUP($D44,Inputs!$B$46:$B$57,Inputs!D$46:D$57)</f>
        <v>0.35</v>
      </c>
      <c r="N44" s="31">
        <f>LOOKUP($D44,Inputs!$B$46:$B$57,Inputs!E$46:E$57)</f>
        <v>0.18</v>
      </c>
      <c r="O44" s="31">
        <f>LOOKUP($D44,Inputs!$B$46:$B$57,Inputs!F$46:F$57)</f>
        <v>0.22</v>
      </c>
      <c r="P44" s="13" t="str">
        <f t="shared" si="0"/>
        <v/>
      </c>
      <c r="Q44" s="27">
        <v>1975042.9640505421</v>
      </c>
      <c r="R44" s="31">
        <f>LOOKUP($D44,Inputs!$B$46:$B$57,Inputs!G$46:G$57)</f>
        <v>0.7</v>
      </c>
      <c r="S44" s="31">
        <f>LOOKUP($D44,Inputs!$B$46:$B$57,Inputs!H$46:H$57)</f>
        <v>0.3</v>
      </c>
      <c r="T44" s="31">
        <f>LOOKUP($D44,Inputs!$B$46:$B$57,Inputs!I$46:I$57)</f>
        <v>0</v>
      </c>
      <c r="U44" s="31">
        <f>LOOKUP($D44,Inputs!$B$46:$B$57,Inputs!J$46:J$57)</f>
        <v>0</v>
      </c>
      <c r="V44" s="13" t="str">
        <f t="shared" si="1"/>
        <v/>
      </c>
      <c r="X44" s="27">
        <v>868207</v>
      </c>
      <c r="Y44" s="28">
        <v>0.25</v>
      </c>
      <c r="Z44" s="28">
        <v>0.35</v>
      </c>
      <c r="AA44" s="28">
        <v>0.18</v>
      </c>
      <c r="AB44" s="28">
        <v>0.22</v>
      </c>
      <c r="AC44" s="28">
        <v>0.7</v>
      </c>
      <c r="AD44" s="28">
        <v>0.3</v>
      </c>
      <c r="AE44" s="28">
        <v>0</v>
      </c>
      <c r="AF44" s="28">
        <v>0</v>
      </c>
      <c r="AG44" s="33" t="str">
        <f t="shared" si="10"/>
        <v/>
      </c>
      <c r="AH44" s="33" t="str">
        <f t="shared" si="11"/>
        <v/>
      </c>
      <c r="AI44" s="33" t="str">
        <f t="shared" si="12"/>
        <v/>
      </c>
      <c r="AJ44" s="33" t="str">
        <f t="shared" si="13"/>
        <v/>
      </c>
      <c r="AK44" s="33" t="str">
        <f t="shared" si="14"/>
        <v/>
      </c>
      <c r="AL44" s="33" t="str">
        <f t="shared" si="15"/>
        <v/>
      </c>
      <c r="AM44" s="33" t="str">
        <f t="shared" si="16"/>
        <v/>
      </c>
      <c r="AN44" s="33" t="str">
        <f t="shared" si="17"/>
        <v/>
      </c>
    </row>
    <row r="45" spans="2:41" hidden="1" x14ac:dyDescent="0.25">
      <c r="B45" s="54">
        <v>1356</v>
      </c>
      <c r="C45" s="54" t="s">
        <v>82</v>
      </c>
      <c r="D45" s="54" t="s">
        <v>25</v>
      </c>
      <c r="E45" s="55">
        <v>1917</v>
      </c>
      <c r="F45" s="55" t="s">
        <v>319</v>
      </c>
      <c r="G45" s="27">
        <v>44182</v>
      </c>
      <c r="H45" s="15" t="s">
        <v>177</v>
      </c>
      <c r="I45" s="50" t="s">
        <v>270</v>
      </c>
      <c r="J45" s="116"/>
      <c r="K45" s="27">
        <v>682572</v>
      </c>
      <c r="L45" s="31">
        <f>LOOKUP($D45,Inputs!$B$46:$B$57,Inputs!C$46:C$57)</f>
        <v>0.25</v>
      </c>
      <c r="M45" s="31">
        <f>LOOKUP($D45,Inputs!$B$46:$B$57,Inputs!D$46:D$57)</f>
        <v>0.35</v>
      </c>
      <c r="N45" s="31">
        <f>LOOKUP($D45,Inputs!$B$46:$B$57,Inputs!E$46:E$57)</f>
        <v>0.18</v>
      </c>
      <c r="O45" s="31">
        <f>LOOKUP($D45,Inputs!$B$46:$B$57,Inputs!F$46:F$57)</f>
        <v>0.22</v>
      </c>
      <c r="P45" s="13" t="str">
        <f t="shared" si="0"/>
        <v/>
      </c>
      <c r="Q45" s="27">
        <v>3356722.1202369998</v>
      </c>
      <c r="R45" s="31">
        <f>LOOKUP($D45,Inputs!$B$46:$B$57,Inputs!G$46:G$57)</f>
        <v>0.7</v>
      </c>
      <c r="S45" s="31">
        <f>LOOKUP($D45,Inputs!$B$46:$B$57,Inputs!H$46:H$57)</f>
        <v>0.3</v>
      </c>
      <c r="T45" s="31">
        <f>LOOKUP($D45,Inputs!$B$46:$B$57,Inputs!I$46:I$57)</f>
        <v>0</v>
      </c>
      <c r="U45" s="31">
        <f>LOOKUP($D45,Inputs!$B$46:$B$57,Inputs!J$46:J$57)</f>
        <v>0</v>
      </c>
      <c r="V45" s="13" t="str">
        <f t="shared" si="1"/>
        <v/>
      </c>
      <c r="W45" s="1"/>
      <c r="X45" s="27">
        <v>682572</v>
      </c>
      <c r="Y45" s="28">
        <v>0.25</v>
      </c>
      <c r="Z45" s="28">
        <v>0.35</v>
      </c>
      <c r="AA45" s="28">
        <v>0.18</v>
      </c>
      <c r="AB45" s="28">
        <v>0.22</v>
      </c>
      <c r="AC45" s="28">
        <v>0.7</v>
      </c>
      <c r="AD45" s="28">
        <v>0.3</v>
      </c>
      <c r="AE45" s="28">
        <v>0</v>
      </c>
      <c r="AF45" s="28">
        <v>0</v>
      </c>
      <c r="AG45" s="33" t="str">
        <f t="shared" si="10"/>
        <v/>
      </c>
      <c r="AH45" s="33" t="str">
        <f t="shared" si="11"/>
        <v/>
      </c>
      <c r="AI45" s="33" t="str">
        <f t="shared" si="12"/>
        <v/>
      </c>
      <c r="AJ45" s="33" t="str">
        <f t="shared" si="13"/>
        <v/>
      </c>
      <c r="AK45" s="33" t="str">
        <f t="shared" si="14"/>
        <v/>
      </c>
      <c r="AL45" s="33" t="str">
        <f t="shared" si="15"/>
        <v/>
      </c>
      <c r="AM45" s="33" t="str">
        <f t="shared" si="16"/>
        <v/>
      </c>
      <c r="AN45" s="33" t="str">
        <f t="shared" si="17"/>
        <v/>
      </c>
      <c r="AO45" s="1"/>
    </row>
    <row r="46" spans="2:41" s="1" customFormat="1" hidden="1" x14ac:dyDescent="0.25">
      <c r="B46" s="54">
        <v>1424</v>
      </c>
      <c r="C46" s="54" t="s">
        <v>83</v>
      </c>
      <c r="D46" s="54" t="s">
        <v>29</v>
      </c>
      <c r="E46" s="55">
        <v>2004</v>
      </c>
      <c r="F46" s="55" t="s">
        <v>319</v>
      </c>
      <c r="G46" s="27">
        <v>29063</v>
      </c>
      <c r="H46" s="15" t="s">
        <v>176</v>
      </c>
      <c r="I46" s="50" t="s">
        <v>259</v>
      </c>
      <c r="J46" s="116"/>
      <c r="K46" s="27">
        <v>341660</v>
      </c>
      <c r="L46" s="31">
        <f>LOOKUP($D46,Inputs!$B$46:$B$57,Inputs!C$46:C$57)</f>
        <v>0.16597154608282005</v>
      </c>
      <c r="M46" s="31">
        <f>LOOKUP($D46,Inputs!$B$46:$B$57,Inputs!D$46:D$57)</f>
        <v>0.19259834809964024</v>
      </c>
      <c r="N46" s="31">
        <f>LOOKUP($D46,Inputs!$B$46:$B$57,Inputs!E$46:E$57)</f>
        <v>0.24583874787042273</v>
      </c>
      <c r="O46" s="31">
        <f>LOOKUP($D46,Inputs!$B$46:$B$57,Inputs!F$46:F$57)</f>
        <v>0.39559135794711692</v>
      </c>
      <c r="P46" s="13" t="str">
        <f t="shared" si="0"/>
        <v/>
      </c>
      <c r="Q46" s="27">
        <v>827514.98823529424</v>
      </c>
      <c r="R46" s="31">
        <f>LOOKUP($D46,Inputs!$B$46:$B$57,Inputs!G$46:G$57)</f>
        <v>0.8</v>
      </c>
      <c r="S46" s="31">
        <f>LOOKUP($D46,Inputs!$B$46:$B$57,Inputs!H$46:H$57)</f>
        <v>0.2</v>
      </c>
      <c r="T46" s="31">
        <f>LOOKUP($D46,Inputs!$B$46:$B$57,Inputs!I$46:I$57)</f>
        <v>0</v>
      </c>
      <c r="U46" s="31">
        <f>LOOKUP($D46,Inputs!$B$46:$B$57,Inputs!J$46:J$57)</f>
        <v>0</v>
      </c>
      <c r="V46" s="13" t="str">
        <f t="shared" si="1"/>
        <v/>
      </c>
      <c r="X46" s="27">
        <v>341660</v>
      </c>
      <c r="Y46" s="28">
        <v>0.16597154608282005</v>
      </c>
      <c r="Z46" s="28">
        <v>0.19259834809964024</v>
      </c>
      <c r="AA46" s="28">
        <v>0.24583874787042273</v>
      </c>
      <c r="AB46" s="28">
        <v>0.39559135794711692</v>
      </c>
      <c r="AC46" s="28">
        <v>0.8</v>
      </c>
      <c r="AD46" s="28">
        <v>0.2</v>
      </c>
      <c r="AE46" s="28">
        <v>0</v>
      </c>
      <c r="AF46" s="28">
        <v>0</v>
      </c>
      <c r="AG46" s="33" t="str">
        <f t="shared" si="10"/>
        <v/>
      </c>
      <c r="AH46" s="33" t="str">
        <f t="shared" si="11"/>
        <v/>
      </c>
      <c r="AI46" s="33" t="str">
        <f t="shared" si="12"/>
        <v/>
      </c>
      <c r="AJ46" s="33" t="str">
        <f t="shared" si="13"/>
        <v/>
      </c>
      <c r="AK46" s="33" t="str">
        <f t="shared" si="14"/>
        <v/>
      </c>
      <c r="AL46" s="33" t="str">
        <f t="shared" si="15"/>
        <v/>
      </c>
      <c r="AM46" s="33" t="str">
        <f t="shared" si="16"/>
        <v/>
      </c>
      <c r="AN46" s="33" t="str">
        <f t="shared" si="17"/>
        <v/>
      </c>
    </row>
    <row r="47" spans="2:41" s="1" customFormat="1" hidden="1" x14ac:dyDescent="0.25">
      <c r="B47" s="54">
        <v>1371</v>
      </c>
      <c r="C47" s="54" t="s">
        <v>84</v>
      </c>
      <c r="D47" s="54" t="s">
        <v>30</v>
      </c>
      <c r="E47" s="55">
        <v>1924</v>
      </c>
      <c r="F47" s="55" t="s">
        <v>319</v>
      </c>
      <c r="G47" s="27">
        <v>51020</v>
      </c>
      <c r="H47" s="15" t="s">
        <v>177</v>
      </c>
      <c r="I47" s="50" t="s">
        <v>268</v>
      </c>
      <c r="J47" s="116"/>
      <c r="K47" s="27">
        <v>229315</v>
      </c>
      <c r="L47" s="31">
        <f>LOOKUP($D47,Inputs!$B$46:$B$57,Inputs!C$46:C$57)</f>
        <v>0.16</v>
      </c>
      <c r="M47" s="31">
        <f>LOOKUP($D47,Inputs!$B$46:$B$57,Inputs!D$46:D$57)</f>
        <v>0.16333333333333333</v>
      </c>
      <c r="N47" s="31">
        <f>LOOKUP($D47,Inputs!$B$46:$B$57,Inputs!E$46:E$57)</f>
        <v>0.24666666666666667</v>
      </c>
      <c r="O47" s="31">
        <f>LOOKUP($D47,Inputs!$B$46:$B$57,Inputs!F$46:F$57)</f>
        <v>0.42999999999999994</v>
      </c>
      <c r="P47" s="13" t="str">
        <f t="shared" si="0"/>
        <v/>
      </c>
      <c r="Q47" s="27">
        <v>4294276.8442205219</v>
      </c>
      <c r="R47" s="31">
        <f>LOOKUP($D47,Inputs!$B$46:$B$57,Inputs!G$46:G$57)</f>
        <v>0.76666666666666661</v>
      </c>
      <c r="S47" s="31">
        <f>LOOKUP($D47,Inputs!$B$46:$B$57,Inputs!H$46:H$57)</f>
        <v>0.23333333333333331</v>
      </c>
      <c r="T47" s="31">
        <f>LOOKUP($D47,Inputs!$B$46:$B$57,Inputs!I$46:I$57)</f>
        <v>0</v>
      </c>
      <c r="U47" s="31">
        <f>LOOKUP($D47,Inputs!$B$46:$B$57,Inputs!J$46:J$57)</f>
        <v>0</v>
      </c>
      <c r="V47" s="13" t="str">
        <f t="shared" si="1"/>
        <v/>
      </c>
      <c r="X47" s="27">
        <v>229315</v>
      </c>
      <c r="Y47" s="28">
        <v>0.3949579831932773</v>
      </c>
      <c r="Z47" s="28">
        <v>0.13025210084033612</v>
      </c>
      <c r="AA47" s="28">
        <v>0.15126050420168063</v>
      </c>
      <c r="AB47" s="28">
        <v>0.32352941176470584</v>
      </c>
      <c r="AC47" s="28">
        <v>0.7</v>
      </c>
      <c r="AD47" s="28">
        <v>0.3</v>
      </c>
      <c r="AE47" s="28">
        <v>0</v>
      </c>
      <c r="AF47" s="28">
        <v>0</v>
      </c>
      <c r="AG47" s="33" t="str">
        <f t="shared" si="10"/>
        <v>FLAG</v>
      </c>
      <c r="AH47" s="33" t="str">
        <f t="shared" si="11"/>
        <v>FLAG</v>
      </c>
      <c r="AI47" s="33" t="str">
        <f t="shared" si="12"/>
        <v>FLAG</v>
      </c>
      <c r="AJ47" s="33" t="str">
        <f t="shared" si="13"/>
        <v>FLAG</v>
      </c>
      <c r="AK47" s="33" t="str">
        <f t="shared" si="14"/>
        <v>FLAG</v>
      </c>
      <c r="AL47" s="33" t="str">
        <f t="shared" si="15"/>
        <v>FLAG</v>
      </c>
      <c r="AM47" s="33" t="str">
        <f t="shared" si="16"/>
        <v/>
      </c>
      <c r="AN47" s="33" t="str">
        <f t="shared" si="17"/>
        <v/>
      </c>
    </row>
    <row r="48" spans="2:41" s="1" customFormat="1" hidden="1" x14ac:dyDescent="0.25">
      <c r="B48" s="54">
        <v>1267</v>
      </c>
      <c r="C48" s="54" t="s">
        <v>85</v>
      </c>
      <c r="D48" s="54" t="s">
        <v>63</v>
      </c>
      <c r="E48" s="55">
        <v>1999</v>
      </c>
      <c r="F48" s="55" t="s">
        <v>319</v>
      </c>
      <c r="G48" s="27">
        <v>23432</v>
      </c>
      <c r="H48" s="15" t="s">
        <v>16</v>
      </c>
      <c r="I48" s="15" t="s">
        <v>264</v>
      </c>
      <c r="J48" s="116"/>
      <c r="K48" s="27">
        <v>0</v>
      </c>
      <c r="L48" s="25">
        <v>0</v>
      </c>
      <c r="M48" s="25">
        <v>0</v>
      </c>
      <c r="N48" s="25">
        <v>0</v>
      </c>
      <c r="O48" s="25">
        <v>0</v>
      </c>
      <c r="P48" s="13" t="str">
        <f t="shared" si="0"/>
        <v>FLAG</v>
      </c>
      <c r="Q48" s="27">
        <v>0</v>
      </c>
      <c r="R48" s="25">
        <v>0</v>
      </c>
      <c r="S48" s="25">
        <v>0</v>
      </c>
      <c r="T48" s="25">
        <v>0</v>
      </c>
      <c r="U48" s="25">
        <v>0</v>
      </c>
      <c r="V48" s="13" t="str">
        <f t="shared" si="1"/>
        <v>FLAG</v>
      </c>
      <c r="X48" s="27"/>
      <c r="Y48" s="28">
        <v>0</v>
      </c>
      <c r="Z48" s="28">
        <v>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0</v>
      </c>
      <c r="AG48" s="33" t="str">
        <f t="shared" si="10"/>
        <v/>
      </c>
      <c r="AH48" s="33" t="str">
        <f t="shared" si="11"/>
        <v/>
      </c>
      <c r="AI48" s="33" t="str">
        <f t="shared" si="12"/>
        <v/>
      </c>
      <c r="AJ48" s="33" t="str">
        <f t="shared" si="13"/>
        <v/>
      </c>
      <c r="AK48" s="33" t="str">
        <f t="shared" si="14"/>
        <v/>
      </c>
      <c r="AL48" s="33" t="str">
        <f t="shared" si="15"/>
        <v/>
      </c>
      <c r="AM48" s="33" t="str">
        <f t="shared" si="16"/>
        <v/>
      </c>
      <c r="AN48" s="33" t="str">
        <f t="shared" si="17"/>
        <v/>
      </c>
    </row>
    <row r="49" spans="2:42" s="1" customFormat="1" hidden="1" x14ac:dyDescent="0.25">
      <c r="B49" s="54">
        <v>1097</v>
      </c>
      <c r="C49" s="54" t="s">
        <v>86</v>
      </c>
      <c r="D49" s="54" t="s">
        <v>30</v>
      </c>
      <c r="E49" s="55">
        <v>1999</v>
      </c>
      <c r="F49" s="55" t="s">
        <v>319</v>
      </c>
      <c r="G49" s="27">
        <v>34825</v>
      </c>
      <c r="H49" s="15" t="s">
        <v>176</v>
      </c>
      <c r="I49" s="50" t="s">
        <v>259</v>
      </c>
      <c r="J49" s="116"/>
      <c r="K49" s="27">
        <v>81065</v>
      </c>
      <c r="L49" s="31">
        <f>LOOKUP($D49,Inputs!$B$46:$B$57,Inputs!C$46:C$57)</f>
        <v>0.16</v>
      </c>
      <c r="M49" s="31">
        <f>LOOKUP($D49,Inputs!$B$46:$B$57,Inputs!D$46:D$57)</f>
        <v>0.16333333333333333</v>
      </c>
      <c r="N49" s="31">
        <f>LOOKUP($D49,Inputs!$B$46:$B$57,Inputs!E$46:E$57)</f>
        <v>0.24666666666666667</v>
      </c>
      <c r="O49" s="31">
        <f>LOOKUP($D49,Inputs!$B$46:$B$57,Inputs!F$46:F$57)</f>
        <v>0.42999999999999994</v>
      </c>
      <c r="P49" s="13" t="str">
        <f t="shared" si="0"/>
        <v/>
      </c>
      <c r="Q49" s="27">
        <v>0</v>
      </c>
      <c r="R49" s="31">
        <f>LOOKUP($D49,Inputs!$B$46:$B$57,Inputs!G$46:G$57)</f>
        <v>0.76666666666666661</v>
      </c>
      <c r="S49" s="31">
        <f>LOOKUP($D49,Inputs!$B$46:$B$57,Inputs!H$46:H$57)</f>
        <v>0.23333333333333331</v>
      </c>
      <c r="T49" s="31">
        <f>LOOKUP($D49,Inputs!$B$46:$B$57,Inputs!I$46:I$57)</f>
        <v>0</v>
      </c>
      <c r="U49" s="31">
        <f>LOOKUP($D49,Inputs!$B$46:$B$57,Inputs!J$46:J$57)</f>
        <v>0</v>
      </c>
      <c r="V49" s="13" t="str">
        <f t="shared" si="1"/>
        <v/>
      </c>
      <c r="X49" s="27">
        <v>81065</v>
      </c>
      <c r="Y49" s="28">
        <v>0.3949579831932773</v>
      </c>
      <c r="Z49" s="28">
        <v>0.13025210084033612</v>
      </c>
      <c r="AA49" s="28">
        <v>0.15126050420168063</v>
      </c>
      <c r="AB49" s="28">
        <v>0.32352941176470584</v>
      </c>
      <c r="AC49" s="28">
        <v>0.7</v>
      </c>
      <c r="AD49" s="28">
        <v>0.3</v>
      </c>
      <c r="AE49" s="28">
        <v>0</v>
      </c>
      <c r="AF49" s="28">
        <v>0</v>
      </c>
      <c r="AG49" s="33" t="str">
        <f t="shared" si="10"/>
        <v>FLAG</v>
      </c>
      <c r="AH49" s="33" t="str">
        <f t="shared" si="11"/>
        <v>FLAG</v>
      </c>
      <c r="AI49" s="33" t="str">
        <f t="shared" si="12"/>
        <v>FLAG</v>
      </c>
      <c r="AJ49" s="33" t="str">
        <f t="shared" si="13"/>
        <v>FLAG</v>
      </c>
      <c r="AK49" s="33" t="str">
        <f t="shared" si="14"/>
        <v>FLAG</v>
      </c>
      <c r="AL49" s="33" t="str">
        <f t="shared" si="15"/>
        <v>FLAG</v>
      </c>
      <c r="AM49" s="33" t="str">
        <f t="shared" si="16"/>
        <v/>
      </c>
      <c r="AN49" s="33" t="str">
        <f t="shared" si="17"/>
        <v/>
      </c>
    </row>
    <row r="50" spans="2:42" s="1" customFormat="1" hidden="1" x14ac:dyDescent="0.25">
      <c r="B50" s="54">
        <v>1372</v>
      </c>
      <c r="C50" s="54" t="s">
        <v>87</v>
      </c>
      <c r="D50" s="54" t="s">
        <v>22</v>
      </c>
      <c r="E50" s="55">
        <v>1927</v>
      </c>
      <c r="F50" s="55" t="s">
        <v>319</v>
      </c>
      <c r="G50" s="27">
        <v>124197</v>
      </c>
      <c r="H50" s="15" t="s">
        <v>176</v>
      </c>
      <c r="I50" s="50" t="s">
        <v>259</v>
      </c>
      <c r="J50" s="116"/>
      <c r="K50" s="27">
        <v>602605</v>
      </c>
      <c r="L50" s="31">
        <f>LOOKUP($D50,Inputs!$B$46:$B$57,Inputs!C$46:C$57)</f>
        <v>0.24</v>
      </c>
      <c r="M50" s="31">
        <f>LOOKUP($D50,Inputs!$B$46:$B$57,Inputs!D$46:D$57)</f>
        <v>0.26</v>
      </c>
      <c r="N50" s="31">
        <f>LOOKUP($D50,Inputs!$B$46:$B$57,Inputs!E$46:E$57)</f>
        <v>0.28999999999999998</v>
      </c>
      <c r="O50" s="31">
        <f>LOOKUP($D50,Inputs!$B$46:$B$57,Inputs!F$46:F$57)</f>
        <v>0.21</v>
      </c>
      <c r="P50" s="13" t="str">
        <f t="shared" si="0"/>
        <v/>
      </c>
      <c r="Q50" s="27">
        <v>20178686.655462191</v>
      </c>
      <c r="R50" s="31">
        <f>LOOKUP($D50,Inputs!$B$46:$B$57,Inputs!G$46:G$57)*(1-$U50)</f>
        <v>0.51</v>
      </c>
      <c r="S50" s="31">
        <f>LOOKUP($D50,Inputs!$B$46:$B$57,Inputs!H$46:H$57)*(1-$U50)</f>
        <v>0.34</v>
      </c>
      <c r="T50" s="31">
        <f>LOOKUP($D50,Inputs!$B$46:$B$57,Inputs!I$46:I$57)*(1-$U50)</f>
        <v>0</v>
      </c>
      <c r="U50" s="25">
        <v>0.15</v>
      </c>
      <c r="V50" s="13" t="str">
        <f t="shared" si="1"/>
        <v/>
      </c>
      <c r="X50" s="27">
        <v>602605</v>
      </c>
      <c r="Y50" s="28">
        <v>0.24</v>
      </c>
      <c r="Z50" s="28">
        <v>0.26</v>
      </c>
      <c r="AA50" s="28">
        <v>0.28999999999999998</v>
      </c>
      <c r="AB50" s="28">
        <v>0.21</v>
      </c>
      <c r="AC50" s="28">
        <v>0.51</v>
      </c>
      <c r="AD50" s="28">
        <v>0.34</v>
      </c>
      <c r="AE50" s="28">
        <v>0</v>
      </c>
      <c r="AF50" s="28">
        <v>0.15</v>
      </c>
      <c r="AG50" s="33" t="str">
        <f t="shared" si="10"/>
        <v/>
      </c>
      <c r="AH50" s="33" t="str">
        <f t="shared" si="11"/>
        <v/>
      </c>
      <c r="AI50" s="33" t="str">
        <f t="shared" si="12"/>
        <v/>
      </c>
      <c r="AJ50" s="33" t="str">
        <f t="shared" si="13"/>
        <v/>
      </c>
      <c r="AK50" s="33" t="str">
        <f t="shared" si="14"/>
        <v/>
      </c>
      <c r="AL50" s="33" t="str">
        <f t="shared" si="15"/>
        <v/>
      </c>
      <c r="AM50" s="33" t="str">
        <f t="shared" si="16"/>
        <v/>
      </c>
      <c r="AN50" s="33" t="str">
        <f t="shared" si="17"/>
        <v/>
      </c>
    </row>
    <row r="51" spans="2:42" s="1" customFormat="1" hidden="1" x14ac:dyDescent="0.25">
      <c r="B51" s="54">
        <v>1373</v>
      </c>
      <c r="C51" s="54" t="s">
        <v>88</v>
      </c>
      <c r="D51" s="54" t="s">
        <v>26</v>
      </c>
      <c r="E51" s="55">
        <v>1907</v>
      </c>
      <c r="F51" s="55" t="s">
        <v>319</v>
      </c>
      <c r="G51" s="27">
        <v>141461</v>
      </c>
      <c r="H51" s="15" t="s">
        <v>177</v>
      </c>
      <c r="I51" s="15" t="s">
        <v>260</v>
      </c>
      <c r="J51" s="116"/>
      <c r="K51" s="27">
        <v>4202949</v>
      </c>
      <c r="L51" s="31">
        <f>LOOKUP($D51,Inputs!$B$46:$B$57,Inputs!C$46:C$57)</f>
        <v>0.26</v>
      </c>
      <c r="M51" s="31">
        <f>LOOKUP($D51,Inputs!$B$46:$B$57,Inputs!D$46:D$57)</f>
        <v>0.23</v>
      </c>
      <c r="N51" s="31">
        <f>LOOKUP($D51,Inputs!$B$46:$B$57,Inputs!E$46:E$57)</f>
        <v>0.26</v>
      </c>
      <c r="O51" s="31">
        <f>LOOKUP($D51,Inputs!$B$46:$B$57,Inputs!F$46:F$57)</f>
        <v>0.25</v>
      </c>
      <c r="P51" s="13" t="str">
        <f t="shared" si="0"/>
        <v/>
      </c>
      <c r="Q51" s="27">
        <v>8281623.3727162918</v>
      </c>
      <c r="R51" s="31">
        <f>LOOKUP($D51,Inputs!$B$46:$B$57,Inputs!G$46:G$57)</f>
        <v>0.8</v>
      </c>
      <c r="S51" s="31">
        <f>LOOKUP($D51,Inputs!$B$46:$B$57,Inputs!H$46:H$57)</f>
        <v>0.2</v>
      </c>
      <c r="T51" s="31">
        <f>LOOKUP($D51,Inputs!$B$46:$B$57,Inputs!I$46:I$57)</f>
        <v>0</v>
      </c>
      <c r="U51" s="31">
        <f>LOOKUP($D51,Inputs!$B$46:$B$57,Inputs!J$46:J$57)</f>
        <v>0</v>
      </c>
      <c r="V51" s="13" t="str">
        <f t="shared" si="1"/>
        <v/>
      </c>
      <c r="X51" s="27">
        <v>4202949</v>
      </c>
      <c r="Y51" s="28">
        <v>0.26</v>
      </c>
      <c r="Z51" s="28">
        <v>0.23</v>
      </c>
      <c r="AA51" s="28">
        <v>0.26</v>
      </c>
      <c r="AB51" s="28">
        <v>0.25</v>
      </c>
      <c r="AC51" s="28">
        <v>0.8</v>
      </c>
      <c r="AD51" s="28">
        <v>0.2</v>
      </c>
      <c r="AE51" s="28">
        <v>0</v>
      </c>
      <c r="AF51" s="28">
        <v>0</v>
      </c>
      <c r="AG51" s="33" t="str">
        <f t="shared" si="10"/>
        <v/>
      </c>
      <c r="AH51" s="33" t="str">
        <f t="shared" si="11"/>
        <v/>
      </c>
      <c r="AI51" s="33" t="str">
        <f t="shared" si="12"/>
        <v/>
      </c>
      <c r="AJ51" s="33" t="str">
        <f t="shared" si="13"/>
        <v/>
      </c>
      <c r="AK51" s="33" t="str">
        <f t="shared" si="14"/>
        <v/>
      </c>
      <c r="AL51" s="33" t="str">
        <f t="shared" si="15"/>
        <v/>
      </c>
      <c r="AM51" s="33" t="str">
        <f t="shared" si="16"/>
        <v/>
      </c>
      <c r="AN51" s="33" t="str">
        <f t="shared" si="17"/>
        <v/>
      </c>
    </row>
    <row r="52" spans="2:42" hidden="1" x14ac:dyDescent="0.25">
      <c r="B52" s="54">
        <v>1423</v>
      </c>
      <c r="C52" s="54" t="s">
        <v>89</v>
      </c>
      <c r="D52" s="54" t="s">
        <v>26</v>
      </c>
      <c r="E52" s="55">
        <v>1958</v>
      </c>
      <c r="F52" s="55" t="s">
        <v>319</v>
      </c>
      <c r="G52" s="27">
        <v>30160</v>
      </c>
      <c r="H52" s="15" t="s">
        <v>176</v>
      </c>
      <c r="I52" s="50" t="s">
        <v>271</v>
      </c>
      <c r="J52" s="116"/>
      <c r="K52" s="27">
        <v>327029</v>
      </c>
      <c r="L52" s="31">
        <f>LOOKUP($D52,Inputs!$B$46:$B$57,Inputs!C$46:C$57)</f>
        <v>0.26</v>
      </c>
      <c r="M52" s="31">
        <f>LOOKUP($D52,Inputs!$B$46:$B$57,Inputs!D$46:D$57)</f>
        <v>0.23</v>
      </c>
      <c r="N52" s="31">
        <f>LOOKUP($D52,Inputs!$B$46:$B$57,Inputs!E$46:E$57)</f>
        <v>0.26</v>
      </c>
      <c r="O52" s="31">
        <f>LOOKUP($D52,Inputs!$B$46:$B$57,Inputs!F$46:F$57)</f>
        <v>0.25</v>
      </c>
      <c r="P52" s="13" t="str">
        <f t="shared" si="0"/>
        <v/>
      </c>
      <c r="Q52" s="27">
        <v>1710966.8254369206</v>
      </c>
      <c r="R52" s="31">
        <f>LOOKUP($D52,Inputs!$B$46:$B$57,Inputs!G$46:G$57)</f>
        <v>0.8</v>
      </c>
      <c r="S52" s="31">
        <f>LOOKUP($D52,Inputs!$B$46:$B$57,Inputs!H$46:H$57)</f>
        <v>0.2</v>
      </c>
      <c r="T52" s="31">
        <f>LOOKUP($D52,Inputs!$B$46:$B$57,Inputs!I$46:I$57)</f>
        <v>0</v>
      </c>
      <c r="U52" s="31">
        <f>LOOKUP($D52,Inputs!$B$46:$B$57,Inputs!J$46:J$57)</f>
        <v>0</v>
      </c>
      <c r="V52" s="13" t="str">
        <f t="shared" si="1"/>
        <v/>
      </c>
      <c r="W52" s="1"/>
      <c r="X52" s="27">
        <v>327029</v>
      </c>
      <c r="Y52" s="28">
        <v>0.26</v>
      </c>
      <c r="Z52" s="28">
        <v>0.23</v>
      </c>
      <c r="AA52" s="28">
        <v>0.26</v>
      </c>
      <c r="AB52" s="28">
        <v>0.25</v>
      </c>
      <c r="AC52" s="28">
        <v>0.8</v>
      </c>
      <c r="AD52" s="28">
        <v>0.2</v>
      </c>
      <c r="AE52" s="28">
        <v>0</v>
      </c>
      <c r="AF52" s="28">
        <v>0</v>
      </c>
      <c r="AG52" s="33" t="str">
        <f t="shared" si="10"/>
        <v/>
      </c>
      <c r="AH52" s="33" t="str">
        <f t="shared" si="11"/>
        <v/>
      </c>
      <c r="AI52" s="33" t="str">
        <f t="shared" si="12"/>
        <v/>
      </c>
      <c r="AJ52" s="33" t="str">
        <f t="shared" si="13"/>
        <v/>
      </c>
      <c r="AK52" s="33" t="str">
        <f t="shared" si="14"/>
        <v/>
      </c>
      <c r="AL52" s="33" t="str">
        <f t="shared" si="15"/>
        <v/>
      </c>
      <c r="AM52" s="33" t="str">
        <f t="shared" si="16"/>
        <v/>
      </c>
      <c r="AN52" s="33" t="str">
        <f t="shared" si="17"/>
        <v/>
      </c>
      <c r="AO52" s="1"/>
    </row>
    <row r="53" spans="2:42" s="1" customFormat="1" hidden="1" x14ac:dyDescent="0.25">
      <c r="B53" s="54">
        <v>1375</v>
      </c>
      <c r="C53" s="54" t="s">
        <v>90</v>
      </c>
      <c r="D53" s="54" t="s">
        <v>28</v>
      </c>
      <c r="E53" s="55">
        <v>1924</v>
      </c>
      <c r="F53" s="55">
        <v>2025</v>
      </c>
      <c r="G53" s="27">
        <v>41363</v>
      </c>
      <c r="H53" s="15" t="s">
        <v>177</v>
      </c>
      <c r="I53" s="50" t="s">
        <v>268</v>
      </c>
      <c r="J53" s="116"/>
      <c r="K53" s="27">
        <v>426155</v>
      </c>
      <c r="L53" s="31">
        <f>LOOKUP($D53,Inputs!$B$46:$B$57,Inputs!C$46:C$57)</f>
        <v>0.12</v>
      </c>
      <c r="M53" s="31">
        <f>LOOKUP($D53,Inputs!$B$46:$B$57,Inputs!D$46:D$57)</f>
        <v>0.14000000000000001</v>
      </c>
      <c r="N53" s="31">
        <f>LOOKUP($D53,Inputs!$B$46:$B$57,Inputs!E$46:E$57)</f>
        <v>0.26</v>
      </c>
      <c r="O53" s="31">
        <f>LOOKUP($D53,Inputs!$B$46:$B$57,Inputs!F$46:F$57)</f>
        <v>0.48</v>
      </c>
      <c r="P53" s="13" t="str">
        <f t="shared" si="0"/>
        <v/>
      </c>
      <c r="Q53" s="27">
        <v>2899384.5645610276</v>
      </c>
      <c r="R53" s="31">
        <f>LOOKUP($D53,Inputs!$B$46:$B$57,Inputs!G$46:G$57)</f>
        <v>0.7</v>
      </c>
      <c r="S53" s="31">
        <f>LOOKUP($D53,Inputs!$B$46:$B$57,Inputs!H$46:H$57)</f>
        <v>0.3</v>
      </c>
      <c r="T53" s="31">
        <f>LOOKUP($D53,Inputs!$B$46:$B$57,Inputs!I$46:I$57)</f>
        <v>0</v>
      </c>
      <c r="U53" s="31">
        <f>LOOKUP($D53,Inputs!$B$46:$B$57,Inputs!J$46:J$57)</f>
        <v>0</v>
      </c>
      <c r="V53" s="13" t="str">
        <f t="shared" si="1"/>
        <v/>
      </c>
      <c r="X53" s="27">
        <v>426155</v>
      </c>
      <c r="Y53" s="28">
        <v>0.12</v>
      </c>
      <c r="Z53" s="28">
        <v>0.14000000000000001</v>
      </c>
      <c r="AA53" s="28">
        <v>0.26</v>
      </c>
      <c r="AB53" s="28">
        <v>0.48</v>
      </c>
      <c r="AC53" s="28">
        <v>0.7</v>
      </c>
      <c r="AD53" s="28">
        <v>0.3</v>
      </c>
      <c r="AE53" s="28">
        <v>0</v>
      </c>
      <c r="AF53" s="28">
        <v>0</v>
      </c>
      <c r="AG53" s="33" t="str">
        <f t="shared" si="10"/>
        <v/>
      </c>
      <c r="AH53" s="33" t="str">
        <f t="shared" si="11"/>
        <v/>
      </c>
      <c r="AI53" s="33" t="str">
        <f t="shared" si="12"/>
        <v/>
      </c>
      <c r="AJ53" s="33" t="str">
        <f t="shared" si="13"/>
        <v/>
      </c>
      <c r="AK53" s="33" t="str">
        <f t="shared" si="14"/>
        <v/>
      </c>
      <c r="AL53" s="33" t="str">
        <f t="shared" si="15"/>
        <v/>
      </c>
      <c r="AM53" s="33" t="str">
        <f t="shared" si="16"/>
        <v/>
      </c>
      <c r="AN53" s="33" t="str">
        <f t="shared" si="17"/>
        <v/>
      </c>
    </row>
    <row r="54" spans="2:42" s="1" customFormat="1" hidden="1" x14ac:dyDescent="0.25">
      <c r="B54" s="54">
        <v>1809</v>
      </c>
      <c r="C54" s="54" t="s">
        <v>91</v>
      </c>
      <c r="D54" s="54" t="s">
        <v>25</v>
      </c>
      <c r="E54" s="55">
        <v>1966</v>
      </c>
      <c r="F54" s="55" t="s">
        <v>319</v>
      </c>
      <c r="G54" s="27">
        <v>128126</v>
      </c>
      <c r="H54" s="15" t="s">
        <v>177</v>
      </c>
      <c r="I54" s="50" t="s">
        <v>270</v>
      </c>
      <c r="J54" s="116"/>
      <c r="K54" s="27">
        <v>4509238</v>
      </c>
      <c r="L54" s="25">
        <v>0.01</v>
      </c>
      <c r="M54" s="25">
        <v>0.46199999999999997</v>
      </c>
      <c r="N54" s="25">
        <v>0.23759999999999998</v>
      </c>
      <c r="O54" s="25">
        <v>0.29039999999999999</v>
      </c>
      <c r="P54" s="13" t="str">
        <f t="shared" si="0"/>
        <v/>
      </c>
      <c r="Q54" s="27">
        <v>40432176.205882356</v>
      </c>
      <c r="R54" s="31">
        <f>LOOKUP($D54,Inputs!$B$46:$B$57,Inputs!G$46:G$57)*(1-$U54-$T54)</f>
        <v>0.38500000000000001</v>
      </c>
      <c r="S54" s="31">
        <f>LOOKUP($D54,Inputs!$B$46:$B$57,Inputs!H$46:H$57)*(1-$U54-$T54)</f>
        <v>0.16500000000000001</v>
      </c>
      <c r="T54" s="25">
        <v>0.25</v>
      </c>
      <c r="U54" s="25">
        <v>0.2</v>
      </c>
      <c r="V54" s="13" t="str">
        <f t="shared" si="1"/>
        <v/>
      </c>
      <c r="X54" s="27">
        <v>4509238</v>
      </c>
      <c r="Y54" s="28">
        <v>0.01</v>
      </c>
      <c r="Z54" s="28">
        <v>0.46199999999999997</v>
      </c>
      <c r="AA54" s="28">
        <v>0.23759999999999998</v>
      </c>
      <c r="AB54" s="28">
        <v>0.29039999999999999</v>
      </c>
      <c r="AC54" s="28">
        <v>0.38500000000000001</v>
      </c>
      <c r="AD54" s="28">
        <v>0.16500000000000001</v>
      </c>
      <c r="AE54" s="28">
        <v>0.25</v>
      </c>
      <c r="AF54" s="28">
        <v>0.2</v>
      </c>
      <c r="AG54" s="33" t="str">
        <f t="shared" si="10"/>
        <v/>
      </c>
      <c r="AH54" s="33" t="str">
        <f t="shared" si="11"/>
        <v/>
      </c>
      <c r="AI54" s="33" t="str">
        <f t="shared" si="12"/>
        <v/>
      </c>
      <c r="AJ54" s="33" t="str">
        <f t="shared" si="13"/>
        <v/>
      </c>
      <c r="AK54" s="33" t="str">
        <f t="shared" si="14"/>
        <v/>
      </c>
      <c r="AL54" s="33" t="str">
        <f t="shared" si="15"/>
        <v/>
      </c>
      <c r="AM54" s="33" t="str">
        <f t="shared" si="16"/>
        <v/>
      </c>
      <c r="AN54" s="33" t="str">
        <f t="shared" si="17"/>
        <v/>
      </c>
    </row>
    <row r="55" spans="2:42" s="1" customFormat="1" x14ac:dyDescent="0.25">
      <c r="B55" s="54">
        <v>1376</v>
      </c>
      <c r="C55" s="54" t="s">
        <v>92</v>
      </c>
      <c r="D55" s="54" t="s">
        <v>24</v>
      </c>
      <c r="E55" s="55">
        <v>1917</v>
      </c>
      <c r="F55" s="55" t="s">
        <v>319</v>
      </c>
      <c r="G55" s="27">
        <v>77055</v>
      </c>
      <c r="H55" s="15" t="s">
        <v>175</v>
      </c>
      <c r="I55" s="50" t="s">
        <v>269</v>
      </c>
      <c r="J55" s="116"/>
      <c r="K55" s="27">
        <v>750964</v>
      </c>
      <c r="L55" s="31">
        <f>LOOKUP($D55,Inputs!$B$46:$B$57,Inputs!C$46:C$57)</f>
        <v>0.25</v>
      </c>
      <c r="M55" s="31">
        <f>LOOKUP($D55,Inputs!$B$46:$B$57,Inputs!D$46:D$57)</f>
        <v>0.35</v>
      </c>
      <c r="N55" s="31">
        <f>LOOKUP($D55,Inputs!$B$46:$B$57,Inputs!E$46:E$57)</f>
        <v>0.18</v>
      </c>
      <c r="O55" s="31">
        <f>LOOKUP($D55,Inputs!$B$46:$B$57,Inputs!F$46:F$57)</f>
        <v>0.22</v>
      </c>
      <c r="P55" s="13" t="str">
        <f t="shared" si="0"/>
        <v/>
      </c>
      <c r="Q55" s="27">
        <v>10460320.235294119</v>
      </c>
      <c r="R55" s="31">
        <f>LOOKUP($D55,Inputs!$B$46:$B$57,Inputs!G$46:G$57)*(1-$U55)</f>
        <v>0.55999999999999994</v>
      </c>
      <c r="S55" s="31">
        <f>LOOKUP($D55,Inputs!$B$46:$B$57,Inputs!H$46:H$57)*(1-$U55)</f>
        <v>0.24</v>
      </c>
      <c r="T55" s="31">
        <f>LOOKUP($D55,Inputs!$B$46:$B$57,Inputs!I$46:I$57)*(1-$U55)</f>
        <v>0</v>
      </c>
      <c r="U55" s="25">
        <v>0.2</v>
      </c>
      <c r="V55" s="13" t="str">
        <f t="shared" si="1"/>
        <v/>
      </c>
      <c r="X55" s="27">
        <v>750964</v>
      </c>
      <c r="Y55" s="28">
        <v>0.25</v>
      </c>
      <c r="Z55" s="28">
        <v>0.35</v>
      </c>
      <c r="AA55" s="28">
        <v>0.18</v>
      </c>
      <c r="AB55" s="28">
        <v>0.22</v>
      </c>
      <c r="AC55" s="28">
        <v>0.55999999999999994</v>
      </c>
      <c r="AD55" s="28">
        <v>0.24</v>
      </c>
      <c r="AE55" s="28">
        <v>0</v>
      </c>
      <c r="AF55" s="28">
        <v>0.2</v>
      </c>
      <c r="AG55" s="33" t="str">
        <f t="shared" si="10"/>
        <v/>
      </c>
      <c r="AH55" s="33" t="str">
        <f t="shared" si="11"/>
        <v/>
      </c>
      <c r="AI55" s="33" t="str">
        <f t="shared" si="12"/>
        <v/>
      </c>
      <c r="AJ55" s="33" t="str">
        <f t="shared" si="13"/>
        <v/>
      </c>
      <c r="AK55" s="33" t="str">
        <f t="shared" si="14"/>
        <v/>
      </c>
      <c r="AL55" s="33" t="str">
        <f t="shared" si="15"/>
        <v/>
      </c>
      <c r="AM55" s="33" t="str">
        <f t="shared" si="16"/>
        <v/>
      </c>
      <c r="AN55" s="33" t="str">
        <f t="shared" si="17"/>
        <v/>
      </c>
    </row>
    <row r="56" spans="2:42" s="1" customFormat="1" hidden="1" x14ac:dyDescent="0.25">
      <c r="B56" s="54">
        <v>1390</v>
      </c>
      <c r="C56" s="54" t="s">
        <v>93</v>
      </c>
      <c r="D56" s="54" t="s">
        <v>32</v>
      </c>
      <c r="E56" s="55">
        <v>1930</v>
      </c>
      <c r="F56" s="55" t="s">
        <v>319</v>
      </c>
      <c r="G56" s="27">
        <v>185200</v>
      </c>
      <c r="H56" s="15" t="s">
        <v>176</v>
      </c>
      <c r="I56" s="50" t="s">
        <v>262</v>
      </c>
      <c r="J56" s="116"/>
      <c r="K56" s="27">
        <v>1432521</v>
      </c>
      <c r="L56" s="31">
        <f>LOOKUP($D56,Inputs!$B$46:$B$57,Inputs!C$46:C$57)</f>
        <v>0</v>
      </c>
      <c r="M56" s="31">
        <f>LOOKUP($D56,Inputs!$B$46:$B$57,Inputs!D$46:D$57)</f>
        <v>0.1</v>
      </c>
      <c r="N56" s="31">
        <f>LOOKUP($D56,Inputs!$B$46:$B$57,Inputs!E$46:E$57)</f>
        <v>0.4</v>
      </c>
      <c r="O56" s="31">
        <f>LOOKUP($D56,Inputs!$B$46:$B$57,Inputs!F$46:F$57)</f>
        <v>0.5</v>
      </c>
      <c r="P56" s="13" t="str">
        <f t="shared" si="0"/>
        <v/>
      </c>
      <c r="Q56" s="27">
        <v>16533547.294117646</v>
      </c>
      <c r="R56" s="31">
        <f>LOOKUP($D56,Inputs!$B$46:$B$57,Inputs!G$46:G$57)</f>
        <v>0.6</v>
      </c>
      <c r="S56" s="31">
        <f>LOOKUP($D56,Inputs!$B$46:$B$57,Inputs!H$46:H$57)</f>
        <v>0.4</v>
      </c>
      <c r="T56" s="31">
        <f>LOOKUP($D56,Inputs!$B$46:$B$57,Inputs!I$46:I$57)</f>
        <v>0</v>
      </c>
      <c r="U56" s="31">
        <f>LOOKUP($D56,Inputs!$B$46:$B$57,Inputs!J$46:J$57)</f>
        <v>0</v>
      </c>
      <c r="V56" s="13" t="str">
        <f t="shared" si="1"/>
        <v/>
      </c>
      <c r="X56" s="27">
        <v>1432521</v>
      </c>
      <c r="Y56" s="28">
        <v>0</v>
      </c>
      <c r="Z56" s="28">
        <v>0.1</v>
      </c>
      <c r="AA56" s="28">
        <v>0.4</v>
      </c>
      <c r="AB56" s="28">
        <v>0.5</v>
      </c>
      <c r="AC56" s="28">
        <v>0.6</v>
      </c>
      <c r="AD56" s="28">
        <v>0.4</v>
      </c>
      <c r="AE56" s="28">
        <v>0</v>
      </c>
      <c r="AF56" s="28">
        <v>0</v>
      </c>
      <c r="AG56" s="33" t="str">
        <f t="shared" si="10"/>
        <v/>
      </c>
      <c r="AH56" s="33" t="str">
        <f t="shared" si="11"/>
        <v/>
      </c>
      <c r="AI56" s="33" t="str">
        <f t="shared" si="12"/>
        <v/>
      </c>
      <c r="AJ56" s="33" t="str">
        <f t="shared" si="13"/>
        <v/>
      </c>
      <c r="AK56" s="33" t="str">
        <f t="shared" si="14"/>
        <v/>
      </c>
      <c r="AL56" s="33" t="str">
        <f t="shared" si="15"/>
        <v/>
      </c>
      <c r="AM56" s="33" t="str">
        <f t="shared" si="16"/>
        <v/>
      </c>
      <c r="AN56" s="33" t="str">
        <f t="shared" si="17"/>
        <v/>
      </c>
    </row>
    <row r="57" spans="2:42" hidden="1" x14ac:dyDescent="0.25">
      <c r="B57" s="69">
        <v>1032</v>
      </c>
      <c r="C57" s="54" t="s">
        <v>154</v>
      </c>
      <c r="D57" s="53" t="s">
        <v>28</v>
      </c>
      <c r="E57" s="53">
        <v>2015</v>
      </c>
      <c r="F57" s="55" t="s">
        <v>319</v>
      </c>
      <c r="G57" s="57">
        <v>24000</v>
      </c>
      <c r="H57" s="15" t="s">
        <v>177</v>
      </c>
      <c r="I57" s="50" t="s">
        <v>267</v>
      </c>
      <c r="J57" s="116"/>
      <c r="K57" s="44">
        <f>LOOKUP($D57,Inputs!$B$29:$B$40,Inputs!$E$29:$E$40)*$G57</f>
        <v>1146432</v>
      </c>
      <c r="L57" s="31">
        <f>LOOKUP($D57,Inputs!$B$46:$B$57,Inputs!C$46:C$57)</f>
        <v>0.12</v>
      </c>
      <c r="M57" s="31">
        <f>LOOKUP($D57,Inputs!$B$46:$B$57,Inputs!D$46:D$57)</f>
        <v>0.14000000000000001</v>
      </c>
      <c r="N57" s="31">
        <f>LOOKUP($D57,Inputs!$B$46:$B$57,Inputs!E$46:E$57)</f>
        <v>0.26</v>
      </c>
      <c r="O57" s="31">
        <f>LOOKUP($D57,Inputs!$B$46:$B$57,Inputs!F$46:F$57)</f>
        <v>0.48</v>
      </c>
      <c r="P57" s="13" t="str">
        <f>IF(SUM(L57:O57)=100%,"","FLAG")</f>
        <v/>
      </c>
      <c r="Q57" s="44">
        <f>LOOKUP($D57,Inputs!$B$29:$B$40,Inputs!$F$29:$F$40)*$G57</f>
        <v>2077113.4020618554</v>
      </c>
      <c r="R57" s="31">
        <f>LOOKUP($D57,Inputs!$B$46:$B$57,Inputs!G$46:G$57)</f>
        <v>0.7</v>
      </c>
      <c r="S57" s="31">
        <f>LOOKUP($D57,Inputs!$B$46:$B$57,Inputs!H$46:H$57)</f>
        <v>0.3</v>
      </c>
      <c r="T57" s="31">
        <f>LOOKUP($D57,Inputs!$B$46:$B$57,Inputs!I$46:I$57)</f>
        <v>0</v>
      </c>
      <c r="U57" s="31">
        <f>LOOKUP($D57,Inputs!$B$46:$B$57,Inputs!J$46:J$57)</f>
        <v>0</v>
      </c>
      <c r="V57" s="13" t="str">
        <f>IF(SUM(R57:U57)=100%,"","FLAG")</f>
        <v/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 s="1" customFormat="1" x14ac:dyDescent="0.25">
      <c r="B58" s="54">
        <v>1796</v>
      </c>
      <c r="C58" s="54" t="s">
        <v>94</v>
      </c>
      <c r="D58" s="54" t="s">
        <v>24</v>
      </c>
      <c r="E58" s="55">
        <v>1990</v>
      </c>
      <c r="F58" s="55" t="s">
        <v>319</v>
      </c>
      <c r="G58" s="27">
        <v>153700</v>
      </c>
      <c r="H58" s="15" t="s">
        <v>175</v>
      </c>
      <c r="I58" s="50" t="s">
        <v>258</v>
      </c>
      <c r="J58" s="116"/>
      <c r="K58" s="27">
        <v>7630965</v>
      </c>
      <c r="L58" s="31">
        <f>LOOKUP($D58,Inputs!$B$46:$B$57,Inputs!C$46:C$57)</f>
        <v>0.25</v>
      </c>
      <c r="M58" s="31">
        <f>LOOKUP($D58,Inputs!$B$46:$B$57,Inputs!D$46:D$57)</f>
        <v>0.35</v>
      </c>
      <c r="N58" s="31">
        <f>LOOKUP($D58,Inputs!$B$46:$B$57,Inputs!E$46:E$57)</f>
        <v>0.18</v>
      </c>
      <c r="O58" s="31">
        <f>LOOKUP($D58,Inputs!$B$46:$B$57,Inputs!F$46:F$57)</f>
        <v>0.22</v>
      </c>
      <c r="P58" s="13" t="str">
        <f t="shared" si="0"/>
        <v/>
      </c>
      <c r="Q58" s="27">
        <v>48872025.431372553</v>
      </c>
      <c r="R58" s="31">
        <f>LOOKUP($D58,Inputs!$B$46:$B$57,Inputs!G$46:G$57)*(1-$U58)</f>
        <v>0.55999999999999994</v>
      </c>
      <c r="S58" s="31">
        <f>LOOKUP($D58,Inputs!$B$46:$B$57,Inputs!H$46:H$57)*(1-$U58)</f>
        <v>0.24</v>
      </c>
      <c r="T58" s="31">
        <f>LOOKUP($D58,Inputs!$B$46:$B$57,Inputs!I$46:I$57)*(1-$U58)</f>
        <v>0</v>
      </c>
      <c r="U58" s="25">
        <v>0.2</v>
      </c>
      <c r="V58" s="13" t="str">
        <f t="shared" si="1"/>
        <v/>
      </c>
      <c r="X58" s="27">
        <v>7630965</v>
      </c>
      <c r="Y58" s="28">
        <v>0.25</v>
      </c>
      <c r="Z58" s="28">
        <v>0.35</v>
      </c>
      <c r="AA58" s="28">
        <v>0.18</v>
      </c>
      <c r="AB58" s="28">
        <v>0.22</v>
      </c>
      <c r="AC58" s="28">
        <v>0.55999999999999994</v>
      </c>
      <c r="AD58" s="28">
        <v>0.24</v>
      </c>
      <c r="AE58" s="28">
        <v>0</v>
      </c>
      <c r="AF58" s="28">
        <v>0.2</v>
      </c>
      <c r="AG58" s="33" t="str">
        <f t="shared" si="10"/>
        <v/>
      </c>
      <c r="AH58" s="33" t="str">
        <f t="shared" si="11"/>
        <v/>
      </c>
      <c r="AI58" s="33" t="str">
        <f t="shared" si="12"/>
        <v/>
      </c>
      <c r="AJ58" s="33" t="str">
        <f t="shared" si="13"/>
        <v/>
      </c>
      <c r="AK58" s="33" t="str">
        <f t="shared" si="14"/>
        <v/>
      </c>
      <c r="AL58" s="33" t="str">
        <f t="shared" si="15"/>
        <v/>
      </c>
      <c r="AM58" s="33" t="str">
        <f t="shared" si="16"/>
        <v/>
      </c>
      <c r="AN58" s="33" t="str">
        <f t="shared" si="17"/>
        <v/>
      </c>
    </row>
    <row r="59" spans="2:42" s="1" customFormat="1" hidden="1" x14ac:dyDescent="0.25">
      <c r="B59" s="54">
        <v>1486</v>
      </c>
      <c r="C59" s="54" t="s">
        <v>95</v>
      </c>
      <c r="D59" s="54" t="s">
        <v>26</v>
      </c>
      <c r="E59" s="55">
        <v>1959</v>
      </c>
      <c r="F59" s="55" t="s">
        <v>319</v>
      </c>
      <c r="G59" s="27">
        <v>117814</v>
      </c>
      <c r="H59" s="15" t="s">
        <v>176</v>
      </c>
      <c r="I59" s="50" t="s">
        <v>271</v>
      </c>
      <c r="J59" s="116"/>
      <c r="K59" s="27">
        <v>682886</v>
      </c>
      <c r="L59" s="31">
        <f>LOOKUP($D59,Inputs!$B$46:$B$57,Inputs!C$46:C$57)</f>
        <v>0.26</v>
      </c>
      <c r="M59" s="31">
        <f>LOOKUP($D59,Inputs!$B$46:$B$57,Inputs!D$46:D$57)</f>
        <v>0.23</v>
      </c>
      <c r="N59" s="31">
        <f>LOOKUP($D59,Inputs!$B$46:$B$57,Inputs!E$46:E$57)</f>
        <v>0.26</v>
      </c>
      <c r="O59" s="31">
        <f>LOOKUP($D59,Inputs!$B$46:$B$57,Inputs!F$46:F$57)</f>
        <v>0.25</v>
      </c>
      <c r="P59" s="13" t="str">
        <f t="shared" si="0"/>
        <v/>
      </c>
      <c r="Q59" s="27">
        <v>4351656.2235294124</v>
      </c>
      <c r="R59" s="31">
        <f>LOOKUP($D59,Inputs!$B$46:$B$57,Inputs!G$46:G$57)</f>
        <v>0.8</v>
      </c>
      <c r="S59" s="31">
        <f>LOOKUP($D59,Inputs!$B$46:$B$57,Inputs!H$46:H$57)</f>
        <v>0.2</v>
      </c>
      <c r="T59" s="31">
        <f>LOOKUP($D59,Inputs!$B$46:$B$57,Inputs!I$46:I$57)</f>
        <v>0</v>
      </c>
      <c r="U59" s="31">
        <f>LOOKUP($D59,Inputs!$B$46:$B$57,Inputs!J$46:J$57)</f>
        <v>0</v>
      </c>
      <c r="V59" s="13" t="str">
        <f t="shared" si="1"/>
        <v/>
      </c>
      <c r="X59" s="27">
        <v>682886</v>
      </c>
      <c r="Y59" s="28">
        <v>0.26</v>
      </c>
      <c r="Z59" s="28">
        <v>0.23</v>
      </c>
      <c r="AA59" s="28">
        <v>0.26</v>
      </c>
      <c r="AB59" s="28">
        <v>0.25</v>
      </c>
      <c r="AC59" s="28">
        <v>0.8</v>
      </c>
      <c r="AD59" s="28">
        <v>0.2</v>
      </c>
      <c r="AE59" s="28">
        <v>0</v>
      </c>
      <c r="AF59" s="28">
        <v>0</v>
      </c>
      <c r="AG59" s="33" t="str">
        <f t="shared" si="10"/>
        <v/>
      </c>
      <c r="AH59" s="33" t="str">
        <f t="shared" si="11"/>
        <v/>
      </c>
      <c r="AI59" s="33" t="str">
        <f t="shared" si="12"/>
        <v/>
      </c>
      <c r="AJ59" s="33" t="str">
        <f t="shared" si="13"/>
        <v/>
      </c>
      <c r="AK59" s="33" t="str">
        <f t="shared" si="14"/>
        <v/>
      </c>
      <c r="AL59" s="33" t="str">
        <f t="shared" si="15"/>
        <v/>
      </c>
      <c r="AM59" s="33" t="str">
        <f t="shared" si="16"/>
        <v/>
      </c>
      <c r="AN59" s="33" t="str">
        <f t="shared" si="17"/>
        <v/>
      </c>
    </row>
    <row r="60" spans="2:42" hidden="1" x14ac:dyDescent="0.25">
      <c r="B60" s="54">
        <v>1782</v>
      </c>
      <c r="C60" s="54" t="s">
        <v>96</v>
      </c>
      <c r="D60" s="54" t="s">
        <v>25</v>
      </c>
      <c r="E60" s="55">
        <v>1963</v>
      </c>
      <c r="F60" s="55" t="s">
        <v>319</v>
      </c>
      <c r="G60" s="27">
        <v>182943</v>
      </c>
      <c r="H60" s="15" t="s">
        <v>177</v>
      </c>
      <c r="I60" s="50" t="s">
        <v>270</v>
      </c>
      <c r="J60" s="116"/>
      <c r="K60" s="27">
        <v>5647091.8417820409</v>
      </c>
      <c r="L60" s="25">
        <v>0.01</v>
      </c>
      <c r="M60" s="25">
        <v>0.46199999999999997</v>
      </c>
      <c r="N60" s="25">
        <v>0.23759999999999998</v>
      </c>
      <c r="O60" s="25">
        <v>0.29039999999999999</v>
      </c>
      <c r="P60" s="13" t="str">
        <f t="shared" si="0"/>
        <v/>
      </c>
      <c r="Q60" s="27">
        <v>58744170</v>
      </c>
      <c r="R60" s="31">
        <f>LOOKUP($D60,Inputs!$B$46:$B$57,Inputs!G$46:G$57)*(1-$U60-$T60)</f>
        <v>0.38500000000000001</v>
      </c>
      <c r="S60" s="31">
        <f>LOOKUP($D60,Inputs!$B$46:$B$57,Inputs!H$46:H$57)*(1-$U60-$T60)</f>
        <v>0.16500000000000001</v>
      </c>
      <c r="T60" s="25">
        <v>0.25</v>
      </c>
      <c r="U60" s="25">
        <v>0.2</v>
      </c>
      <c r="V60" s="13" t="str">
        <f t="shared" si="1"/>
        <v/>
      </c>
      <c r="W60" s="1"/>
      <c r="X60" s="27">
        <v>5647091.8417820409</v>
      </c>
      <c r="Y60" s="28">
        <v>0.01</v>
      </c>
      <c r="Z60" s="28">
        <v>0.46199999999999997</v>
      </c>
      <c r="AA60" s="28">
        <v>0.23759999999999998</v>
      </c>
      <c r="AB60" s="28">
        <v>0.29039999999999999</v>
      </c>
      <c r="AC60" s="28">
        <v>0.38500000000000001</v>
      </c>
      <c r="AD60" s="28">
        <v>0.16500000000000001</v>
      </c>
      <c r="AE60" s="28">
        <v>0.25</v>
      </c>
      <c r="AF60" s="28">
        <v>0.2</v>
      </c>
      <c r="AG60" s="33" t="str">
        <f t="shared" si="10"/>
        <v/>
      </c>
      <c r="AH60" s="33" t="str">
        <f t="shared" si="11"/>
        <v/>
      </c>
      <c r="AI60" s="33" t="str">
        <f t="shared" si="12"/>
        <v/>
      </c>
      <c r="AJ60" s="33" t="str">
        <f t="shared" si="13"/>
        <v/>
      </c>
      <c r="AK60" s="33" t="str">
        <f t="shared" si="14"/>
        <v/>
      </c>
      <c r="AL60" s="33" t="str">
        <f t="shared" si="15"/>
        <v/>
      </c>
      <c r="AM60" s="33" t="str">
        <f t="shared" si="16"/>
        <v/>
      </c>
      <c r="AN60" s="33" t="str">
        <f t="shared" si="17"/>
        <v/>
      </c>
      <c r="AO60" s="1"/>
    </row>
    <row r="61" spans="2:42" s="1" customFormat="1" hidden="1" x14ac:dyDescent="0.25">
      <c r="B61" s="54">
        <v>1405</v>
      </c>
      <c r="C61" s="54" t="s">
        <v>97</v>
      </c>
      <c r="D61" s="54" t="s">
        <v>30</v>
      </c>
      <c r="E61" s="55">
        <v>1924</v>
      </c>
      <c r="F61" s="55" t="s">
        <v>319</v>
      </c>
      <c r="G61" s="27">
        <v>148032</v>
      </c>
      <c r="H61" s="15" t="s">
        <v>177</v>
      </c>
      <c r="I61" s="50" t="s">
        <v>261</v>
      </c>
      <c r="J61" s="116"/>
      <c r="K61" s="27">
        <v>1291089</v>
      </c>
      <c r="L61" s="31">
        <f>LOOKUP($D61,Inputs!$B$46:$B$57,Inputs!C$46:C$57)</f>
        <v>0.16</v>
      </c>
      <c r="M61" s="31">
        <f>LOOKUP($D61,Inputs!$B$46:$B$57,Inputs!D$46:D$57)</f>
        <v>0.16333333333333333</v>
      </c>
      <c r="N61" s="31">
        <f>LOOKUP($D61,Inputs!$B$46:$B$57,Inputs!E$46:E$57)</f>
        <v>0.24666666666666667</v>
      </c>
      <c r="O61" s="31">
        <f>LOOKUP($D61,Inputs!$B$46:$B$57,Inputs!F$46:F$57)</f>
        <v>0.42999999999999994</v>
      </c>
      <c r="P61" s="13" t="str">
        <f t="shared" si="0"/>
        <v/>
      </c>
      <c r="Q61" s="27">
        <v>11246713.342603857</v>
      </c>
      <c r="R61" s="31">
        <f>LOOKUP($D61,Inputs!$B$46:$B$57,Inputs!G$46:G$57)</f>
        <v>0.76666666666666661</v>
      </c>
      <c r="S61" s="31">
        <f>LOOKUP($D61,Inputs!$B$46:$B$57,Inputs!H$46:H$57)</f>
        <v>0.23333333333333331</v>
      </c>
      <c r="T61" s="31">
        <f>LOOKUP($D61,Inputs!$B$46:$B$57,Inputs!I$46:I$57)</f>
        <v>0</v>
      </c>
      <c r="U61" s="31">
        <f>LOOKUP($D61,Inputs!$B$46:$B$57,Inputs!J$46:J$57)</f>
        <v>0</v>
      </c>
      <c r="V61" s="13" t="str">
        <f t="shared" si="1"/>
        <v/>
      </c>
      <c r="X61" s="27">
        <v>1291089</v>
      </c>
      <c r="Y61" s="28">
        <v>0.3949579831932773</v>
      </c>
      <c r="Z61" s="28">
        <v>0.13025210084033612</v>
      </c>
      <c r="AA61" s="28">
        <v>0.15126050420168063</v>
      </c>
      <c r="AB61" s="28">
        <v>0.32352941176470584</v>
      </c>
      <c r="AC61" s="28">
        <v>0.7</v>
      </c>
      <c r="AD61" s="28">
        <v>0.3</v>
      </c>
      <c r="AE61" s="28">
        <v>0</v>
      </c>
      <c r="AF61" s="28">
        <v>0</v>
      </c>
      <c r="AG61" s="33" t="str">
        <f t="shared" si="10"/>
        <v>FLAG</v>
      </c>
      <c r="AH61" s="33" t="str">
        <f t="shared" si="11"/>
        <v>FLAG</v>
      </c>
      <c r="AI61" s="33" t="str">
        <f t="shared" si="12"/>
        <v>FLAG</v>
      </c>
      <c r="AJ61" s="33" t="str">
        <f t="shared" si="13"/>
        <v>FLAG</v>
      </c>
      <c r="AK61" s="33" t="str">
        <f t="shared" si="14"/>
        <v>FLAG</v>
      </c>
      <c r="AL61" s="33" t="str">
        <f t="shared" si="15"/>
        <v>FLAG</v>
      </c>
      <c r="AM61" s="33" t="str">
        <f t="shared" si="16"/>
        <v/>
      </c>
      <c r="AN61" s="33" t="str">
        <f t="shared" si="17"/>
        <v/>
      </c>
    </row>
    <row r="62" spans="2:42" s="1" customFormat="1" hidden="1" x14ac:dyDescent="0.25">
      <c r="B62" s="54">
        <v>1292</v>
      </c>
      <c r="C62" s="54" t="s">
        <v>98</v>
      </c>
      <c r="D62" s="54" t="s">
        <v>25</v>
      </c>
      <c r="E62" s="55">
        <v>1948</v>
      </c>
      <c r="F62" s="55">
        <v>2028</v>
      </c>
      <c r="G62" s="27">
        <v>68146</v>
      </c>
      <c r="H62" s="15" t="s">
        <v>177</v>
      </c>
      <c r="I62" s="50" t="s">
        <v>270</v>
      </c>
      <c r="J62" s="116"/>
      <c r="K62" s="27">
        <v>1568177</v>
      </c>
      <c r="L62" s="31">
        <f>LOOKUP($D62,Inputs!$B$46:$B$57,Inputs!C$46:C$57)</f>
        <v>0.25</v>
      </c>
      <c r="M62" s="31">
        <f>LOOKUP($D62,Inputs!$B$46:$B$57,Inputs!D$46:D$57)</f>
        <v>0.35</v>
      </c>
      <c r="N62" s="31">
        <f>LOOKUP($D62,Inputs!$B$46:$B$57,Inputs!E$46:E$57)</f>
        <v>0.18</v>
      </c>
      <c r="O62" s="31">
        <f>LOOKUP($D62,Inputs!$B$46:$B$57,Inputs!F$46:F$57)</f>
        <v>0.22</v>
      </c>
      <c r="P62" s="13" t="str">
        <f t="shared" si="0"/>
        <v/>
      </c>
      <c r="Q62" s="27">
        <v>8628973.5490196086</v>
      </c>
      <c r="R62" s="31">
        <f>LOOKUP($D62,Inputs!$B$46:$B$57,Inputs!G$46:G$57)*(1-$U62)</f>
        <v>0.55999999999999994</v>
      </c>
      <c r="S62" s="31">
        <f>LOOKUP($D62,Inputs!$B$46:$B$57,Inputs!H$46:H$57)*(1-$U62)</f>
        <v>0.24</v>
      </c>
      <c r="T62" s="31">
        <f>LOOKUP($D62,Inputs!$B$46:$B$57,Inputs!I$46:I$57)*(1-$U62)</f>
        <v>0</v>
      </c>
      <c r="U62" s="25">
        <v>0.2</v>
      </c>
      <c r="V62" s="13" t="str">
        <f t="shared" si="1"/>
        <v/>
      </c>
      <c r="X62" s="27">
        <v>1568177</v>
      </c>
      <c r="Y62" s="28">
        <v>0.25</v>
      </c>
      <c r="Z62" s="28">
        <v>0.35</v>
      </c>
      <c r="AA62" s="28">
        <v>0.18</v>
      </c>
      <c r="AB62" s="28">
        <v>0.22</v>
      </c>
      <c r="AC62" s="28">
        <v>0.55999999999999994</v>
      </c>
      <c r="AD62" s="28">
        <v>0.24</v>
      </c>
      <c r="AE62" s="28">
        <v>0</v>
      </c>
      <c r="AF62" s="28">
        <v>0.2</v>
      </c>
      <c r="AG62" s="33" t="str">
        <f t="shared" si="10"/>
        <v/>
      </c>
      <c r="AH62" s="33" t="str">
        <f t="shared" si="11"/>
        <v/>
      </c>
      <c r="AI62" s="33" t="str">
        <f t="shared" si="12"/>
        <v/>
      </c>
      <c r="AJ62" s="33" t="str">
        <f t="shared" si="13"/>
        <v/>
      </c>
      <c r="AK62" s="33" t="str">
        <f t="shared" si="14"/>
        <v/>
      </c>
      <c r="AL62" s="33" t="str">
        <f t="shared" si="15"/>
        <v/>
      </c>
      <c r="AM62" s="33" t="str">
        <f t="shared" si="16"/>
        <v/>
      </c>
      <c r="AN62" s="33" t="str">
        <f t="shared" si="17"/>
        <v/>
      </c>
    </row>
    <row r="63" spans="2:42" s="1" customFormat="1" x14ac:dyDescent="0.25">
      <c r="B63" s="54">
        <v>1444</v>
      </c>
      <c r="C63" s="54" t="s">
        <v>99</v>
      </c>
      <c r="D63" s="54" t="s">
        <v>24</v>
      </c>
      <c r="E63" s="55">
        <v>2011</v>
      </c>
      <c r="F63" s="55" t="s">
        <v>319</v>
      </c>
      <c r="G63" s="27">
        <v>220703</v>
      </c>
      <c r="H63" s="15" t="s">
        <v>175</v>
      </c>
      <c r="I63" s="50" t="s">
        <v>269</v>
      </c>
      <c r="J63" s="116"/>
      <c r="K63" s="27">
        <v>10551319</v>
      </c>
      <c r="L63" s="31">
        <f>LOOKUP($D63,Inputs!$B$46:$B$57,Inputs!C$46:C$57)</f>
        <v>0.25</v>
      </c>
      <c r="M63" s="31">
        <f>LOOKUP($D63,Inputs!$B$46:$B$57,Inputs!D$46:D$57)</f>
        <v>0.35</v>
      </c>
      <c r="N63" s="31">
        <f>LOOKUP($D63,Inputs!$B$46:$B$57,Inputs!E$46:E$57)</f>
        <v>0.18</v>
      </c>
      <c r="O63" s="31">
        <f>LOOKUP($D63,Inputs!$B$46:$B$57,Inputs!F$46:F$57)</f>
        <v>0.22</v>
      </c>
      <c r="P63" s="13" t="str">
        <f t="shared" si="0"/>
        <v/>
      </c>
      <c r="Q63" s="27">
        <v>163657759.35354853</v>
      </c>
      <c r="R63" s="31">
        <f>LOOKUP($D63,Inputs!$B$46:$B$57,Inputs!G$46:G$57)*(1-$U63)</f>
        <v>0.55999999999999994</v>
      </c>
      <c r="S63" s="31">
        <f>LOOKUP($D63,Inputs!$B$46:$B$57,Inputs!H$46:H$57)*(1-$U63)</f>
        <v>0.24</v>
      </c>
      <c r="T63" s="31">
        <f>LOOKUP($D63,Inputs!$B$46:$B$57,Inputs!I$46:I$57)*(1-$U63)</f>
        <v>0</v>
      </c>
      <c r="U63" s="25">
        <v>0.2</v>
      </c>
      <c r="V63" s="13" t="str">
        <f t="shared" si="1"/>
        <v/>
      </c>
      <c r="X63" s="27">
        <v>10551319</v>
      </c>
      <c r="Y63" s="28">
        <v>0.25</v>
      </c>
      <c r="Z63" s="28">
        <v>0.35</v>
      </c>
      <c r="AA63" s="28">
        <v>0.18</v>
      </c>
      <c r="AB63" s="28">
        <v>0.22</v>
      </c>
      <c r="AC63" s="28">
        <v>0.55999999999999994</v>
      </c>
      <c r="AD63" s="28">
        <v>0.24</v>
      </c>
      <c r="AE63" s="28">
        <v>0</v>
      </c>
      <c r="AF63" s="28">
        <v>0.2</v>
      </c>
      <c r="AG63" s="33" t="str">
        <f t="shared" si="10"/>
        <v/>
      </c>
      <c r="AH63" s="33" t="str">
        <f t="shared" si="11"/>
        <v/>
      </c>
      <c r="AI63" s="33" t="str">
        <f t="shared" si="12"/>
        <v/>
      </c>
      <c r="AJ63" s="33" t="str">
        <f t="shared" si="13"/>
        <v/>
      </c>
      <c r="AK63" s="33" t="str">
        <f t="shared" si="14"/>
        <v/>
      </c>
      <c r="AL63" s="33" t="str">
        <f t="shared" si="15"/>
        <v/>
      </c>
      <c r="AM63" s="33" t="str">
        <f t="shared" si="16"/>
        <v/>
      </c>
      <c r="AN63" s="33" t="str">
        <f t="shared" si="17"/>
        <v/>
      </c>
    </row>
    <row r="64" spans="2:42" s="1" customFormat="1" hidden="1" x14ac:dyDescent="0.25">
      <c r="B64" s="54">
        <v>1225</v>
      </c>
      <c r="C64" s="54" t="s">
        <v>100</v>
      </c>
      <c r="D64" s="54" t="s">
        <v>24</v>
      </c>
      <c r="E64" s="55">
        <v>1988</v>
      </c>
      <c r="F64" s="55" t="s">
        <v>319</v>
      </c>
      <c r="G64" s="27">
        <v>201824</v>
      </c>
      <c r="H64" s="15" t="s">
        <v>177</v>
      </c>
      <c r="I64" s="50" t="s">
        <v>273</v>
      </c>
      <c r="J64" s="116"/>
      <c r="K64" s="27">
        <v>7404877</v>
      </c>
      <c r="L64" s="31">
        <f>LOOKUP($D64,Inputs!$B$46:$B$57,Inputs!C$46:C$57)</f>
        <v>0.25</v>
      </c>
      <c r="M64" s="31">
        <f>LOOKUP($D64,Inputs!$B$46:$B$57,Inputs!D$46:D$57)</f>
        <v>0.35</v>
      </c>
      <c r="N64" s="31">
        <f>LOOKUP($D64,Inputs!$B$46:$B$57,Inputs!E$46:E$57)</f>
        <v>0.18</v>
      </c>
      <c r="O64" s="31">
        <f>LOOKUP($D64,Inputs!$B$46:$B$57,Inputs!F$46:F$57)</f>
        <v>0.22</v>
      </c>
      <c r="P64" s="13" t="str">
        <f t="shared" si="0"/>
        <v/>
      </c>
      <c r="Q64" s="27">
        <v>149658426.13725492</v>
      </c>
      <c r="R64" s="31">
        <f>LOOKUP($D64,Inputs!$B$46:$B$57,Inputs!G$46:G$57)*(1-$U64)</f>
        <v>0.55999999999999994</v>
      </c>
      <c r="S64" s="31">
        <f>LOOKUP($D64,Inputs!$B$46:$B$57,Inputs!H$46:H$57)*(1-$U64)</f>
        <v>0.24</v>
      </c>
      <c r="T64" s="31">
        <f>LOOKUP($D64,Inputs!$B$46:$B$57,Inputs!I$46:I$57)*(1-$U64)</f>
        <v>0</v>
      </c>
      <c r="U64" s="25">
        <v>0.2</v>
      </c>
      <c r="V64" s="13" t="str">
        <f t="shared" si="1"/>
        <v/>
      </c>
      <c r="X64" s="27">
        <v>7404877</v>
      </c>
      <c r="Y64" s="28">
        <v>0.25</v>
      </c>
      <c r="Z64" s="28">
        <v>0.35</v>
      </c>
      <c r="AA64" s="28">
        <v>0.18</v>
      </c>
      <c r="AB64" s="28">
        <v>0.22</v>
      </c>
      <c r="AC64" s="28">
        <v>0.55999999999999994</v>
      </c>
      <c r="AD64" s="28">
        <v>0.24</v>
      </c>
      <c r="AE64" s="28">
        <v>0</v>
      </c>
      <c r="AF64" s="28">
        <v>0.2</v>
      </c>
      <c r="AG64" s="33" t="str">
        <f t="shared" si="10"/>
        <v/>
      </c>
      <c r="AH64" s="33" t="str">
        <f t="shared" si="11"/>
        <v/>
      </c>
      <c r="AI64" s="33" t="str">
        <f t="shared" si="12"/>
        <v/>
      </c>
      <c r="AJ64" s="33" t="str">
        <f t="shared" si="13"/>
        <v/>
      </c>
      <c r="AK64" s="33" t="str">
        <f t="shared" si="14"/>
        <v/>
      </c>
      <c r="AL64" s="33" t="str">
        <f t="shared" si="15"/>
        <v/>
      </c>
      <c r="AM64" s="33" t="str">
        <f t="shared" si="16"/>
        <v/>
      </c>
      <c r="AN64" s="33" t="str">
        <f t="shared" si="17"/>
        <v/>
      </c>
    </row>
    <row r="65" spans="2:41" s="1" customFormat="1" hidden="1" x14ac:dyDescent="0.25">
      <c r="B65" s="54">
        <v>1762</v>
      </c>
      <c r="C65" s="54" t="s">
        <v>101</v>
      </c>
      <c r="D65" s="54" t="s">
        <v>30</v>
      </c>
      <c r="E65" s="55">
        <v>1961</v>
      </c>
      <c r="F65" s="55" t="s">
        <v>319</v>
      </c>
      <c r="G65" s="27">
        <v>123612</v>
      </c>
      <c r="H65" s="15" t="s">
        <v>177</v>
      </c>
      <c r="I65" s="50" t="s">
        <v>268</v>
      </c>
      <c r="J65" s="116"/>
      <c r="K65" s="27">
        <v>1697015</v>
      </c>
      <c r="L65" s="31">
        <f>LOOKUP($D65,Inputs!$B$46:$B$57,Inputs!C$46:C$57)</f>
        <v>0.16</v>
      </c>
      <c r="M65" s="31">
        <f>LOOKUP($D65,Inputs!$B$46:$B$57,Inputs!D$46:D$57)</f>
        <v>0.16333333333333333</v>
      </c>
      <c r="N65" s="31">
        <f>LOOKUP($D65,Inputs!$B$46:$B$57,Inputs!E$46:E$57)</f>
        <v>0.24666666666666667</v>
      </c>
      <c r="O65" s="31">
        <f>LOOKUP($D65,Inputs!$B$46:$B$57,Inputs!F$46:F$57)</f>
        <v>0.42999999999999994</v>
      </c>
      <c r="P65" s="13" t="str">
        <f t="shared" si="0"/>
        <v/>
      </c>
      <c r="Q65" s="27">
        <v>8664717.8588235285</v>
      </c>
      <c r="R65" s="31">
        <f>LOOKUP($D65,Inputs!$B$46:$B$57,Inputs!G$46:G$57)</f>
        <v>0.76666666666666661</v>
      </c>
      <c r="S65" s="31">
        <f>LOOKUP($D65,Inputs!$B$46:$B$57,Inputs!H$46:H$57)</f>
        <v>0.23333333333333331</v>
      </c>
      <c r="T65" s="31">
        <f>LOOKUP($D65,Inputs!$B$46:$B$57,Inputs!I$46:I$57)</f>
        <v>0</v>
      </c>
      <c r="U65" s="31">
        <f>LOOKUP($D65,Inputs!$B$46:$B$57,Inputs!J$46:J$57)</f>
        <v>0</v>
      </c>
      <c r="V65" s="13" t="str">
        <f t="shared" si="1"/>
        <v/>
      </c>
      <c r="X65" s="27">
        <v>1697015</v>
      </c>
      <c r="Y65" s="28">
        <v>0.3949579831932773</v>
      </c>
      <c r="Z65" s="28">
        <v>0.13025210084033612</v>
      </c>
      <c r="AA65" s="28">
        <v>0.15126050420168063</v>
      </c>
      <c r="AB65" s="28">
        <v>0.32352941176470584</v>
      </c>
      <c r="AC65" s="28">
        <v>0.7</v>
      </c>
      <c r="AD65" s="28">
        <v>0.3</v>
      </c>
      <c r="AE65" s="28">
        <v>0</v>
      </c>
      <c r="AF65" s="28">
        <v>0</v>
      </c>
      <c r="AG65" s="33" t="str">
        <f t="shared" si="10"/>
        <v>FLAG</v>
      </c>
      <c r="AH65" s="33" t="str">
        <f t="shared" si="11"/>
        <v>FLAG</v>
      </c>
      <c r="AI65" s="33" t="str">
        <f t="shared" si="12"/>
        <v>FLAG</v>
      </c>
      <c r="AJ65" s="33" t="str">
        <f t="shared" si="13"/>
        <v>FLAG</v>
      </c>
      <c r="AK65" s="33" t="str">
        <f t="shared" si="14"/>
        <v>FLAG</v>
      </c>
      <c r="AL65" s="33" t="str">
        <f t="shared" si="15"/>
        <v>FLAG</v>
      </c>
      <c r="AM65" s="33" t="str">
        <f t="shared" si="16"/>
        <v/>
      </c>
      <c r="AN65" s="33" t="str">
        <f t="shared" si="17"/>
        <v/>
      </c>
    </row>
    <row r="66" spans="2:41" hidden="1" x14ac:dyDescent="0.25">
      <c r="B66" s="54">
        <v>1321</v>
      </c>
      <c r="C66" s="54" t="s">
        <v>102</v>
      </c>
      <c r="D66" s="54" t="s">
        <v>21</v>
      </c>
      <c r="E66" s="55">
        <v>1931</v>
      </c>
      <c r="F66" s="55" t="s">
        <v>319</v>
      </c>
      <c r="G66" s="27">
        <v>49388</v>
      </c>
      <c r="H66" s="15" t="s">
        <v>177</v>
      </c>
      <c r="I66" s="50" t="s">
        <v>268</v>
      </c>
      <c r="J66" s="116"/>
      <c r="K66" s="27">
        <v>262494</v>
      </c>
      <c r="L66" s="31">
        <f>LOOKUP($D66,Inputs!$B$46:$B$57,Inputs!C$46:C$57)</f>
        <v>0.1</v>
      </c>
      <c r="M66" s="31">
        <f>LOOKUP($D66,Inputs!$B$46:$B$57,Inputs!D$46:D$57)</f>
        <v>0.12</v>
      </c>
      <c r="N66" s="31">
        <f>LOOKUP($D66,Inputs!$B$46:$B$57,Inputs!E$46:E$57)</f>
        <v>0.22</v>
      </c>
      <c r="O66" s="31">
        <f>LOOKUP($D66,Inputs!$B$46:$B$57,Inputs!F$46:F$57)</f>
        <v>0.56000000000000005</v>
      </c>
      <c r="P66" s="13" t="str">
        <f t="shared" si="0"/>
        <v/>
      </c>
      <c r="Q66" s="27">
        <v>3461905.6856258009</v>
      </c>
      <c r="R66" s="31">
        <f>LOOKUP($D66,Inputs!$B$46:$B$57,Inputs!G$46:G$57)</f>
        <v>0.8</v>
      </c>
      <c r="S66" s="31">
        <f>LOOKUP($D66,Inputs!$B$46:$B$57,Inputs!H$46:H$57)</f>
        <v>0.2</v>
      </c>
      <c r="T66" s="31">
        <f>LOOKUP($D66,Inputs!$B$46:$B$57,Inputs!I$46:I$57)</f>
        <v>0</v>
      </c>
      <c r="U66" s="31">
        <f>LOOKUP($D66,Inputs!$B$46:$B$57,Inputs!J$46:J$57)</f>
        <v>0</v>
      </c>
      <c r="V66" s="13" t="str">
        <f t="shared" si="1"/>
        <v/>
      </c>
      <c r="W66" s="1"/>
      <c r="X66" s="27">
        <v>262494</v>
      </c>
      <c r="Y66" s="28">
        <v>0.1</v>
      </c>
      <c r="Z66" s="28">
        <v>0.12</v>
      </c>
      <c r="AA66" s="28">
        <v>0.22</v>
      </c>
      <c r="AB66" s="28">
        <v>0.56000000000000005</v>
      </c>
      <c r="AC66" s="28">
        <v>0.8</v>
      </c>
      <c r="AD66" s="28">
        <v>0.2</v>
      </c>
      <c r="AE66" s="28">
        <v>0</v>
      </c>
      <c r="AF66" s="28">
        <v>0</v>
      </c>
      <c r="AG66" s="33" t="str">
        <f t="shared" si="10"/>
        <v/>
      </c>
      <c r="AH66" s="33" t="str">
        <f t="shared" si="11"/>
        <v/>
      </c>
      <c r="AI66" s="33" t="str">
        <f t="shared" si="12"/>
        <v/>
      </c>
      <c r="AJ66" s="33" t="str">
        <f t="shared" si="13"/>
        <v/>
      </c>
      <c r="AK66" s="33" t="str">
        <f t="shared" si="14"/>
        <v/>
      </c>
      <c r="AL66" s="33" t="str">
        <f t="shared" si="15"/>
        <v/>
      </c>
      <c r="AM66" s="33" t="str">
        <f t="shared" si="16"/>
        <v/>
      </c>
      <c r="AN66" s="33" t="str">
        <f t="shared" si="17"/>
        <v/>
      </c>
      <c r="AO66" s="1"/>
    </row>
    <row r="67" spans="2:41" s="1" customFormat="1" hidden="1" x14ac:dyDescent="0.25">
      <c r="B67" s="42" t="s">
        <v>103</v>
      </c>
      <c r="C67" s="54" t="s">
        <v>104</v>
      </c>
      <c r="D67" s="54" t="s">
        <v>30</v>
      </c>
      <c r="E67" s="55">
        <v>1941</v>
      </c>
      <c r="F67" s="55" t="s">
        <v>319</v>
      </c>
      <c r="G67" s="27">
        <v>46204</v>
      </c>
      <c r="H67" s="15" t="s">
        <v>176</v>
      </c>
      <c r="I67" s="50" t="s">
        <v>265</v>
      </c>
      <c r="J67" s="116"/>
      <c r="K67" s="27">
        <v>58723</v>
      </c>
      <c r="L67" s="31">
        <f>LOOKUP($D67,Inputs!$B$46:$B$57,Inputs!C$46:C$57)</f>
        <v>0.16</v>
      </c>
      <c r="M67" s="31">
        <f>LOOKUP($D67,Inputs!$B$46:$B$57,Inputs!D$46:D$57)</f>
        <v>0.16333333333333333</v>
      </c>
      <c r="N67" s="31">
        <f>LOOKUP($D67,Inputs!$B$46:$B$57,Inputs!E$46:E$57)</f>
        <v>0.24666666666666667</v>
      </c>
      <c r="O67" s="31">
        <f>LOOKUP($D67,Inputs!$B$46:$B$57,Inputs!F$46:F$57)</f>
        <v>0.42999999999999994</v>
      </c>
      <c r="P67" s="13" t="str">
        <f t="shared" si="0"/>
        <v/>
      </c>
      <c r="Q67" s="27">
        <v>48477142.235294119</v>
      </c>
      <c r="R67" s="31">
        <f>LOOKUP($D67,Inputs!$B$46:$B$57,Inputs!G$46:G$57)*(1-$U67)</f>
        <v>0.61333333333333329</v>
      </c>
      <c r="S67" s="31">
        <f>LOOKUP($D67,Inputs!$B$46:$B$57,Inputs!H$46:H$57)*(1-$U67)</f>
        <v>0.18666666666666665</v>
      </c>
      <c r="T67" s="31">
        <f>LOOKUP($D67,Inputs!$B$46:$B$57,Inputs!I$46:I$57)*(1-$U67)</f>
        <v>0</v>
      </c>
      <c r="U67" s="25">
        <v>0.2</v>
      </c>
      <c r="V67" s="13" t="str">
        <f t="shared" si="1"/>
        <v/>
      </c>
      <c r="X67" s="27">
        <v>58723</v>
      </c>
      <c r="Y67" s="28">
        <v>0.3949579831932773</v>
      </c>
      <c r="Z67" s="28">
        <v>0.13025210084033612</v>
      </c>
      <c r="AA67" s="28">
        <v>0.15126050420168063</v>
      </c>
      <c r="AB67" s="28">
        <v>0.32352941176470584</v>
      </c>
      <c r="AC67" s="28">
        <v>0.55999999999999994</v>
      </c>
      <c r="AD67" s="28">
        <v>0.24</v>
      </c>
      <c r="AE67" s="28">
        <v>0</v>
      </c>
      <c r="AF67" s="28">
        <v>0.2</v>
      </c>
      <c r="AG67" s="33" t="str">
        <f t="shared" si="10"/>
        <v>FLAG</v>
      </c>
      <c r="AH67" s="33" t="str">
        <f t="shared" si="11"/>
        <v>FLAG</v>
      </c>
      <c r="AI67" s="33" t="str">
        <f t="shared" si="12"/>
        <v>FLAG</v>
      </c>
      <c r="AJ67" s="33" t="str">
        <f t="shared" si="13"/>
        <v>FLAG</v>
      </c>
      <c r="AK67" s="33" t="str">
        <f t="shared" si="14"/>
        <v>FLAG</v>
      </c>
      <c r="AL67" s="33" t="str">
        <f t="shared" si="15"/>
        <v>FLAG</v>
      </c>
      <c r="AM67" s="33" t="str">
        <f t="shared" si="16"/>
        <v/>
      </c>
      <c r="AN67" s="33" t="str">
        <f t="shared" si="17"/>
        <v/>
      </c>
    </row>
    <row r="68" spans="2:41" s="1" customFormat="1" hidden="1" x14ac:dyDescent="0.25">
      <c r="B68" s="54">
        <v>1302</v>
      </c>
      <c r="C68" s="54" t="s">
        <v>105</v>
      </c>
      <c r="D68" s="54" t="s">
        <v>30</v>
      </c>
      <c r="E68" s="55">
        <v>1978</v>
      </c>
      <c r="F68" s="55" t="s">
        <v>319</v>
      </c>
      <c r="G68" s="27">
        <v>55516</v>
      </c>
      <c r="H68" s="15" t="s">
        <v>176</v>
      </c>
      <c r="I68" s="50" t="s">
        <v>265</v>
      </c>
      <c r="J68" s="116"/>
      <c r="K68" s="27">
        <v>1249244</v>
      </c>
      <c r="L68" s="31">
        <f>LOOKUP($D68,Inputs!$B$46:$B$57,Inputs!C$46:C$57)</f>
        <v>0.16</v>
      </c>
      <c r="M68" s="31">
        <f>LOOKUP($D68,Inputs!$B$46:$B$57,Inputs!D$46:D$57)</f>
        <v>0.16333333333333333</v>
      </c>
      <c r="N68" s="31">
        <f>LOOKUP($D68,Inputs!$B$46:$B$57,Inputs!E$46:E$57)</f>
        <v>0.24666666666666667</v>
      </c>
      <c r="O68" s="31">
        <f>LOOKUP($D68,Inputs!$B$46:$B$57,Inputs!F$46:F$57)</f>
        <v>0.42999999999999994</v>
      </c>
      <c r="P68" s="13" t="str">
        <f t="shared" si="0"/>
        <v/>
      </c>
      <c r="Q68" s="27">
        <v>4217821.4029939175</v>
      </c>
      <c r="R68" s="31">
        <f>LOOKUP($D68,Inputs!$B$46:$B$57,Inputs!G$46:G$57)</f>
        <v>0.76666666666666661</v>
      </c>
      <c r="S68" s="31">
        <f>LOOKUP($D68,Inputs!$B$46:$B$57,Inputs!H$46:H$57)</f>
        <v>0.23333333333333331</v>
      </c>
      <c r="T68" s="31">
        <f>LOOKUP($D68,Inputs!$B$46:$B$57,Inputs!I$46:I$57)</f>
        <v>0</v>
      </c>
      <c r="U68" s="31">
        <f>LOOKUP($D68,Inputs!$B$46:$B$57,Inputs!J$46:J$57)</f>
        <v>0</v>
      </c>
      <c r="V68" s="13" t="str">
        <f t="shared" si="1"/>
        <v/>
      </c>
      <c r="X68" s="27">
        <v>1249244</v>
      </c>
      <c r="Y68" s="28">
        <v>0.3949579831932773</v>
      </c>
      <c r="Z68" s="28">
        <v>0.13025210084033612</v>
      </c>
      <c r="AA68" s="28">
        <v>0.15126050420168063</v>
      </c>
      <c r="AB68" s="28">
        <v>0.32352941176470584</v>
      </c>
      <c r="AC68" s="28">
        <v>0.7</v>
      </c>
      <c r="AD68" s="28">
        <v>0.3</v>
      </c>
      <c r="AE68" s="28">
        <v>0</v>
      </c>
      <c r="AF68" s="28">
        <v>0</v>
      </c>
      <c r="AG68" s="33" t="str">
        <f t="shared" si="10"/>
        <v>FLAG</v>
      </c>
      <c r="AH68" s="33" t="str">
        <f t="shared" si="11"/>
        <v>FLAG</v>
      </c>
      <c r="AI68" s="33" t="str">
        <f t="shared" si="12"/>
        <v>FLAG</v>
      </c>
      <c r="AJ68" s="33" t="str">
        <f t="shared" si="13"/>
        <v>FLAG</v>
      </c>
      <c r="AK68" s="33" t="str">
        <f t="shared" si="14"/>
        <v>FLAG</v>
      </c>
      <c r="AL68" s="33" t="str">
        <f t="shared" si="15"/>
        <v>FLAG</v>
      </c>
      <c r="AM68" s="33" t="str">
        <f t="shared" si="16"/>
        <v/>
      </c>
      <c r="AN68" s="33" t="str">
        <f t="shared" si="17"/>
        <v/>
      </c>
    </row>
    <row r="69" spans="2:41" s="1" customFormat="1" hidden="1" x14ac:dyDescent="0.25">
      <c r="B69" s="54">
        <v>1791</v>
      </c>
      <c r="C69" s="54" t="s">
        <v>106</v>
      </c>
      <c r="D69" s="54" t="s">
        <v>21</v>
      </c>
      <c r="E69" s="55">
        <v>1961</v>
      </c>
      <c r="F69" s="55" t="s">
        <v>319</v>
      </c>
      <c r="G69" s="27">
        <v>102901</v>
      </c>
      <c r="H69" s="15" t="s">
        <v>173</v>
      </c>
      <c r="I69" s="50" t="s">
        <v>257</v>
      </c>
      <c r="J69" s="116"/>
      <c r="K69" s="27">
        <v>264751</v>
      </c>
      <c r="L69" s="31">
        <f>LOOKUP($D69,Inputs!$B$46:$B$57,Inputs!C$46:C$57)</f>
        <v>0.1</v>
      </c>
      <c r="M69" s="31">
        <f>LOOKUP($D69,Inputs!$B$46:$B$57,Inputs!D$46:D$57)</f>
        <v>0.12</v>
      </c>
      <c r="N69" s="31">
        <f>LOOKUP($D69,Inputs!$B$46:$B$57,Inputs!E$46:E$57)</f>
        <v>0.22</v>
      </c>
      <c r="O69" s="31">
        <f>LOOKUP($D69,Inputs!$B$46:$B$57,Inputs!F$46:F$57)</f>
        <v>0.56000000000000005</v>
      </c>
      <c r="P69" s="13" t="str">
        <f t="shared" si="0"/>
        <v/>
      </c>
      <c r="Q69" s="27">
        <v>3112872.6357107442</v>
      </c>
      <c r="R69" s="31">
        <f>LOOKUP($D69,Inputs!$B$46:$B$57,Inputs!G$46:G$57)</f>
        <v>0.8</v>
      </c>
      <c r="S69" s="31">
        <f>LOOKUP($D69,Inputs!$B$46:$B$57,Inputs!H$46:H$57)</f>
        <v>0.2</v>
      </c>
      <c r="T69" s="31">
        <f>LOOKUP($D69,Inputs!$B$46:$B$57,Inputs!I$46:I$57)</f>
        <v>0</v>
      </c>
      <c r="U69" s="31">
        <f>LOOKUP($D69,Inputs!$B$46:$B$57,Inputs!J$46:J$57)</f>
        <v>0</v>
      </c>
      <c r="V69" s="13" t="str">
        <f t="shared" si="1"/>
        <v/>
      </c>
      <c r="X69" s="27">
        <v>264751</v>
      </c>
      <c r="Y69" s="28">
        <v>0.1</v>
      </c>
      <c r="Z69" s="28">
        <v>0.12</v>
      </c>
      <c r="AA69" s="28">
        <v>0.22</v>
      </c>
      <c r="AB69" s="28">
        <v>0.56000000000000005</v>
      </c>
      <c r="AC69" s="28">
        <v>0.8</v>
      </c>
      <c r="AD69" s="28">
        <v>0.2</v>
      </c>
      <c r="AE69" s="28">
        <v>0</v>
      </c>
      <c r="AF69" s="28">
        <v>0</v>
      </c>
      <c r="AG69" s="33" t="str">
        <f t="shared" si="10"/>
        <v/>
      </c>
      <c r="AH69" s="33" t="str">
        <f t="shared" si="11"/>
        <v/>
      </c>
      <c r="AI69" s="33" t="str">
        <f t="shared" si="12"/>
        <v/>
      </c>
      <c r="AJ69" s="33" t="str">
        <f t="shared" si="13"/>
        <v/>
      </c>
      <c r="AK69" s="33" t="str">
        <f t="shared" si="14"/>
        <v/>
      </c>
      <c r="AL69" s="33" t="str">
        <f t="shared" si="15"/>
        <v/>
      </c>
      <c r="AM69" s="33" t="str">
        <f t="shared" si="16"/>
        <v/>
      </c>
      <c r="AN69" s="33" t="str">
        <f t="shared" si="17"/>
        <v/>
      </c>
    </row>
    <row r="70" spans="2:41" hidden="1" x14ac:dyDescent="0.25">
      <c r="B70" s="54">
        <v>1299</v>
      </c>
      <c r="C70" s="54" t="s">
        <v>107</v>
      </c>
      <c r="D70" s="54" t="s">
        <v>29</v>
      </c>
      <c r="E70" s="55">
        <v>1970</v>
      </c>
      <c r="F70" s="55" t="s">
        <v>319</v>
      </c>
      <c r="G70" s="27">
        <v>130581</v>
      </c>
      <c r="H70" s="15" t="s">
        <v>177</v>
      </c>
      <c r="I70" s="50" t="s">
        <v>280</v>
      </c>
      <c r="J70" s="116"/>
      <c r="K70" s="27">
        <v>1518099</v>
      </c>
      <c r="L70" s="25">
        <v>0.01</v>
      </c>
      <c r="M70" s="25">
        <v>0.2286161386018826</v>
      </c>
      <c r="N70" s="25">
        <v>0.29181301818737049</v>
      </c>
      <c r="O70" s="25">
        <v>0.46957084321074699</v>
      </c>
      <c r="P70" s="13" t="str">
        <f t="shared" si="0"/>
        <v/>
      </c>
      <c r="Q70" s="27">
        <v>6867146.9333748026</v>
      </c>
      <c r="R70" s="31">
        <f>LOOKUP($D70,Inputs!$B$46:$B$57,Inputs!G$46:G$57)*(1-$T70)</f>
        <v>0.48</v>
      </c>
      <c r="S70" s="31">
        <f>LOOKUP($D70,Inputs!$B$46:$B$57,Inputs!H$46:H$57)*(1-$T70)</f>
        <v>0.12</v>
      </c>
      <c r="T70" s="25">
        <v>0.4</v>
      </c>
      <c r="U70" s="31">
        <f>LOOKUP($D70,Inputs!$B$46:$B$57,Inputs!J$46:J$57)</f>
        <v>0</v>
      </c>
      <c r="V70" s="13" t="str">
        <f t="shared" si="1"/>
        <v/>
      </c>
      <c r="W70" s="1"/>
      <c r="X70" s="27">
        <v>1518099</v>
      </c>
      <c r="Y70" s="28">
        <v>0.01</v>
      </c>
      <c r="Z70" s="28">
        <v>0.2286161386018826</v>
      </c>
      <c r="AA70" s="28">
        <v>0.29181301818737049</v>
      </c>
      <c r="AB70" s="28">
        <v>0.46957084321074699</v>
      </c>
      <c r="AC70" s="28">
        <v>0.48</v>
      </c>
      <c r="AD70" s="28">
        <v>0.12</v>
      </c>
      <c r="AE70" s="28">
        <v>0.4</v>
      </c>
      <c r="AF70" s="28">
        <v>0</v>
      </c>
      <c r="AG70" s="33" t="str">
        <f t="shared" si="10"/>
        <v/>
      </c>
      <c r="AH70" s="33" t="str">
        <f t="shared" si="11"/>
        <v/>
      </c>
      <c r="AI70" s="33" t="str">
        <f t="shared" si="12"/>
        <v/>
      </c>
      <c r="AJ70" s="33" t="str">
        <f t="shared" si="13"/>
        <v/>
      </c>
      <c r="AK70" s="33" t="str">
        <f t="shared" si="14"/>
        <v/>
      </c>
      <c r="AL70" s="33" t="str">
        <f t="shared" si="15"/>
        <v/>
      </c>
      <c r="AM70" s="33" t="str">
        <f t="shared" si="16"/>
        <v/>
      </c>
      <c r="AN70" s="33" t="str">
        <f t="shared" si="17"/>
        <v/>
      </c>
      <c r="AO70" s="1"/>
    </row>
    <row r="71" spans="2:41" x14ac:dyDescent="0.25">
      <c r="B71" s="54">
        <v>1382</v>
      </c>
      <c r="C71" s="54" t="s">
        <v>108</v>
      </c>
      <c r="D71" s="54" t="s">
        <v>30</v>
      </c>
      <c r="E71" s="55">
        <v>1953</v>
      </c>
      <c r="F71" s="55" t="s">
        <v>319</v>
      </c>
      <c r="G71" s="27">
        <v>56637</v>
      </c>
      <c r="H71" s="15" t="s">
        <v>175</v>
      </c>
      <c r="I71" s="50" t="s">
        <v>269</v>
      </c>
      <c r="J71" s="116"/>
      <c r="K71" s="27">
        <v>975303</v>
      </c>
      <c r="L71" s="31">
        <f>LOOKUP($D71,Inputs!$B$46:$B$57,Inputs!C$46:C$57)</f>
        <v>0.16</v>
      </c>
      <c r="M71" s="31">
        <f>LOOKUP($D71,Inputs!$B$46:$B$57,Inputs!D$46:D$57)</f>
        <v>0.16333333333333333</v>
      </c>
      <c r="N71" s="31">
        <f>LOOKUP($D71,Inputs!$B$46:$B$57,Inputs!E$46:E$57)</f>
        <v>0.24666666666666667</v>
      </c>
      <c r="O71" s="31">
        <f>LOOKUP($D71,Inputs!$B$46:$B$57,Inputs!F$46:F$57)</f>
        <v>0.42999999999999994</v>
      </c>
      <c r="P71" s="13" t="str">
        <f t="shared" si="0"/>
        <v/>
      </c>
      <c r="Q71" s="27">
        <v>7945085.5098039238</v>
      </c>
      <c r="R71" s="31">
        <f>LOOKUP($D71,Inputs!$B$46:$B$57,Inputs!G$46:G$57)*(1-$U71)</f>
        <v>0.61333333333333329</v>
      </c>
      <c r="S71" s="31">
        <f>LOOKUP($D71,Inputs!$B$46:$B$57,Inputs!H$46:H$57)*(1-$U71)</f>
        <v>0.18666666666666665</v>
      </c>
      <c r="T71" s="31">
        <f>LOOKUP($D71,Inputs!$B$46:$B$57,Inputs!I$46:I$57)*(1-$U71)</f>
        <v>0</v>
      </c>
      <c r="U71" s="25">
        <v>0.2</v>
      </c>
      <c r="V71" s="13" t="str">
        <f t="shared" si="1"/>
        <v/>
      </c>
      <c r="W71" s="1"/>
      <c r="X71" s="27">
        <v>975303</v>
      </c>
      <c r="Y71" s="28">
        <v>0.3949579831932773</v>
      </c>
      <c r="Z71" s="28">
        <v>0.13025210084033612</v>
      </c>
      <c r="AA71" s="28">
        <v>0.15126050420168063</v>
      </c>
      <c r="AB71" s="28">
        <v>0.32352941176470584</v>
      </c>
      <c r="AC71" s="28">
        <v>0.55999999999999994</v>
      </c>
      <c r="AD71" s="28">
        <v>0.24</v>
      </c>
      <c r="AE71" s="28">
        <v>0</v>
      </c>
      <c r="AF71" s="28">
        <v>0.2</v>
      </c>
      <c r="AG71" s="33" t="str">
        <f t="shared" si="10"/>
        <v>FLAG</v>
      </c>
      <c r="AH71" s="33" t="str">
        <f t="shared" si="11"/>
        <v>FLAG</v>
      </c>
      <c r="AI71" s="33" t="str">
        <f t="shared" si="12"/>
        <v>FLAG</v>
      </c>
      <c r="AJ71" s="33" t="str">
        <f t="shared" si="13"/>
        <v>FLAG</v>
      </c>
      <c r="AK71" s="33" t="str">
        <f t="shared" si="14"/>
        <v>FLAG</v>
      </c>
      <c r="AL71" s="33" t="str">
        <f t="shared" si="15"/>
        <v>FLAG</v>
      </c>
      <c r="AM71" s="33" t="str">
        <f t="shared" si="16"/>
        <v/>
      </c>
      <c r="AN71" s="33" t="str">
        <f t="shared" si="17"/>
        <v/>
      </c>
      <c r="AO71" s="1"/>
    </row>
    <row r="72" spans="2:41" s="1" customFormat="1" hidden="1" x14ac:dyDescent="0.25">
      <c r="B72" s="54">
        <v>1422</v>
      </c>
      <c r="C72" s="54" t="s">
        <v>109</v>
      </c>
      <c r="D72" s="54" t="s">
        <v>26</v>
      </c>
      <c r="E72" s="55">
        <v>1958</v>
      </c>
      <c r="F72" s="55" t="s">
        <v>319</v>
      </c>
      <c r="G72" s="27">
        <v>40706</v>
      </c>
      <c r="H72" s="15" t="s">
        <v>176</v>
      </c>
      <c r="I72" s="50" t="s">
        <v>271</v>
      </c>
      <c r="J72" s="116"/>
      <c r="K72" s="27">
        <v>180419</v>
      </c>
      <c r="L72" s="31">
        <f>LOOKUP($D72,Inputs!$B$46:$B$57,Inputs!C$46:C$57)</f>
        <v>0.26</v>
      </c>
      <c r="M72" s="31">
        <f>LOOKUP($D72,Inputs!$B$46:$B$57,Inputs!D$46:D$57)</f>
        <v>0.23</v>
      </c>
      <c r="N72" s="31">
        <f>LOOKUP($D72,Inputs!$B$46:$B$57,Inputs!E$46:E$57)</f>
        <v>0.26</v>
      </c>
      <c r="O72" s="31">
        <f>LOOKUP($D72,Inputs!$B$46:$B$57,Inputs!F$46:F$57)</f>
        <v>0.25</v>
      </c>
      <c r="P72" s="13" t="str">
        <f t="shared" si="0"/>
        <v/>
      </c>
      <c r="Q72" s="27">
        <v>2309237.9176470591</v>
      </c>
      <c r="R72" s="31">
        <f>LOOKUP($D72,Inputs!$B$46:$B$57,Inputs!G$46:G$57)</f>
        <v>0.8</v>
      </c>
      <c r="S72" s="31">
        <f>LOOKUP($D72,Inputs!$B$46:$B$57,Inputs!H$46:H$57)</f>
        <v>0.2</v>
      </c>
      <c r="T72" s="31">
        <f>LOOKUP($D72,Inputs!$B$46:$B$57,Inputs!I$46:I$57)</f>
        <v>0</v>
      </c>
      <c r="U72" s="31">
        <f>LOOKUP($D72,Inputs!$B$46:$B$57,Inputs!J$46:J$57)</f>
        <v>0</v>
      </c>
      <c r="V72" s="13" t="str">
        <f t="shared" si="1"/>
        <v/>
      </c>
      <c r="X72" s="27">
        <v>180419</v>
      </c>
      <c r="Y72" s="28">
        <v>0.26</v>
      </c>
      <c r="Z72" s="28">
        <v>0.23</v>
      </c>
      <c r="AA72" s="28">
        <v>0.26</v>
      </c>
      <c r="AB72" s="28">
        <v>0.25</v>
      </c>
      <c r="AC72" s="28">
        <v>0.8</v>
      </c>
      <c r="AD72" s="28">
        <v>0.2</v>
      </c>
      <c r="AE72" s="28">
        <v>0</v>
      </c>
      <c r="AF72" s="28">
        <v>0</v>
      </c>
      <c r="AG72" s="33" t="str">
        <f t="shared" si="10"/>
        <v/>
      </c>
      <c r="AH72" s="33" t="str">
        <f t="shared" si="11"/>
        <v/>
      </c>
      <c r="AI72" s="33" t="str">
        <f t="shared" si="12"/>
        <v/>
      </c>
      <c r="AJ72" s="33" t="str">
        <f t="shared" si="13"/>
        <v/>
      </c>
      <c r="AK72" s="33" t="str">
        <f t="shared" si="14"/>
        <v/>
      </c>
      <c r="AL72" s="33" t="str">
        <f t="shared" si="15"/>
        <v/>
      </c>
      <c r="AM72" s="33" t="str">
        <f t="shared" si="16"/>
        <v/>
      </c>
      <c r="AN72" s="33" t="str">
        <f t="shared" si="17"/>
        <v/>
      </c>
    </row>
    <row r="73" spans="2:41" s="1" customFormat="1" hidden="1" x14ac:dyDescent="0.25">
      <c r="B73" s="54">
        <v>1324</v>
      </c>
      <c r="C73" s="54" t="s">
        <v>110</v>
      </c>
      <c r="D73" s="54" t="s">
        <v>26</v>
      </c>
      <c r="E73" s="55">
        <v>1931</v>
      </c>
      <c r="F73" s="55" t="s">
        <v>319</v>
      </c>
      <c r="G73" s="27">
        <v>40835</v>
      </c>
      <c r="H73" s="15" t="s">
        <v>177</v>
      </c>
      <c r="I73" s="50" t="s">
        <v>279</v>
      </c>
      <c r="J73" s="116"/>
      <c r="K73" s="27">
        <v>1699</v>
      </c>
      <c r="L73" s="31">
        <f>LOOKUP($D73,Inputs!$B$46:$B$57,Inputs!C$46:C$57)</f>
        <v>0.26</v>
      </c>
      <c r="M73" s="31">
        <f>LOOKUP($D73,Inputs!$B$46:$B$57,Inputs!D$46:D$57)</f>
        <v>0.23</v>
      </c>
      <c r="N73" s="31">
        <f>LOOKUP($D73,Inputs!$B$46:$B$57,Inputs!E$46:E$57)</f>
        <v>0.26</v>
      </c>
      <c r="O73" s="31">
        <f>LOOKUP($D73,Inputs!$B$46:$B$57,Inputs!F$46:F$57)</f>
        <v>0.25</v>
      </c>
      <c r="P73" s="13" t="str">
        <f t="shared" si="0"/>
        <v/>
      </c>
      <c r="Q73" s="27">
        <v>1235305.3330798363</v>
      </c>
      <c r="R73" s="31">
        <f>LOOKUP($D73,Inputs!$B$46:$B$57,Inputs!G$46:G$57)</f>
        <v>0.8</v>
      </c>
      <c r="S73" s="31">
        <f>LOOKUP($D73,Inputs!$B$46:$B$57,Inputs!H$46:H$57)</f>
        <v>0.2</v>
      </c>
      <c r="T73" s="31">
        <f>LOOKUP($D73,Inputs!$B$46:$B$57,Inputs!I$46:I$57)</f>
        <v>0</v>
      </c>
      <c r="U73" s="31">
        <f>LOOKUP($D73,Inputs!$B$46:$B$57,Inputs!J$46:J$57)</f>
        <v>0</v>
      </c>
      <c r="V73" s="13" t="str">
        <f t="shared" si="1"/>
        <v/>
      </c>
      <c r="X73" s="27">
        <v>1699</v>
      </c>
      <c r="Y73" s="28">
        <v>0.26</v>
      </c>
      <c r="Z73" s="28">
        <v>0.23</v>
      </c>
      <c r="AA73" s="28">
        <v>0.26</v>
      </c>
      <c r="AB73" s="28">
        <v>0.25</v>
      </c>
      <c r="AC73" s="28">
        <v>0.8</v>
      </c>
      <c r="AD73" s="28">
        <v>0.2</v>
      </c>
      <c r="AE73" s="28">
        <v>0</v>
      </c>
      <c r="AF73" s="28">
        <v>0</v>
      </c>
      <c r="AG73" s="33" t="str">
        <f t="shared" si="10"/>
        <v/>
      </c>
      <c r="AH73" s="33" t="str">
        <f t="shared" si="11"/>
        <v/>
      </c>
      <c r="AI73" s="33" t="str">
        <f t="shared" si="12"/>
        <v/>
      </c>
      <c r="AJ73" s="33" t="str">
        <f t="shared" si="13"/>
        <v/>
      </c>
      <c r="AK73" s="33" t="str">
        <f t="shared" si="14"/>
        <v/>
      </c>
      <c r="AL73" s="33" t="str">
        <f t="shared" si="15"/>
        <v/>
      </c>
      <c r="AM73" s="33" t="str">
        <f t="shared" si="16"/>
        <v/>
      </c>
      <c r="AN73" s="33" t="str">
        <f t="shared" si="17"/>
        <v/>
      </c>
    </row>
    <row r="74" spans="2:41" s="1" customFormat="1" x14ac:dyDescent="0.25">
      <c r="B74" s="54">
        <v>1346</v>
      </c>
      <c r="C74" s="54" t="s">
        <v>111</v>
      </c>
      <c r="D74" s="54" t="s">
        <v>26</v>
      </c>
      <c r="E74" s="55">
        <v>1948</v>
      </c>
      <c r="F74" s="55" t="s">
        <v>319</v>
      </c>
      <c r="G74" s="27">
        <v>93420</v>
      </c>
      <c r="H74" s="15" t="s">
        <v>175</v>
      </c>
      <c r="I74" s="50" t="s">
        <v>269</v>
      </c>
      <c r="J74" s="116"/>
      <c r="K74" s="27">
        <v>500760</v>
      </c>
      <c r="L74" s="31">
        <f>LOOKUP($D74,Inputs!$B$46:$B$57,Inputs!C$46:C$57)</f>
        <v>0.26</v>
      </c>
      <c r="M74" s="31">
        <f>LOOKUP($D74,Inputs!$B$46:$B$57,Inputs!D$46:D$57)</f>
        <v>0.23</v>
      </c>
      <c r="N74" s="31">
        <f>LOOKUP($D74,Inputs!$B$46:$B$57,Inputs!E$46:E$57)</f>
        <v>0.26</v>
      </c>
      <c r="O74" s="31">
        <f>LOOKUP($D74,Inputs!$B$46:$B$57,Inputs!F$46:F$57)</f>
        <v>0.25</v>
      </c>
      <c r="P74" s="13" t="str">
        <f t="shared" si="0"/>
        <v/>
      </c>
      <c r="Q74" s="27">
        <v>13105035.37132762</v>
      </c>
      <c r="R74" s="31">
        <f>LOOKUP($D74,Inputs!$B$46:$B$57,Inputs!G$46:G$57)*(1-$U74)</f>
        <v>0.64000000000000012</v>
      </c>
      <c r="S74" s="31">
        <f>LOOKUP($D74,Inputs!$B$46:$B$57,Inputs!H$46:H$57)*(1-$U74)</f>
        <v>0.16000000000000003</v>
      </c>
      <c r="T74" s="31">
        <f>LOOKUP($D74,Inputs!$B$46:$B$57,Inputs!I$46:I$57)*(1-$U74)</f>
        <v>0</v>
      </c>
      <c r="U74" s="25">
        <v>0.2</v>
      </c>
      <c r="V74" s="13" t="str">
        <f t="shared" si="1"/>
        <v/>
      </c>
      <c r="X74" s="27">
        <v>500760</v>
      </c>
      <c r="Y74" s="28">
        <v>0.26</v>
      </c>
      <c r="Z74" s="28">
        <v>0.23</v>
      </c>
      <c r="AA74" s="28">
        <v>0.26</v>
      </c>
      <c r="AB74" s="28">
        <v>0.25</v>
      </c>
      <c r="AC74" s="28">
        <v>0.64000000000000012</v>
      </c>
      <c r="AD74" s="28">
        <v>0.16000000000000003</v>
      </c>
      <c r="AE74" s="28">
        <v>0</v>
      </c>
      <c r="AF74" s="28">
        <v>0.2</v>
      </c>
      <c r="AG74" s="33" t="str">
        <f t="shared" si="10"/>
        <v/>
      </c>
      <c r="AH74" s="33" t="str">
        <f t="shared" si="11"/>
        <v/>
      </c>
      <c r="AI74" s="33" t="str">
        <f t="shared" si="12"/>
        <v/>
      </c>
      <c r="AJ74" s="33" t="str">
        <f t="shared" si="13"/>
        <v/>
      </c>
      <c r="AK74" s="33" t="str">
        <f t="shared" si="14"/>
        <v/>
      </c>
      <c r="AL74" s="33" t="str">
        <f t="shared" si="15"/>
        <v/>
      </c>
      <c r="AM74" s="33" t="str">
        <f t="shared" si="16"/>
        <v/>
      </c>
      <c r="AN74" s="33" t="str">
        <f t="shared" si="17"/>
        <v/>
      </c>
    </row>
    <row r="75" spans="2:41" hidden="1" x14ac:dyDescent="0.25">
      <c r="B75" s="54">
        <v>1206</v>
      </c>
      <c r="C75" s="54" t="s">
        <v>112</v>
      </c>
      <c r="D75" s="54" t="s">
        <v>26</v>
      </c>
      <c r="E75" s="55">
        <v>1906</v>
      </c>
      <c r="F75" s="55" t="s">
        <v>319</v>
      </c>
      <c r="G75" s="27">
        <v>23533</v>
      </c>
      <c r="H75" s="15" t="s">
        <v>177</v>
      </c>
      <c r="I75" s="15" t="s">
        <v>260</v>
      </c>
      <c r="J75" s="116"/>
      <c r="K75" s="27">
        <v>0</v>
      </c>
      <c r="L75" s="31">
        <f>LOOKUP($D75,Inputs!$B$46:$B$57,Inputs!C$46:C$57)</f>
        <v>0.26</v>
      </c>
      <c r="M75" s="31">
        <f>LOOKUP($D75,Inputs!$B$46:$B$57,Inputs!D$46:D$57)</f>
        <v>0.23</v>
      </c>
      <c r="N75" s="31">
        <f>LOOKUP($D75,Inputs!$B$46:$B$57,Inputs!E$46:E$57)</f>
        <v>0.26</v>
      </c>
      <c r="O75" s="31">
        <f>LOOKUP($D75,Inputs!$B$46:$B$57,Inputs!F$46:F$57)</f>
        <v>0.25</v>
      </c>
      <c r="P75" s="13" t="str">
        <f t="shared" si="0"/>
        <v/>
      </c>
      <c r="Q75" s="27">
        <v>1916781.904591602</v>
      </c>
      <c r="R75" s="31">
        <f>LOOKUP($D75,Inputs!$B$46:$B$57,Inputs!G$46:G$57)</f>
        <v>0.8</v>
      </c>
      <c r="S75" s="31">
        <f>LOOKUP($D75,Inputs!$B$46:$B$57,Inputs!H$46:H$57)</f>
        <v>0.2</v>
      </c>
      <c r="T75" s="31">
        <f>LOOKUP($D75,Inputs!$B$46:$B$57,Inputs!I$46:I$57)</f>
        <v>0</v>
      </c>
      <c r="U75" s="31">
        <f>LOOKUP($D75,Inputs!$B$46:$B$57,Inputs!J$46:J$57)</f>
        <v>0</v>
      </c>
      <c r="V75" s="13" t="str">
        <f t="shared" si="1"/>
        <v/>
      </c>
      <c r="W75" s="1"/>
      <c r="X75" s="27"/>
      <c r="Y75" s="28">
        <v>0.26</v>
      </c>
      <c r="Z75" s="28">
        <v>0.23</v>
      </c>
      <c r="AA75" s="28">
        <v>0.26</v>
      </c>
      <c r="AB75" s="28">
        <v>0.25</v>
      </c>
      <c r="AC75" s="28">
        <v>0.8</v>
      </c>
      <c r="AD75" s="28">
        <v>0.2</v>
      </c>
      <c r="AE75" s="28">
        <v>0</v>
      </c>
      <c r="AF75" s="28">
        <v>0</v>
      </c>
      <c r="AG75" s="33" t="str">
        <f t="shared" ref="AG75:AG101" si="18">IF(L75-Y75=0,"","FLAG")</f>
        <v/>
      </c>
      <c r="AH75" s="33" t="str">
        <f t="shared" ref="AH75:AH101" si="19">IF(M75-Z75=0,"","FLAG")</f>
        <v/>
      </c>
      <c r="AI75" s="33" t="str">
        <f t="shared" ref="AI75:AI101" si="20">IF(N75-AA75=0,"","FLAG")</f>
        <v/>
      </c>
      <c r="AJ75" s="33" t="str">
        <f t="shared" ref="AJ75:AJ101" si="21">IF(O75-AB75=0,"","FLAG")</f>
        <v/>
      </c>
      <c r="AK75" s="33" t="str">
        <f t="shared" ref="AK75:AK101" si="22">IF(R75-AC75=0,"","FLAG")</f>
        <v/>
      </c>
      <c r="AL75" s="33" t="str">
        <f t="shared" ref="AL75:AL101" si="23">IF(S75-AD75=0,"","FLAG")</f>
        <v/>
      </c>
      <c r="AM75" s="33" t="str">
        <f t="shared" ref="AM75:AM101" si="24">IF(T75-AE75=0,"","FLAG")</f>
        <v/>
      </c>
      <c r="AN75" s="33" t="str">
        <f t="shared" ref="AN75:AN101" si="25">IF(U75-AF75=0,"","FLAG")</f>
        <v/>
      </c>
      <c r="AO75" s="1"/>
    </row>
    <row r="76" spans="2:41" s="1" customFormat="1" x14ac:dyDescent="0.25">
      <c r="B76" s="54">
        <v>1229</v>
      </c>
      <c r="C76" s="54" t="s">
        <v>113</v>
      </c>
      <c r="D76" s="54" t="s">
        <v>24</v>
      </c>
      <c r="E76" s="55">
        <v>1991</v>
      </c>
      <c r="F76" s="55" t="s">
        <v>319</v>
      </c>
      <c r="G76" s="27">
        <v>52845</v>
      </c>
      <c r="H76" s="15" t="s">
        <v>175</v>
      </c>
      <c r="I76" s="50" t="s">
        <v>258</v>
      </c>
      <c r="J76" s="116"/>
      <c r="K76" s="27">
        <v>1281704</v>
      </c>
      <c r="L76" s="31">
        <f>LOOKUP($D76,Inputs!$B$46:$B$57,Inputs!C$46:C$57)</f>
        <v>0.25</v>
      </c>
      <c r="M76" s="31">
        <f>LOOKUP($D76,Inputs!$B$46:$B$57,Inputs!D$46:D$57)</f>
        <v>0.35</v>
      </c>
      <c r="N76" s="31">
        <f>LOOKUP($D76,Inputs!$B$46:$B$57,Inputs!E$46:E$57)</f>
        <v>0.18</v>
      </c>
      <c r="O76" s="31">
        <f>LOOKUP($D76,Inputs!$B$46:$B$57,Inputs!F$46:F$57)</f>
        <v>0.22</v>
      </c>
      <c r="P76" s="13" t="str">
        <f t="shared" ref="P76:P114" si="26">IF(SUM(L76:O76)=100%,"","FLAG")</f>
        <v/>
      </c>
      <c r="Q76" s="27">
        <v>19169670.647058826</v>
      </c>
      <c r="R76" s="31">
        <f>LOOKUP($D76,Inputs!$B$46:$B$57,Inputs!G$46:G$57)*(1-$U76)</f>
        <v>0.55999999999999994</v>
      </c>
      <c r="S76" s="31">
        <f>LOOKUP($D76,Inputs!$B$46:$B$57,Inputs!H$46:H$57)*(1-$U76)</f>
        <v>0.24</v>
      </c>
      <c r="T76" s="31">
        <f>LOOKUP($D76,Inputs!$B$46:$B$57,Inputs!I$46:I$57)*(1-$U76)</f>
        <v>0</v>
      </c>
      <c r="U76" s="25">
        <v>0.2</v>
      </c>
      <c r="V76" s="13" t="str">
        <f t="shared" ref="V76:V114" si="27">IF(SUM(R76:U76)=100%,"","FLAG")</f>
        <v/>
      </c>
      <c r="X76" s="27">
        <v>1281704</v>
      </c>
      <c r="Y76" s="28">
        <v>0.25</v>
      </c>
      <c r="Z76" s="28">
        <v>0.35</v>
      </c>
      <c r="AA76" s="28">
        <v>0.18</v>
      </c>
      <c r="AB76" s="28">
        <v>0.22</v>
      </c>
      <c r="AC76" s="28">
        <v>0.55999999999999994</v>
      </c>
      <c r="AD76" s="28">
        <v>0.24</v>
      </c>
      <c r="AE76" s="28">
        <v>0</v>
      </c>
      <c r="AF76" s="28">
        <v>0.2</v>
      </c>
      <c r="AG76" s="33" t="str">
        <f t="shared" si="18"/>
        <v/>
      </c>
      <c r="AH76" s="33" t="str">
        <f t="shared" si="19"/>
        <v/>
      </c>
      <c r="AI76" s="33" t="str">
        <f t="shared" si="20"/>
        <v/>
      </c>
      <c r="AJ76" s="33" t="str">
        <f t="shared" si="21"/>
        <v/>
      </c>
      <c r="AK76" s="33" t="str">
        <f t="shared" si="22"/>
        <v/>
      </c>
      <c r="AL76" s="33" t="str">
        <f t="shared" si="23"/>
        <v/>
      </c>
      <c r="AM76" s="33" t="str">
        <f t="shared" si="24"/>
        <v/>
      </c>
      <c r="AN76" s="33" t="str">
        <f t="shared" si="25"/>
        <v/>
      </c>
    </row>
    <row r="77" spans="2:41" s="1" customFormat="1" hidden="1" x14ac:dyDescent="0.25">
      <c r="B77" s="54">
        <v>1377</v>
      </c>
      <c r="C77" s="54" t="s">
        <v>114</v>
      </c>
      <c r="D77" s="54" t="s">
        <v>26</v>
      </c>
      <c r="E77" s="55">
        <v>1959</v>
      </c>
      <c r="F77" s="55">
        <v>2025</v>
      </c>
      <c r="G77" s="27">
        <v>41297</v>
      </c>
      <c r="H77" s="15" t="s">
        <v>177</v>
      </c>
      <c r="I77" s="50" t="s">
        <v>268</v>
      </c>
      <c r="J77" s="116"/>
      <c r="K77" s="27">
        <v>494276</v>
      </c>
      <c r="L77" s="31">
        <f>LOOKUP($D77,Inputs!$B$46:$B$57,Inputs!C$46:C$57)</f>
        <v>0.26</v>
      </c>
      <c r="M77" s="31">
        <f>LOOKUP($D77,Inputs!$B$46:$B$57,Inputs!D$46:D$57)</f>
        <v>0.23</v>
      </c>
      <c r="N77" s="31">
        <f>LOOKUP($D77,Inputs!$B$46:$B$57,Inputs!E$46:E$57)</f>
        <v>0.26</v>
      </c>
      <c r="O77" s="31">
        <f>LOOKUP($D77,Inputs!$B$46:$B$57,Inputs!F$46:F$57)</f>
        <v>0.25</v>
      </c>
      <c r="P77" s="13" t="str">
        <f t="shared" si="26"/>
        <v/>
      </c>
      <c r="Q77" s="27">
        <v>2894758.2226307751</v>
      </c>
      <c r="R77" s="31">
        <f>LOOKUP($D77,Inputs!$B$46:$B$57,Inputs!G$46:G$57)</f>
        <v>0.8</v>
      </c>
      <c r="S77" s="31">
        <f>LOOKUP($D77,Inputs!$B$46:$B$57,Inputs!H$46:H$57)</f>
        <v>0.2</v>
      </c>
      <c r="T77" s="31">
        <f>LOOKUP($D77,Inputs!$B$46:$B$57,Inputs!I$46:I$57)</f>
        <v>0</v>
      </c>
      <c r="U77" s="31">
        <f>LOOKUP($D77,Inputs!$B$46:$B$57,Inputs!J$46:J$57)</f>
        <v>0</v>
      </c>
      <c r="V77" s="13" t="str">
        <f t="shared" si="27"/>
        <v/>
      </c>
      <c r="X77" s="27">
        <v>494276</v>
      </c>
      <c r="Y77" s="28">
        <v>0.26</v>
      </c>
      <c r="Z77" s="28">
        <v>0.23</v>
      </c>
      <c r="AA77" s="28">
        <v>0.26</v>
      </c>
      <c r="AB77" s="28">
        <v>0.25</v>
      </c>
      <c r="AC77" s="28">
        <v>0.8</v>
      </c>
      <c r="AD77" s="28">
        <v>0.2</v>
      </c>
      <c r="AE77" s="28">
        <v>0</v>
      </c>
      <c r="AF77" s="28">
        <v>0</v>
      </c>
      <c r="AG77" s="33" t="str">
        <f t="shared" si="18"/>
        <v/>
      </c>
      <c r="AH77" s="33" t="str">
        <f t="shared" si="19"/>
        <v/>
      </c>
      <c r="AI77" s="33" t="str">
        <f t="shared" si="20"/>
        <v/>
      </c>
      <c r="AJ77" s="33" t="str">
        <f t="shared" si="21"/>
        <v/>
      </c>
      <c r="AK77" s="33" t="str">
        <f t="shared" si="22"/>
        <v/>
      </c>
      <c r="AL77" s="33" t="str">
        <f t="shared" si="23"/>
        <v/>
      </c>
      <c r="AM77" s="33" t="str">
        <f t="shared" si="24"/>
        <v/>
      </c>
      <c r="AN77" s="33" t="str">
        <f t="shared" si="25"/>
        <v/>
      </c>
    </row>
    <row r="78" spans="2:41" s="1" customFormat="1" hidden="1" x14ac:dyDescent="0.25">
      <c r="B78" s="54">
        <v>1801</v>
      </c>
      <c r="C78" s="54" t="s">
        <v>115</v>
      </c>
      <c r="D78" s="54" t="s">
        <v>26</v>
      </c>
      <c r="E78" s="55">
        <v>1964</v>
      </c>
      <c r="F78" s="55" t="s">
        <v>319</v>
      </c>
      <c r="G78" s="27">
        <v>14524</v>
      </c>
      <c r="H78" s="15" t="s">
        <v>177</v>
      </c>
      <c r="I78" s="50" t="s">
        <v>270</v>
      </c>
      <c r="J78" s="116"/>
      <c r="K78" s="27">
        <v>83616</v>
      </c>
      <c r="L78" s="31">
        <f>LOOKUP($D78,Inputs!$B$46:$B$57,Inputs!C$46:C$57)</f>
        <v>0.26</v>
      </c>
      <c r="M78" s="31">
        <f>LOOKUP($D78,Inputs!$B$46:$B$57,Inputs!D$46:D$57)</f>
        <v>0.23</v>
      </c>
      <c r="N78" s="31">
        <f>LOOKUP($D78,Inputs!$B$46:$B$57,Inputs!E$46:E$57)</f>
        <v>0.26</v>
      </c>
      <c r="O78" s="31">
        <f>LOOKUP($D78,Inputs!$B$46:$B$57,Inputs!F$46:F$57)</f>
        <v>0.25</v>
      </c>
      <c r="P78" s="13" t="str">
        <f t="shared" si="26"/>
        <v/>
      </c>
      <c r="Q78" s="27">
        <v>0</v>
      </c>
      <c r="R78" s="31">
        <f>LOOKUP($D78,Inputs!$B$46:$B$57,Inputs!G$46:G$57)</f>
        <v>0.8</v>
      </c>
      <c r="S78" s="31">
        <f>LOOKUP($D78,Inputs!$B$46:$B$57,Inputs!H$46:H$57)</f>
        <v>0.2</v>
      </c>
      <c r="T78" s="31">
        <f>LOOKUP($D78,Inputs!$B$46:$B$57,Inputs!I$46:I$57)</f>
        <v>0</v>
      </c>
      <c r="U78" s="31">
        <f>LOOKUP($D78,Inputs!$B$46:$B$57,Inputs!J$46:J$57)</f>
        <v>0</v>
      </c>
      <c r="V78" s="13" t="str">
        <f t="shared" si="27"/>
        <v/>
      </c>
      <c r="X78" s="27">
        <v>83616</v>
      </c>
      <c r="Y78" s="28">
        <v>0.26</v>
      </c>
      <c r="Z78" s="28">
        <v>0.23</v>
      </c>
      <c r="AA78" s="28">
        <v>0.26</v>
      </c>
      <c r="AB78" s="28">
        <v>0.25</v>
      </c>
      <c r="AC78" s="28">
        <v>0.8</v>
      </c>
      <c r="AD78" s="28">
        <v>0.2</v>
      </c>
      <c r="AE78" s="28">
        <v>0</v>
      </c>
      <c r="AF78" s="28">
        <v>0</v>
      </c>
      <c r="AG78" s="33" t="str">
        <f t="shared" si="18"/>
        <v/>
      </c>
      <c r="AH78" s="33" t="str">
        <f t="shared" si="19"/>
        <v/>
      </c>
      <c r="AI78" s="33" t="str">
        <f t="shared" si="20"/>
        <v/>
      </c>
      <c r="AJ78" s="33" t="str">
        <f t="shared" si="21"/>
        <v/>
      </c>
      <c r="AK78" s="33" t="str">
        <f t="shared" si="22"/>
        <v/>
      </c>
      <c r="AL78" s="33" t="str">
        <f t="shared" si="23"/>
        <v/>
      </c>
      <c r="AM78" s="33" t="str">
        <f t="shared" si="24"/>
        <v/>
      </c>
      <c r="AN78" s="33" t="str">
        <f t="shared" si="25"/>
        <v/>
      </c>
    </row>
    <row r="79" spans="2:41" s="1" customFormat="1" hidden="1" x14ac:dyDescent="0.25">
      <c r="B79" s="54">
        <v>1365</v>
      </c>
      <c r="C79" s="54" t="s">
        <v>116</v>
      </c>
      <c r="D79" s="54" t="s">
        <v>22</v>
      </c>
      <c r="E79" s="55">
        <v>1984</v>
      </c>
      <c r="F79" s="55" t="s">
        <v>319</v>
      </c>
      <c r="G79" s="27">
        <v>187982</v>
      </c>
      <c r="H79" s="15" t="s">
        <v>173</v>
      </c>
      <c r="I79" s="15" t="s">
        <v>266</v>
      </c>
      <c r="J79" s="116"/>
      <c r="K79" s="27">
        <v>889276</v>
      </c>
      <c r="L79" s="31">
        <f>LOOKUP($D79,Inputs!$B$46:$B$57,Inputs!C$46:C$57)</f>
        <v>0.24</v>
      </c>
      <c r="M79" s="31">
        <f>LOOKUP($D79,Inputs!$B$46:$B$57,Inputs!D$46:D$57)</f>
        <v>0.26</v>
      </c>
      <c r="N79" s="31">
        <f>LOOKUP($D79,Inputs!$B$46:$B$57,Inputs!E$46:E$57)</f>
        <v>0.28999999999999998</v>
      </c>
      <c r="O79" s="31">
        <f>LOOKUP($D79,Inputs!$B$46:$B$57,Inputs!F$46:F$57)</f>
        <v>0.21</v>
      </c>
      <c r="P79" s="13" t="str">
        <f t="shared" si="26"/>
        <v/>
      </c>
      <c r="Q79" s="27">
        <v>4501725.4941176474</v>
      </c>
      <c r="R79" s="31">
        <f>LOOKUP($D79,Inputs!$B$46:$B$57,Inputs!G$46:G$57)</f>
        <v>0.6</v>
      </c>
      <c r="S79" s="31">
        <f>LOOKUP($D79,Inputs!$B$46:$B$57,Inputs!H$46:H$57)</f>
        <v>0.4</v>
      </c>
      <c r="T79" s="31">
        <f>LOOKUP($D79,Inputs!$B$46:$B$57,Inputs!I$46:I$57)</f>
        <v>0</v>
      </c>
      <c r="U79" s="31">
        <f>LOOKUP($D79,Inputs!$B$46:$B$57,Inputs!J$46:J$57)</f>
        <v>0</v>
      </c>
      <c r="V79" s="13" t="str">
        <f t="shared" si="27"/>
        <v/>
      </c>
      <c r="X79" s="27">
        <v>889276</v>
      </c>
      <c r="Y79" s="28">
        <v>0.24</v>
      </c>
      <c r="Z79" s="28">
        <v>0.26</v>
      </c>
      <c r="AA79" s="28">
        <v>0.28999999999999998</v>
      </c>
      <c r="AB79" s="28">
        <v>0.21</v>
      </c>
      <c r="AC79" s="28">
        <v>0.6</v>
      </c>
      <c r="AD79" s="28">
        <v>0.4</v>
      </c>
      <c r="AE79" s="28">
        <v>0</v>
      </c>
      <c r="AF79" s="28">
        <v>0</v>
      </c>
      <c r="AG79" s="33" t="str">
        <f t="shared" si="18"/>
        <v/>
      </c>
      <c r="AH79" s="33" t="str">
        <f t="shared" si="19"/>
        <v/>
      </c>
      <c r="AI79" s="33" t="str">
        <f t="shared" si="20"/>
        <v/>
      </c>
      <c r="AJ79" s="33" t="str">
        <f t="shared" si="21"/>
        <v/>
      </c>
      <c r="AK79" s="33" t="str">
        <f t="shared" si="22"/>
        <v/>
      </c>
      <c r="AL79" s="33" t="str">
        <f t="shared" si="23"/>
        <v/>
      </c>
      <c r="AM79" s="33" t="str">
        <f t="shared" si="24"/>
        <v/>
      </c>
      <c r="AN79" s="33" t="str">
        <f t="shared" si="25"/>
        <v/>
      </c>
    </row>
    <row r="80" spans="2:41" s="1" customFormat="1" hidden="1" x14ac:dyDescent="0.25">
      <c r="B80" s="54">
        <v>1391</v>
      </c>
      <c r="C80" s="54" t="s">
        <v>117</v>
      </c>
      <c r="D80" s="54" t="s">
        <v>26</v>
      </c>
      <c r="E80" s="55">
        <v>1966</v>
      </c>
      <c r="F80" s="55" t="s">
        <v>319</v>
      </c>
      <c r="G80" s="27">
        <v>36180</v>
      </c>
      <c r="H80" s="15" t="s">
        <v>176</v>
      </c>
      <c r="I80" s="50" t="s">
        <v>262</v>
      </c>
      <c r="J80" s="116"/>
      <c r="K80" s="27">
        <v>239006.97171083846</v>
      </c>
      <c r="L80" s="31">
        <f>LOOKUP($D80,Inputs!$B$46:$B$57,Inputs!C$46:C$57)</f>
        <v>0.26</v>
      </c>
      <c r="M80" s="31">
        <f>LOOKUP($D80,Inputs!$B$46:$B$57,Inputs!D$46:D$57)</f>
        <v>0.23</v>
      </c>
      <c r="N80" s="31">
        <f>LOOKUP($D80,Inputs!$B$46:$B$57,Inputs!E$46:E$57)</f>
        <v>0.26</v>
      </c>
      <c r="O80" s="31">
        <f>LOOKUP($D80,Inputs!$B$46:$B$57,Inputs!F$46:F$57)</f>
        <v>0.25</v>
      </c>
      <c r="P80" s="13" t="str">
        <f t="shared" si="26"/>
        <v/>
      </c>
      <c r="Q80" s="27">
        <v>1362496.2352941176</v>
      </c>
      <c r="R80" s="31">
        <f>LOOKUP($D80,Inputs!$B$46:$B$57,Inputs!G$46:G$57)</f>
        <v>0.8</v>
      </c>
      <c r="S80" s="31">
        <f>LOOKUP($D80,Inputs!$B$46:$B$57,Inputs!H$46:H$57)</f>
        <v>0.2</v>
      </c>
      <c r="T80" s="31">
        <f>LOOKUP($D80,Inputs!$B$46:$B$57,Inputs!I$46:I$57)</f>
        <v>0</v>
      </c>
      <c r="U80" s="31">
        <f>LOOKUP($D80,Inputs!$B$46:$B$57,Inputs!J$46:J$57)</f>
        <v>0</v>
      </c>
      <c r="V80" s="13" t="str">
        <f t="shared" si="27"/>
        <v/>
      </c>
      <c r="X80" s="27">
        <v>239006.97171083846</v>
      </c>
      <c r="Y80" s="28">
        <v>0.26</v>
      </c>
      <c r="Z80" s="28">
        <v>0.23</v>
      </c>
      <c r="AA80" s="28">
        <v>0.26</v>
      </c>
      <c r="AB80" s="28">
        <v>0.25</v>
      </c>
      <c r="AC80" s="28">
        <v>0.8</v>
      </c>
      <c r="AD80" s="28">
        <v>0.2</v>
      </c>
      <c r="AE80" s="28">
        <v>0</v>
      </c>
      <c r="AF80" s="28">
        <v>0</v>
      </c>
      <c r="AG80" s="33" t="str">
        <f t="shared" si="18"/>
        <v/>
      </c>
      <c r="AH80" s="33" t="str">
        <f t="shared" si="19"/>
        <v/>
      </c>
      <c r="AI80" s="33" t="str">
        <f t="shared" si="20"/>
        <v/>
      </c>
      <c r="AJ80" s="33" t="str">
        <f t="shared" si="21"/>
        <v/>
      </c>
      <c r="AK80" s="33" t="str">
        <f t="shared" si="22"/>
        <v/>
      </c>
      <c r="AL80" s="33" t="str">
        <f t="shared" si="23"/>
        <v/>
      </c>
      <c r="AM80" s="33" t="str">
        <f t="shared" si="24"/>
        <v/>
      </c>
      <c r="AN80" s="33" t="str">
        <f t="shared" si="25"/>
        <v/>
      </c>
    </row>
    <row r="81" spans="2:41" s="1" customFormat="1" hidden="1" x14ac:dyDescent="0.25">
      <c r="B81" s="54">
        <v>1277</v>
      </c>
      <c r="C81" s="54" t="s">
        <v>118</v>
      </c>
      <c r="D81" s="54" t="s">
        <v>22</v>
      </c>
      <c r="E81" s="55">
        <v>2011</v>
      </c>
      <c r="F81" s="55" t="s">
        <v>319</v>
      </c>
      <c r="G81" s="27">
        <v>139682</v>
      </c>
      <c r="H81" s="15" t="s">
        <v>176</v>
      </c>
      <c r="I81" s="50" t="s">
        <v>262</v>
      </c>
      <c r="J81" s="116"/>
      <c r="K81" s="27">
        <v>2246028</v>
      </c>
      <c r="L81" s="31">
        <f>LOOKUP($D81,Inputs!$B$46:$B$57,Inputs!C$46:C$57)</f>
        <v>0.24</v>
      </c>
      <c r="M81" s="31">
        <f>LOOKUP($D81,Inputs!$B$46:$B$57,Inputs!D$46:D$57)</f>
        <v>0.26</v>
      </c>
      <c r="N81" s="31">
        <f>LOOKUP($D81,Inputs!$B$46:$B$57,Inputs!E$46:E$57)</f>
        <v>0.28999999999999998</v>
      </c>
      <c r="O81" s="31">
        <f>LOOKUP($D81,Inputs!$B$46:$B$57,Inputs!F$46:F$57)</f>
        <v>0.21</v>
      </c>
      <c r="P81" s="13" t="str">
        <f t="shared" si="26"/>
        <v/>
      </c>
      <c r="Q81" s="27">
        <v>2606521.2352941181</v>
      </c>
      <c r="R81" s="31">
        <f>LOOKUP($D81,Inputs!$B$46:$B$57,Inputs!G$46:G$57)</f>
        <v>0.6</v>
      </c>
      <c r="S81" s="31">
        <f>LOOKUP($D81,Inputs!$B$46:$B$57,Inputs!H$46:H$57)</f>
        <v>0.4</v>
      </c>
      <c r="T81" s="31">
        <f>LOOKUP($D81,Inputs!$B$46:$B$57,Inputs!I$46:I$57)</f>
        <v>0</v>
      </c>
      <c r="U81" s="31">
        <f>LOOKUP($D81,Inputs!$B$46:$B$57,Inputs!J$46:J$57)</f>
        <v>0</v>
      </c>
      <c r="V81" s="13" t="str">
        <f t="shared" si="27"/>
        <v/>
      </c>
      <c r="X81" s="27">
        <v>2246028</v>
      </c>
      <c r="Y81" s="28">
        <v>0.24</v>
      </c>
      <c r="Z81" s="28">
        <v>0.26</v>
      </c>
      <c r="AA81" s="28">
        <v>0.28999999999999998</v>
      </c>
      <c r="AB81" s="28">
        <v>0.21</v>
      </c>
      <c r="AC81" s="28">
        <v>0.6</v>
      </c>
      <c r="AD81" s="28">
        <v>0.4</v>
      </c>
      <c r="AE81" s="28">
        <v>0</v>
      </c>
      <c r="AF81" s="28">
        <v>0</v>
      </c>
      <c r="AG81" s="33" t="str">
        <f t="shared" si="18"/>
        <v/>
      </c>
      <c r="AH81" s="33" t="str">
        <f t="shared" si="19"/>
        <v/>
      </c>
      <c r="AI81" s="33" t="str">
        <f t="shared" si="20"/>
        <v/>
      </c>
      <c r="AJ81" s="33" t="str">
        <f t="shared" si="21"/>
        <v/>
      </c>
      <c r="AK81" s="33" t="str">
        <f t="shared" si="22"/>
        <v/>
      </c>
      <c r="AL81" s="33" t="str">
        <f t="shared" si="23"/>
        <v/>
      </c>
      <c r="AM81" s="33" t="str">
        <f t="shared" si="24"/>
        <v/>
      </c>
      <c r="AN81" s="33" t="str">
        <f t="shared" si="25"/>
        <v/>
      </c>
    </row>
    <row r="82" spans="2:41" hidden="1" x14ac:dyDescent="0.25">
      <c r="B82" s="54">
        <v>1237</v>
      </c>
      <c r="C82" s="54" t="s">
        <v>119</v>
      </c>
      <c r="D82" s="54" t="s">
        <v>30</v>
      </c>
      <c r="E82" s="55">
        <v>1994</v>
      </c>
      <c r="F82" s="55" t="s">
        <v>319</v>
      </c>
      <c r="G82" s="27">
        <v>109588</v>
      </c>
      <c r="H82" s="15" t="s">
        <v>177</v>
      </c>
      <c r="I82" s="50" t="s">
        <v>267</v>
      </c>
      <c r="J82" s="116"/>
      <c r="K82" s="27">
        <v>3719212</v>
      </c>
      <c r="L82" s="31">
        <f>LOOKUP($D82,Inputs!$B$46:$B$57,Inputs!C$46:C$57)</f>
        <v>0.16</v>
      </c>
      <c r="M82" s="31">
        <f>LOOKUP($D82,Inputs!$B$46:$B$57,Inputs!D$46:D$57)</f>
        <v>0.16333333333333333</v>
      </c>
      <c r="N82" s="31">
        <f>LOOKUP($D82,Inputs!$B$46:$B$57,Inputs!E$46:E$57)</f>
        <v>0.24666666666666667</v>
      </c>
      <c r="O82" s="31">
        <f>LOOKUP($D82,Inputs!$B$46:$B$57,Inputs!F$46:F$57)</f>
        <v>0.42999999999999994</v>
      </c>
      <c r="P82" s="13" t="str">
        <f t="shared" si="26"/>
        <v/>
      </c>
      <c r="Q82" s="27">
        <v>6415666.0999797322</v>
      </c>
      <c r="R82" s="31">
        <f>LOOKUP($D82,Inputs!$B$46:$B$57,Inputs!G$46:G$57)</f>
        <v>0.76666666666666661</v>
      </c>
      <c r="S82" s="31">
        <f>LOOKUP($D82,Inputs!$B$46:$B$57,Inputs!H$46:H$57)</f>
        <v>0.23333333333333331</v>
      </c>
      <c r="T82" s="31">
        <f>LOOKUP($D82,Inputs!$B$46:$B$57,Inputs!I$46:I$57)</f>
        <v>0</v>
      </c>
      <c r="U82" s="31">
        <f>LOOKUP($D82,Inputs!$B$46:$B$57,Inputs!J$46:J$57)</f>
        <v>0</v>
      </c>
      <c r="V82" s="13" t="str">
        <f t="shared" si="27"/>
        <v/>
      </c>
      <c r="W82" s="1"/>
      <c r="X82" s="27">
        <v>3719212</v>
      </c>
      <c r="Y82" s="28">
        <v>0.3949579831932773</v>
      </c>
      <c r="Z82" s="28">
        <v>0.13025210084033612</v>
      </c>
      <c r="AA82" s="28">
        <v>0.15126050420168063</v>
      </c>
      <c r="AB82" s="28">
        <v>0.32352941176470584</v>
      </c>
      <c r="AC82" s="28">
        <v>0.7</v>
      </c>
      <c r="AD82" s="28">
        <v>0.3</v>
      </c>
      <c r="AE82" s="28">
        <v>0</v>
      </c>
      <c r="AF82" s="28">
        <v>0</v>
      </c>
      <c r="AG82" s="33" t="str">
        <f t="shared" si="18"/>
        <v>FLAG</v>
      </c>
      <c r="AH82" s="33" t="str">
        <f t="shared" si="19"/>
        <v>FLAG</v>
      </c>
      <c r="AI82" s="33" t="str">
        <f t="shared" si="20"/>
        <v>FLAG</v>
      </c>
      <c r="AJ82" s="33" t="str">
        <f t="shared" si="21"/>
        <v>FLAG</v>
      </c>
      <c r="AK82" s="33" t="str">
        <f t="shared" si="22"/>
        <v>FLAG</v>
      </c>
      <c r="AL82" s="33" t="str">
        <f t="shared" si="23"/>
        <v>FLAG</v>
      </c>
      <c r="AM82" s="33" t="str">
        <f t="shared" si="24"/>
        <v/>
      </c>
      <c r="AN82" s="33" t="str">
        <f t="shared" si="25"/>
        <v/>
      </c>
      <c r="AO82" s="1"/>
    </row>
    <row r="83" spans="2:41" s="1" customFormat="1" hidden="1" x14ac:dyDescent="0.25">
      <c r="B83" s="54">
        <v>1484</v>
      </c>
      <c r="C83" s="54" t="s">
        <v>120</v>
      </c>
      <c r="D83" s="54" t="s">
        <v>26</v>
      </c>
      <c r="E83" s="55">
        <v>1873</v>
      </c>
      <c r="F83" s="55" t="s">
        <v>319</v>
      </c>
      <c r="G83" s="27">
        <v>30401</v>
      </c>
      <c r="H83" s="15" t="s">
        <v>177</v>
      </c>
      <c r="I83" s="50" t="s">
        <v>281</v>
      </c>
      <c r="J83" s="116"/>
      <c r="K83" s="27">
        <v>117472</v>
      </c>
      <c r="L83" s="31">
        <f>LOOKUP($D83,Inputs!$B$46:$B$57,Inputs!C$46:C$57)</f>
        <v>0.26</v>
      </c>
      <c r="M83" s="31">
        <f>LOOKUP($D83,Inputs!$B$46:$B$57,Inputs!D$46:D$57)</f>
        <v>0.23</v>
      </c>
      <c r="N83" s="31">
        <f>LOOKUP($D83,Inputs!$B$46:$B$57,Inputs!E$46:E$57)</f>
        <v>0.26</v>
      </c>
      <c r="O83" s="31">
        <f>LOOKUP($D83,Inputs!$B$46:$B$57,Inputs!F$46:F$57)</f>
        <v>0.25</v>
      </c>
      <c r="P83" s="13" t="str">
        <f t="shared" si="26"/>
        <v/>
      </c>
      <c r="Q83" s="27">
        <v>919664.93035288597</v>
      </c>
      <c r="R83" s="31">
        <f>LOOKUP($D83,Inputs!$B$46:$B$57,Inputs!G$46:G$57)</f>
        <v>0.8</v>
      </c>
      <c r="S83" s="31">
        <f>LOOKUP($D83,Inputs!$B$46:$B$57,Inputs!H$46:H$57)</f>
        <v>0.2</v>
      </c>
      <c r="T83" s="31">
        <f>LOOKUP($D83,Inputs!$B$46:$B$57,Inputs!I$46:I$57)</f>
        <v>0</v>
      </c>
      <c r="U83" s="31">
        <f>LOOKUP($D83,Inputs!$B$46:$B$57,Inputs!J$46:J$57)</f>
        <v>0</v>
      </c>
      <c r="V83" s="13" t="str">
        <f t="shared" si="27"/>
        <v/>
      </c>
      <c r="X83" s="27">
        <v>117472</v>
      </c>
      <c r="Y83" s="28">
        <v>0.26</v>
      </c>
      <c r="Z83" s="28">
        <v>0.23</v>
      </c>
      <c r="AA83" s="28">
        <v>0.26</v>
      </c>
      <c r="AB83" s="28">
        <v>0.25</v>
      </c>
      <c r="AC83" s="28">
        <v>0.8</v>
      </c>
      <c r="AD83" s="28">
        <v>0.2</v>
      </c>
      <c r="AE83" s="28">
        <v>0</v>
      </c>
      <c r="AF83" s="28">
        <v>0</v>
      </c>
      <c r="AG83" s="33" t="str">
        <f t="shared" si="18"/>
        <v/>
      </c>
      <c r="AH83" s="33" t="str">
        <f t="shared" si="19"/>
        <v/>
      </c>
      <c r="AI83" s="33" t="str">
        <f t="shared" si="20"/>
        <v/>
      </c>
      <c r="AJ83" s="33" t="str">
        <f t="shared" si="21"/>
        <v/>
      </c>
      <c r="AK83" s="33" t="str">
        <f t="shared" si="22"/>
        <v/>
      </c>
      <c r="AL83" s="33" t="str">
        <f t="shared" si="23"/>
        <v/>
      </c>
      <c r="AM83" s="33" t="str">
        <f t="shared" si="24"/>
        <v/>
      </c>
      <c r="AN83" s="33" t="str">
        <f t="shared" si="25"/>
        <v/>
      </c>
    </row>
    <row r="84" spans="2:41" s="1" customFormat="1" hidden="1" x14ac:dyDescent="0.25">
      <c r="B84" s="54">
        <v>1210</v>
      </c>
      <c r="C84" s="54" t="s">
        <v>121</v>
      </c>
      <c r="D84" s="54" t="s">
        <v>21</v>
      </c>
      <c r="E84" s="55">
        <v>1941</v>
      </c>
      <c r="F84" s="55" t="s">
        <v>319</v>
      </c>
      <c r="G84" s="27">
        <v>110919</v>
      </c>
      <c r="H84" s="15" t="s">
        <v>176</v>
      </c>
      <c r="I84" s="50" t="s">
        <v>259</v>
      </c>
      <c r="J84" s="116"/>
      <c r="K84" s="27">
        <v>910249</v>
      </c>
      <c r="L84" s="31">
        <f>LOOKUP($D84,Inputs!$B$46:$B$57,Inputs!C$46:C$57)</f>
        <v>0.1</v>
      </c>
      <c r="M84" s="31">
        <f>LOOKUP($D84,Inputs!$B$46:$B$57,Inputs!D$46:D$57)</f>
        <v>0.12</v>
      </c>
      <c r="N84" s="31">
        <f>LOOKUP($D84,Inputs!$B$46:$B$57,Inputs!E$46:E$57)</f>
        <v>0.22</v>
      </c>
      <c r="O84" s="31">
        <f>LOOKUP($D84,Inputs!$B$46:$B$57,Inputs!F$46:F$57)</f>
        <v>0.56000000000000005</v>
      </c>
      <c r="P84" s="13" t="str">
        <f t="shared" si="26"/>
        <v/>
      </c>
      <c r="Q84" s="27">
        <v>3355426.2823529411</v>
      </c>
      <c r="R84" s="31">
        <f>LOOKUP($D84,Inputs!$B$46:$B$57,Inputs!G$46:G$57)</f>
        <v>0.8</v>
      </c>
      <c r="S84" s="31">
        <f>LOOKUP($D84,Inputs!$B$46:$B$57,Inputs!H$46:H$57)</f>
        <v>0.2</v>
      </c>
      <c r="T84" s="31">
        <f>LOOKUP($D84,Inputs!$B$46:$B$57,Inputs!I$46:I$57)</f>
        <v>0</v>
      </c>
      <c r="U84" s="31">
        <f>LOOKUP($D84,Inputs!$B$46:$B$57,Inputs!J$46:J$57)</f>
        <v>0</v>
      </c>
      <c r="V84" s="13" t="str">
        <f t="shared" si="27"/>
        <v/>
      </c>
      <c r="X84" s="27">
        <v>910249</v>
      </c>
      <c r="Y84" s="28">
        <v>0.1</v>
      </c>
      <c r="Z84" s="28">
        <v>0.12</v>
      </c>
      <c r="AA84" s="28">
        <v>0.22</v>
      </c>
      <c r="AB84" s="28">
        <v>0.56000000000000005</v>
      </c>
      <c r="AC84" s="28">
        <v>0.8</v>
      </c>
      <c r="AD84" s="28">
        <v>0.2</v>
      </c>
      <c r="AE84" s="28">
        <v>0</v>
      </c>
      <c r="AF84" s="28">
        <v>0</v>
      </c>
      <c r="AG84" s="33" t="str">
        <f t="shared" si="18"/>
        <v/>
      </c>
      <c r="AH84" s="33" t="str">
        <f t="shared" si="19"/>
        <v/>
      </c>
      <c r="AI84" s="33" t="str">
        <f t="shared" si="20"/>
        <v/>
      </c>
      <c r="AJ84" s="33" t="str">
        <f t="shared" si="21"/>
        <v/>
      </c>
      <c r="AK84" s="33" t="str">
        <f t="shared" si="22"/>
        <v/>
      </c>
      <c r="AL84" s="33" t="str">
        <f t="shared" si="23"/>
        <v/>
      </c>
      <c r="AM84" s="33" t="str">
        <f t="shared" si="24"/>
        <v/>
      </c>
      <c r="AN84" s="33" t="str">
        <f t="shared" si="25"/>
        <v/>
      </c>
    </row>
    <row r="85" spans="2:41" s="1" customFormat="1" hidden="1" x14ac:dyDescent="0.25">
      <c r="B85" s="54">
        <v>1149</v>
      </c>
      <c r="C85" s="54" t="s">
        <v>122</v>
      </c>
      <c r="D85" s="54" t="s">
        <v>25</v>
      </c>
      <c r="E85" s="55">
        <v>2006</v>
      </c>
      <c r="F85" s="55" t="s">
        <v>319</v>
      </c>
      <c r="G85" s="27">
        <v>304333</v>
      </c>
      <c r="H85" s="15" t="s">
        <v>177</v>
      </c>
      <c r="I85" s="50" t="s">
        <v>268</v>
      </c>
      <c r="J85" s="116"/>
      <c r="K85" s="27">
        <v>14130264.151866149</v>
      </c>
      <c r="L85" s="25">
        <v>0.13</v>
      </c>
      <c r="M85" s="25">
        <v>0.40599999999999997</v>
      </c>
      <c r="N85" s="25">
        <v>0.20879999999999999</v>
      </c>
      <c r="O85" s="25">
        <v>0.25519999999999998</v>
      </c>
      <c r="P85" s="13" t="str">
        <f t="shared" si="26"/>
        <v/>
      </c>
      <c r="Q85" s="27">
        <v>53831137.117647059</v>
      </c>
      <c r="R85" s="31">
        <f>LOOKUP($D85,Inputs!$B$46:$B$57,Inputs!G$46:G$57)*(1-$U85-$T85)</f>
        <v>0.45499999999999996</v>
      </c>
      <c r="S85" s="31">
        <f>LOOKUP($D85,Inputs!$B$46:$B$57,Inputs!H$46:H$57)*(1-$U85-$T85)</f>
        <v>0.19500000000000001</v>
      </c>
      <c r="T85" s="25">
        <v>0.25</v>
      </c>
      <c r="U85" s="25">
        <v>0.1</v>
      </c>
      <c r="V85" s="13" t="str">
        <f t="shared" si="27"/>
        <v/>
      </c>
      <c r="X85" s="27">
        <v>14130264.151866149</v>
      </c>
      <c r="Y85" s="28">
        <v>0.13</v>
      </c>
      <c r="Z85" s="28">
        <v>0.40599999999999997</v>
      </c>
      <c r="AA85" s="28">
        <v>0.20879999999999999</v>
      </c>
      <c r="AB85" s="28">
        <v>0.25519999999999998</v>
      </c>
      <c r="AC85" s="28">
        <v>0.45499999999999996</v>
      </c>
      <c r="AD85" s="28">
        <v>0.19500000000000001</v>
      </c>
      <c r="AE85" s="28">
        <v>0.25</v>
      </c>
      <c r="AF85" s="28">
        <v>0.1</v>
      </c>
      <c r="AG85" s="33" t="str">
        <f t="shared" si="18"/>
        <v/>
      </c>
      <c r="AH85" s="33" t="str">
        <f t="shared" si="19"/>
        <v/>
      </c>
      <c r="AI85" s="33" t="str">
        <f t="shared" si="20"/>
        <v/>
      </c>
      <c r="AJ85" s="33" t="str">
        <f t="shared" si="21"/>
        <v/>
      </c>
      <c r="AK85" s="33" t="str">
        <f t="shared" si="22"/>
        <v/>
      </c>
      <c r="AL85" s="33" t="str">
        <f t="shared" si="23"/>
        <v/>
      </c>
      <c r="AM85" s="33" t="str">
        <f t="shared" si="24"/>
        <v/>
      </c>
      <c r="AN85" s="33" t="str">
        <f t="shared" si="25"/>
        <v/>
      </c>
    </row>
    <row r="86" spans="2:41" s="1" customFormat="1" hidden="1" x14ac:dyDescent="0.25">
      <c r="B86" s="54">
        <v>1150</v>
      </c>
      <c r="C86" s="54" t="s">
        <v>123</v>
      </c>
      <c r="D86" s="54" t="s">
        <v>29</v>
      </c>
      <c r="E86" s="55">
        <v>2007</v>
      </c>
      <c r="F86" s="55" t="s">
        <v>319</v>
      </c>
      <c r="G86" s="27">
        <v>65860</v>
      </c>
      <c r="H86" s="15" t="s">
        <v>177</v>
      </c>
      <c r="I86" s="50" t="s">
        <v>268</v>
      </c>
      <c r="J86" s="116"/>
      <c r="K86" s="27">
        <v>862821</v>
      </c>
      <c r="L86" s="25">
        <v>0.01</v>
      </c>
      <c r="M86" s="25">
        <v>0.2286161386018826</v>
      </c>
      <c r="N86" s="25">
        <v>0.29181301818737049</v>
      </c>
      <c r="O86" s="25">
        <v>0.46957084321074699</v>
      </c>
      <c r="P86" s="13" t="str">
        <f t="shared" si="26"/>
        <v/>
      </c>
      <c r="Q86" s="27">
        <v>2584220.3647058825</v>
      </c>
      <c r="R86" s="31">
        <f>LOOKUP($D86,Inputs!$B$46:$B$57,Inputs!G$46:G$57)*(1-$T86)</f>
        <v>0.48</v>
      </c>
      <c r="S86" s="31">
        <f>LOOKUP($D86,Inputs!$B$46:$B$57,Inputs!H$46:H$57)*(1-$T86)</f>
        <v>0.12</v>
      </c>
      <c r="T86" s="25">
        <v>0.4</v>
      </c>
      <c r="U86" s="31">
        <f>LOOKUP($D86,Inputs!$B$46:$B$57,Inputs!J$46:J$57)</f>
        <v>0</v>
      </c>
      <c r="V86" s="13" t="str">
        <f t="shared" si="27"/>
        <v/>
      </c>
      <c r="X86" s="27">
        <v>862821</v>
      </c>
      <c r="Y86" s="28">
        <v>0.01</v>
      </c>
      <c r="Z86" s="28">
        <v>0.2286161386018826</v>
      </c>
      <c r="AA86" s="28">
        <v>0.29181301818737049</v>
      </c>
      <c r="AB86" s="28">
        <v>0.46957084321074699</v>
      </c>
      <c r="AC86" s="28">
        <v>0.48</v>
      </c>
      <c r="AD86" s="28">
        <v>0.12</v>
      </c>
      <c r="AE86" s="28">
        <v>0.4</v>
      </c>
      <c r="AF86" s="28">
        <v>0</v>
      </c>
      <c r="AG86" s="33" t="str">
        <f t="shared" si="18"/>
        <v/>
      </c>
      <c r="AH86" s="33" t="str">
        <f t="shared" si="19"/>
        <v/>
      </c>
      <c r="AI86" s="33" t="str">
        <f t="shared" si="20"/>
        <v/>
      </c>
      <c r="AJ86" s="33" t="str">
        <f t="shared" si="21"/>
        <v/>
      </c>
      <c r="AK86" s="33" t="str">
        <f t="shared" si="22"/>
        <v/>
      </c>
      <c r="AL86" s="33" t="str">
        <f t="shared" si="23"/>
        <v/>
      </c>
      <c r="AM86" s="33" t="str">
        <f t="shared" si="24"/>
        <v/>
      </c>
      <c r="AN86" s="33" t="str">
        <f t="shared" si="25"/>
        <v/>
      </c>
    </row>
    <row r="87" spans="2:41" s="1" customFormat="1" hidden="1" x14ac:dyDescent="0.25">
      <c r="B87" s="54">
        <v>1661</v>
      </c>
      <c r="C87" s="54" t="s">
        <v>124</v>
      </c>
      <c r="D87" s="54" t="s">
        <v>125</v>
      </c>
      <c r="E87" s="55">
        <v>1930</v>
      </c>
      <c r="F87" s="55" t="s">
        <v>319</v>
      </c>
      <c r="G87" s="27">
        <v>13720</v>
      </c>
      <c r="H87" s="15" t="s">
        <v>16</v>
      </c>
      <c r="I87" s="15" t="s">
        <v>264</v>
      </c>
      <c r="J87" s="116"/>
      <c r="K87" s="27">
        <v>0</v>
      </c>
      <c r="L87" s="25">
        <v>0</v>
      </c>
      <c r="M87" s="25">
        <v>0</v>
      </c>
      <c r="N87" s="25">
        <v>0</v>
      </c>
      <c r="O87" s="25">
        <v>0</v>
      </c>
      <c r="P87" s="13" t="str">
        <f t="shared" si="26"/>
        <v>FLAG</v>
      </c>
      <c r="Q87" s="27">
        <v>0</v>
      </c>
      <c r="R87" s="25">
        <v>0</v>
      </c>
      <c r="S87" s="25">
        <v>0</v>
      </c>
      <c r="T87" s="25">
        <v>0</v>
      </c>
      <c r="U87" s="25">
        <v>0</v>
      </c>
      <c r="V87" s="13" t="str">
        <f t="shared" si="27"/>
        <v>FLAG</v>
      </c>
      <c r="X87" s="27"/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33" t="str">
        <f t="shared" si="18"/>
        <v/>
      </c>
      <c r="AH87" s="33" t="str">
        <f t="shared" si="19"/>
        <v/>
      </c>
      <c r="AI87" s="33" t="str">
        <f t="shared" si="20"/>
        <v/>
      </c>
      <c r="AJ87" s="33" t="str">
        <f t="shared" si="21"/>
        <v/>
      </c>
      <c r="AK87" s="33" t="str">
        <f t="shared" si="22"/>
        <v/>
      </c>
      <c r="AL87" s="33" t="str">
        <f t="shared" si="23"/>
        <v/>
      </c>
      <c r="AM87" s="33" t="str">
        <f t="shared" si="24"/>
        <v/>
      </c>
      <c r="AN87" s="33" t="str">
        <f t="shared" si="25"/>
        <v/>
      </c>
    </row>
    <row r="88" spans="2:41" s="1" customFormat="1" hidden="1" x14ac:dyDescent="0.25">
      <c r="B88" s="54">
        <v>1488</v>
      </c>
      <c r="C88" s="54" t="s">
        <v>126</v>
      </c>
      <c r="D88" s="54" t="s">
        <v>26</v>
      </c>
      <c r="E88" s="55">
        <v>1923</v>
      </c>
      <c r="F88" s="55" t="s">
        <v>319</v>
      </c>
      <c r="G88" s="27">
        <v>58733</v>
      </c>
      <c r="H88" s="15" t="s">
        <v>177</v>
      </c>
      <c r="I88" s="50" t="s">
        <v>279</v>
      </c>
      <c r="J88" s="116"/>
      <c r="K88" s="27">
        <v>376339</v>
      </c>
      <c r="L88" s="31">
        <f>LOOKUP($D88,Inputs!$B$46:$B$57,Inputs!C$46:C$57)</f>
        <v>0.26</v>
      </c>
      <c r="M88" s="31">
        <f>LOOKUP($D88,Inputs!$B$46:$B$57,Inputs!D$46:D$57)</f>
        <v>0.23</v>
      </c>
      <c r="N88" s="31">
        <f>LOOKUP($D88,Inputs!$B$46:$B$57,Inputs!E$46:E$57)</f>
        <v>0.26</v>
      </c>
      <c r="O88" s="31">
        <f>LOOKUP($D88,Inputs!$B$46:$B$57,Inputs!F$46:F$57)</f>
        <v>0.25</v>
      </c>
      <c r="P88" s="13" t="str">
        <f t="shared" si="26"/>
        <v/>
      </c>
      <c r="Q88" s="27">
        <v>1776740.250465973</v>
      </c>
      <c r="R88" s="31">
        <f>LOOKUP($D88,Inputs!$B$46:$B$57,Inputs!G$46:G$57)</f>
        <v>0.8</v>
      </c>
      <c r="S88" s="31">
        <f>LOOKUP($D88,Inputs!$B$46:$B$57,Inputs!H$46:H$57)</f>
        <v>0.2</v>
      </c>
      <c r="T88" s="31">
        <f>LOOKUP($D88,Inputs!$B$46:$B$57,Inputs!I$46:I$57)</f>
        <v>0</v>
      </c>
      <c r="U88" s="31">
        <f>LOOKUP($D88,Inputs!$B$46:$B$57,Inputs!J$46:J$57)</f>
        <v>0</v>
      </c>
      <c r="V88" s="13" t="str">
        <f t="shared" si="27"/>
        <v/>
      </c>
      <c r="X88" s="27">
        <v>376339</v>
      </c>
      <c r="Y88" s="28">
        <v>0.26</v>
      </c>
      <c r="Z88" s="28">
        <v>0.23</v>
      </c>
      <c r="AA88" s="28">
        <v>0.26</v>
      </c>
      <c r="AB88" s="28">
        <v>0.25</v>
      </c>
      <c r="AC88" s="28">
        <v>0.8</v>
      </c>
      <c r="AD88" s="28">
        <v>0.2</v>
      </c>
      <c r="AE88" s="28">
        <v>0</v>
      </c>
      <c r="AF88" s="28">
        <v>0</v>
      </c>
      <c r="AG88" s="33" t="str">
        <f t="shared" si="18"/>
        <v/>
      </c>
      <c r="AH88" s="33" t="str">
        <f t="shared" si="19"/>
        <v/>
      </c>
      <c r="AI88" s="33" t="str">
        <f t="shared" si="20"/>
        <v/>
      </c>
      <c r="AJ88" s="33" t="str">
        <f t="shared" si="21"/>
        <v/>
      </c>
      <c r="AK88" s="33" t="str">
        <f t="shared" si="22"/>
        <v/>
      </c>
      <c r="AL88" s="33" t="str">
        <f t="shared" si="23"/>
        <v/>
      </c>
      <c r="AM88" s="33" t="str">
        <f t="shared" si="24"/>
        <v/>
      </c>
      <c r="AN88" s="33" t="str">
        <f t="shared" si="25"/>
        <v/>
      </c>
    </row>
    <row r="89" spans="2:41" hidden="1" x14ac:dyDescent="0.25">
      <c r="B89" s="54">
        <v>1495</v>
      </c>
      <c r="C89" s="54" t="s">
        <v>127</v>
      </c>
      <c r="D89" s="54" t="s">
        <v>32</v>
      </c>
      <c r="E89" s="55">
        <v>1942</v>
      </c>
      <c r="F89" s="55" t="s">
        <v>319</v>
      </c>
      <c r="G89" s="27">
        <v>86959</v>
      </c>
      <c r="H89" s="15" t="s">
        <v>177</v>
      </c>
      <c r="I89" s="50" t="s">
        <v>263</v>
      </c>
      <c r="J89" s="116"/>
      <c r="K89" s="27">
        <v>265813</v>
      </c>
      <c r="L89" s="31">
        <f>LOOKUP($D89,Inputs!$B$46:$B$57,Inputs!C$46:C$57)</f>
        <v>0</v>
      </c>
      <c r="M89" s="31">
        <f>LOOKUP($D89,Inputs!$B$46:$B$57,Inputs!D$46:D$57)</f>
        <v>0.1</v>
      </c>
      <c r="N89" s="31">
        <f>LOOKUP($D89,Inputs!$B$46:$B$57,Inputs!E$46:E$57)</f>
        <v>0.4</v>
      </c>
      <c r="O89" s="31">
        <f>LOOKUP($D89,Inputs!$B$46:$B$57,Inputs!F$46:F$57)</f>
        <v>0.5</v>
      </c>
      <c r="P89" s="13" t="str">
        <f t="shared" si="26"/>
        <v/>
      </c>
      <c r="Q89" s="27">
        <v>11102202.329411764</v>
      </c>
      <c r="R89" s="31">
        <f>LOOKUP($D89,Inputs!$B$46:$B$57,Inputs!G$46:G$57)</f>
        <v>0.6</v>
      </c>
      <c r="S89" s="31">
        <f>LOOKUP($D89,Inputs!$B$46:$B$57,Inputs!H$46:H$57)</f>
        <v>0.4</v>
      </c>
      <c r="T89" s="31">
        <f>LOOKUP($D89,Inputs!$B$46:$B$57,Inputs!I$46:I$57)</f>
        <v>0</v>
      </c>
      <c r="U89" s="31">
        <f>LOOKUP($D89,Inputs!$B$46:$B$57,Inputs!J$46:J$57)</f>
        <v>0</v>
      </c>
      <c r="V89" s="13" t="str">
        <f t="shared" si="27"/>
        <v/>
      </c>
      <c r="W89" s="1"/>
      <c r="X89" s="27">
        <v>265813</v>
      </c>
      <c r="Y89" s="28">
        <v>0</v>
      </c>
      <c r="Z89" s="28">
        <v>0.1</v>
      </c>
      <c r="AA89" s="28">
        <v>0.4</v>
      </c>
      <c r="AB89" s="28">
        <v>0.5</v>
      </c>
      <c r="AC89" s="28">
        <v>0.6</v>
      </c>
      <c r="AD89" s="28">
        <v>0.4</v>
      </c>
      <c r="AE89" s="28">
        <v>0</v>
      </c>
      <c r="AF89" s="28">
        <v>0</v>
      </c>
      <c r="AG89" s="33" t="str">
        <f t="shared" si="18"/>
        <v/>
      </c>
      <c r="AH89" s="33" t="str">
        <f t="shared" si="19"/>
        <v/>
      </c>
      <c r="AI89" s="33" t="str">
        <f t="shared" si="20"/>
        <v/>
      </c>
      <c r="AJ89" s="33" t="str">
        <f t="shared" si="21"/>
        <v/>
      </c>
      <c r="AK89" s="33" t="str">
        <f t="shared" si="22"/>
        <v/>
      </c>
      <c r="AL89" s="33" t="str">
        <f t="shared" si="23"/>
        <v/>
      </c>
      <c r="AM89" s="33" t="str">
        <f t="shared" si="24"/>
        <v/>
      </c>
      <c r="AN89" s="33" t="str">
        <f t="shared" si="25"/>
        <v/>
      </c>
      <c r="AO89" s="1"/>
    </row>
    <row r="90" spans="2:41" s="1" customFormat="1" hidden="1" x14ac:dyDescent="0.25">
      <c r="B90" s="54">
        <v>1152</v>
      </c>
      <c r="C90" s="54" t="s">
        <v>128</v>
      </c>
      <c r="D90" s="54" t="s">
        <v>28</v>
      </c>
      <c r="E90" s="55">
        <v>2009</v>
      </c>
      <c r="F90" s="55" t="s">
        <v>319</v>
      </c>
      <c r="G90" s="27">
        <v>154706</v>
      </c>
      <c r="H90" s="15" t="s">
        <v>177</v>
      </c>
      <c r="I90" s="15" t="s">
        <v>260</v>
      </c>
      <c r="J90" s="116"/>
      <c r="K90" s="27">
        <v>7733627</v>
      </c>
      <c r="L90" s="25">
        <v>0.01</v>
      </c>
      <c r="M90" s="25">
        <v>0.15750000000000003</v>
      </c>
      <c r="N90" s="25">
        <v>0.29250000000000004</v>
      </c>
      <c r="O90" s="25">
        <v>0.53999999999999992</v>
      </c>
      <c r="P90" s="13" t="str">
        <f t="shared" si="26"/>
        <v/>
      </c>
      <c r="Q90" s="27">
        <v>9057032.1537345741</v>
      </c>
      <c r="R90" s="31">
        <f>LOOKUP($D90,Inputs!$B$46:$B$57,Inputs!G$46:G$57)*(1-$T90)</f>
        <v>0.42</v>
      </c>
      <c r="S90" s="31">
        <f>LOOKUP($D90,Inputs!$B$46:$B$57,Inputs!H$46:H$57)*(1-$T90)</f>
        <v>0.18</v>
      </c>
      <c r="T90" s="25">
        <v>0.4</v>
      </c>
      <c r="U90" s="31">
        <f>LOOKUP($D90,Inputs!$B$46:$B$57,Inputs!J$46:J$57)</f>
        <v>0</v>
      </c>
      <c r="V90" s="13" t="str">
        <f t="shared" si="27"/>
        <v/>
      </c>
      <c r="X90" s="27">
        <v>7733627</v>
      </c>
      <c r="Y90" s="28">
        <v>0.01</v>
      </c>
      <c r="Z90" s="28">
        <v>0.15750000000000003</v>
      </c>
      <c r="AA90" s="28">
        <v>0.29250000000000004</v>
      </c>
      <c r="AB90" s="28">
        <v>0.53999999999999992</v>
      </c>
      <c r="AC90" s="28">
        <v>0.42</v>
      </c>
      <c r="AD90" s="28">
        <v>0.18</v>
      </c>
      <c r="AE90" s="28">
        <v>0.4</v>
      </c>
      <c r="AF90" s="28">
        <v>0</v>
      </c>
      <c r="AG90" s="33" t="str">
        <f t="shared" si="18"/>
        <v/>
      </c>
      <c r="AH90" s="33" t="str">
        <f t="shared" si="19"/>
        <v/>
      </c>
      <c r="AI90" s="33" t="str">
        <f t="shared" si="20"/>
        <v/>
      </c>
      <c r="AJ90" s="33" t="str">
        <f t="shared" si="21"/>
        <v/>
      </c>
      <c r="AK90" s="33" t="str">
        <f t="shared" si="22"/>
        <v/>
      </c>
      <c r="AL90" s="33" t="str">
        <f t="shared" si="23"/>
        <v/>
      </c>
      <c r="AM90" s="33" t="str">
        <f t="shared" si="24"/>
        <v/>
      </c>
      <c r="AN90" s="33" t="str">
        <f t="shared" si="25"/>
        <v/>
      </c>
    </row>
    <row r="91" spans="2:41" s="1" customFormat="1" hidden="1" x14ac:dyDescent="0.25">
      <c r="B91" s="54">
        <v>1808</v>
      </c>
      <c r="C91" s="54" t="s">
        <v>129</v>
      </c>
      <c r="D91" s="54" t="s">
        <v>25</v>
      </c>
      <c r="E91" s="55">
        <v>1996</v>
      </c>
      <c r="F91" s="55" t="s">
        <v>319</v>
      </c>
      <c r="G91" s="27">
        <v>116121</v>
      </c>
      <c r="H91" s="15" t="s">
        <v>177</v>
      </c>
      <c r="I91" s="50" t="s">
        <v>270</v>
      </c>
      <c r="J91" s="116"/>
      <c r="K91" s="27">
        <v>3804708</v>
      </c>
      <c r="L91" s="31">
        <f>LOOKUP($D91,Inputs!$B$46:$B$57,Inputs!C$46:C$57)</f>
        <v>0.25</v>
      </c>
      <c r="M91" s="31">
        <f>LOOKUP($D91,Inputs!$B$46:$B$57,Inputs!D$46:D$57)</f>
        <v>0.35</v>
      </c>
      <c r="N91" s="31">
        <f>LOOKUP($D91,Inputs!$B$46:$B$57,Inputs!E$46:E$57)</f>
        <v>0.18</v>
      </c>
      <c r="O91" s="31">
        <f>LOOKUP($D91,Inputs!$B$46:$B$57,Inputs!F$46:F$57)</f>
        <v>0.22</v>
      </c>
      <c r="P91" s="13" t="str">
        <f t="shared" si="26"/>
        <v/>
      </c>
      <c r="Q91" s="27">
        <v>56486576.784313731</v>
      </c>
      <c r="R91" s="31">
        <f>LOOKUP($D91,Inputs!$B$46:$B$57,Inputs!G$46:G$57)*(1-$U91)</f>
        <v>0.55999999999999994</v>
      </c>
      <c r="S91" s="31">
        <f>LOOKUP($D91,Inputs!$B$46:$B$57,Inputs!H$46:H$57)*(1-$U91)</f>
        <v>0.24</v>
      </c>
      <c r="T91" s="31">
        <f>LOOKUP($D91,Inputs!$B$46:$B$57,Inputs!I$46:I$57)*(1-$U91)</f>
        <v>0</v>
      </c>
      <c r="U91" s="25">
        <v>0.2</v>
      </c>
      <c r="V91" s="13" t="str">
        <f t="shared" si="27"/>
        <v/>
      </c>
      <c r="X91" s="27">
        <v>3804708</v>
      </c>
      <c r="Y91" s="28">
        <v>0.25</v>
      </c>
      <c r="Z91" s="28">
        <v>0.35</v>
      </c>
      <c r="AA91" s="28">
        <v>0.18</v>
      </c>
      <c r="AB91" s="28">
        <v>0.22</v>
      </c>
      <c r="AC91" s="28">
        <v>0.55999999999999994</v>
      </c>
      <c r="AD91" s="28">
        <v>0.24</v>
      </c>
      <c r="AE91" s="28">
        <v>0</v>
      </c>
      <c r="AF91" s="28">
        <v>0.2</v>
      </c>
      <c r="AG91" s="33" t="str">
        <f t="shared" si="18"/>
        <v/>
      </c>
      <c r="AH91" s="33" t="str">
        <f t="shared" si="19"/>
        <v/>
      </c>
      <c r="AI91" s="33" t="str">
        <f t="shared" si="20"/>
        <v/>
      </c>
      <c r="AJ91" s="33" t="str">
        <f t="shared" si="21"/>
        <v/>
      </c>
      <c r="AK91" s="33" t="str">
        <f t="shared" si="22"/>
        <v/>
      </c>
      <c r="AL91" s="33" t="str">
        <f t="shared" si="23"/>
        <v/>
      </c>
      <c r="AM91" s="33" t="str">
        <f t="shared" si="24"/>
        <v/>
      </c>
      <c r="AN91" s="33" t="str">
        <f t="shared" si="25"/>
        <v/>
      </c>
    </row>
    <row r="92" spans="2:41" s="1" customFormat="1" x14ac:dyDescent="0.25">
      <c r="B92" s="54">
        <v>1594</v>
      </c>
      <c r="C92" s="54" t="s">
        <v>130</v>
      </c>
      <c r="D92" s="54" t="s">
        <v>21</v>
      </c>
      <c r="E92" s="55">
        <v>1959</v>
      </c>
      <c r="F92" s="55" t="s">
        <v>319</v>
      </c>
      <c r="G92" s="27">
        <v>150887</v>
      </c>
      <c r="H92" s="15" t="s">
        <v>175</v>
      </c>
      <c r="I92" s="50" t="s">
        <v>272</v>
      </c>
      <c r="J92" s="116"/>
      <c r="K92" s="27">
        <v>1372861</v>
      </c>
      <c r="L92" s="31">
        <f>LOOKUP($D92,Inputs!$B$46:$B$57,Inputs!C$46:C$57)</f>
        <v>0.1</v>
      </c>
      <c r="M92" s="31">
        <f>LOOKUP($D92,Inputs!$B$46:$B$57,Inputs!D$46:D$57)</f>
        <v>0.12</v>
      </c>
      <c r="N92" s="31">
        <f>LOOKUP($D92,Inputs!$B$46:$B$57,Inputs!E$46:E$57)</f>
        <v>0.22</v>
      </c>
      <c r="O92" s="31">
        <f>LOOKUP($D92,Inputs!$B$46:$B$57,Inputs!F$46:F$57)</f>
        <v>0.56000000000000005</v>
      </c>
      <c r="P92" s="13" t="str">
        <f t="shared" si="26"/>
        <v/>
      </c>
      <c r="Q92" s="27">
        <v>2973103.635294118</v>
      </c>
      <c r="R92" s="31">
        <f>LOOKUP($D92,Inputs!$B$46:$B$57,Inputs!G$46:G$57)</f>
        <v>0.8</v>
      </c>
      <c r="S92" s="31">
        <f>LOOKUP($D92,Inputs!$B$46:$B$57,Inputs!H$46:H$57)</f>
        <v>0.2</v>
      </c>
      <c r="T92" s="31">
        <f>LOOKUP($D92,Inputs!$B$46:$B$57,Inputs!I$46:I$57)</f>
        <v>0</v>
      </c>
      <c r="U92" s="31">
        <f>LOOKUP($D92,Inputs!$B$46:$B$57,Inputs!J$46:J$57)</f>
        <v>0</v>
      </c>
      <c r="V92" s="13" t="str">
        <f t="shared" si="27"/>
        <v/>
      </c>
      <c r="X92" s="27">
        <v>1372861</v>
      </c>
      <c r="Y92" s="28">
        <v>0.1</v>
      </c>
      <c r="Z92" s="28">
        <v>0.12</v>
      </c>
      <c r="AA92" s="28">
        <v>0.22</v>
      </c>
      <c r="AB92" s="28">
        <v>0.56000000000000005</v>
      </c>
      <c r="AC92" s="28">
        <v>0.8</v>
      </c>
      <c r="AD92" s="28">
        <v>0.2</v>
      </c>
      <c r="AE92" s="28">
        <v>0</v>
      </c>
      <c r="AF92" s="28">
        <v>0</v>
      </c>
      <c r="AG92" s="33" t="str">
        <f t="shared" si="18"/>
        <v/>
      </c>
      <c r="AH92" s="33" t="str">
        <f t="shared" si="19"/>
        <v/>
      </c>
      <c r="AI92" s="33" t="str">
        <f t="shared" si="20"/>
        <v/>
      </c>
      <c r="AJ92" s="33" t="str">
        <f t="shared" si="21"/>
        <v/>
      </c>
      <c r="AK92" s="33" t="str">
        <f t="shared" si="22"/>
        <v/>
      </c>
      <c r="AL92" s="33" t="str">
        <f t="shared" si="23"/>
        <v/>
      </c>
      <c r="AM92" s="33" t="str">
        <f t="shared" si="24"/>
        <v/>
      </c>
      <c r="AN92" s="33" t="str">
        <f t="shared" si="25"/>
        <v/>
      </c>
    </row>
    <row r="93" spans="2:41" s="1" customFormat="1" x14ac:dyDescent="0.25">
      <c r="B93" s="54">
        <v>1439</v>
      </c>
      <c r="C93" s="54" t="s">
        <v>131</v>
      </c>
      <c r="D93" s="54" t="s">
        <v>132</v>
      </c>
      <c r="E93" s="55">
        <v>1911</v>
      </c>
      <c r="F93" s="55" t="s">
        <v>319</v>
      </c>
      <c r="G93" s="27">
        <v>18112</v>
      </c>
      <c r="H93" s="15" t="s">
        <v>175</v>
      </c>
      <c r="I93" s="50" t="s">
        <v>258</v>
      </c>
      <c r="J93" s="116"/>
      <c r="K93" s="27">
        <v>140096.22220302376</v>
      </c>
      <c r="L93" s="31">
        <f>LOOKUP($D93,Inputs!$B$46:$B$57,Inputs!C$46:C$57)</f>
        <v>0</v>
      </c>
      <c r="M93" s="31">
        <f>LOOKUP($D93,Inputs!$B$46:$B$57,Inputs!D$46:D$57)</f>
        <v>0.1</v>
      </c>
      <c r="N93" s="31">
        <f>LOOKUP($D93,Inputs!$B$46:$B$57,Inputs!E$46:E$57)</f>
        <v>0.4</v>
      </c>
      <c r="O93" s="31">
        <f>LOOKUP($D93,Inputs!$B$46:$B$57,Inputs!F$46:F$57)</f>
        <v>0.5</v>
      </c>
      <c r="P93" s="13" t="str">
        <f t="shared" si="26"/>
        <v/>
      </c>
      <c r="Q93" s="27">
        <v>1616930.9319171642</v>
      </c>
      <c r="R93" s="31">
        <f>LOOKUP($D93,Inputs!$B$46:$B$57,Inputs!G$46:G$57)</f>
        <v>0.6</v>
      </c>
      <c r="S93" s="31">
        <f>LOOKUP($D93,Inputs!$B$46:$B$57,Inputs!H$46:H$57)</f>
        <v>0.4</v>
      </c>
      <c r="T93" s="31">
        <f>LOOKUP($D93,Inputs!$B$46:$B$57,Inputs!I$46:I$57)</f>
        <v>0</v>
      </c>
      <c r="U93" s="31">
        <f>LOOKUP($D93,Inputs!$B$46:$B$57,Inputs!J$46:J$57)</f>
        <v>0</v>
      </c>
      <c r="V93" s="13" t="str">
        <f t="shared" si="27"/>
        <v/>
      </c>
      <c r="X93" s="27">
        <v>140096.22220302376</v>
      </c>
      <c r="Y93" s="28">
        <v>0</v>
      </c>
      <c r="Z93" s="28">
        <v>0.1</v>
      </c>
      <c r="AA93" s="28">
        <v>0.4</v>
      </c>
      <c r="AB93" s="28">
        <v>0.5</v>
      </c>
      <c r="AC93" s="28">
        <v>0.6</v>
      </c>
      <c r="AD93" s="28">
        <v>0.4</v>
      </c>
      <c r="AE93" s="28">
        <v>0</v>
      </c>
      <c r="AF93" s="28">
        <v>0</v>
      </c>
      <c r="AG93" s="33" t="str">
        <f t="shared" si="18"/>
        <v/>
      </c>
      <c r="AH93" s="33" t="str">
        <f t="shared" si="19"/>
        <v/>
      </c>
      <c r="AI93" s="33" t="str">
        <f t="shared" si="20"/>
        <v/>
      </c>
      <c r="AJ93" s="33" t="str">
        <f t="shared" si="21"/>
        <v/>
      </c>
      <c r="AK93" s="33" t="str">
        <f t="shared" si="22"/>
        <v/>
      </c>
      <c r="AL93" s="33" t="str">
        <f t="shared" si="23"/>
        <v/>
      </c>
      <c r="AM93" s="33" t="str">
        <f t="shared" si="24"/>
        <v/>
      </c>
      <c r="AN93" s="33" t="str">
        <f t="shared" si="25"/>
        <v/>
      </c>
    </row>
    <row r="94" spans="2:41" hidden="1" x14ac:dyDescent="0.25">
      <c r="B94" s="54">
        <v>1406</v>
      </c>
      <c r="C94" s="54" t="s">
        <v>133</v>
      </c>
      <c r="D94" s="54" t="s">
        <v>24</v>
      </c>
      <c r="E94" s="55">
        <v>1930</v>
      </c>
      <c r="F94" s="55" t="s">
        <v>319</v>
      </c>
      <c r="G94" s="27">
        <v>420885</v>
      </c>
      <c r="H94" s="15" t="s">
        <v>177</v>
      </c>
      <c r="I94" s="50" t="s">
        <v>273</v>
      </c>
      <c r="J94" s="116"/>
      <c r="K94" s="27">
        <v>8607761</v>
      </c>
      <c r="L94" s="31">
        <f>LOOKUP($D94,Inputs!$B$46:$B$57,Inputs!C$46:C$57)</f>
        <v>0.25</v>
      </c>
      <c r="M94" s="31">
        <f>LOOKUP($D94,Inputs!$B$46:$B$57,Inputs!D$46:D$57)</f>
        <v>0.35</v>
      </c>
      <c r="N94" s="31">
        <f>LOOKUP($D94,Inputs!$B$46:$B$57,Inputs!E$46:E$57)</f>
        <v>0.18</v>
      </c>
      <c r="O94" s="31">
        <f>LOOKUP($D94,Inputs!$B$46:$B$57,Inputs!F$46:F$57)</f>
        <v>0.22</v>
      </c>
      <c r="P94" s="13" t="str">
        <f t="shared" si="26"/>
        <v/>
      </c>
      <c r="Q94" s="27">
        <v>70423221.058823526</v>
      </c>
      <c r="R94" s="31">
        <f>LOOKUP($D94,Inputs!$B$46:$B$57,Inputs!G$46:G$57)*(1-$U94)</f>
        <v>0.55999999999999994</v>
      </c>
      <c r="S94" s="31">
        <f>LOOKUP($D94,Inputs!$B$46:$B$57,Inputs!H$46:H$57)*(1-$U94)</f>
        <v>0.24</v>
      </c>
      <c r="T94" s="31">
        <f>LOOKUP($D94,Inputs!$B$46:$B$57,Inputs!I$46:I$57)*(1-$U94)</f>
        <v>0</v>
      </c>
      <c r="U94" s="25">
        <v>0.2</v>
      </c>
      <c r="V94" s="13" t="str">
        <f t="shared" si="27"/>
        <v/>
      </c>
      <c r="W94" s="1"/>
      <c r="X94" s="27">
        <v>8607761</v>
      </c>
      <c r="Y94" s="28">
        <v>0.25</v>
      </c>
      <c r="Z94" s="28">
        <v>0.35</v>
      </c>
      <c r="AA94" s="28">
        <v>0.18</v>
      </c>
      <c r="AB94" s="28">
        <v>0.22</v>
      </c>
      <c r="AC94" s="28">
        <v>0.55999999999999994</v>
      </c>
      <c r="AD94" s="28">
        <v>0.24</v>
      </c>
      <c r="AE94" s="28">
        <v>0</v>
      </c>
      <c r="AF94" s="28">
        <v>0.2</v>
      </c>
      <c r="AG94" s="33" t="str">
        <f t="shared" si="18"/>
        <v/>
      </c>
      <c r="AH94" s="33" t="str">
        <f t="shared" si="19"/>
        <v/>
      </c>
      <c r="AI94" s="33" t="str">
        <f t="shared" si="20"/>
        <v/>
      </c>
      <c r="AJ94" s="33" t="str">
        <f t="shared" si="21"/>
        <v/>
      </c>
      <c r="AK94" s="33" t="str">
        <f t="shared" si="22"/>
        <v/>
      </c>
      <c r="AL94" s="33" t="str">
        <f t="shared" si="23"/>
        <v/>
      </c>
      <c r="AM94" s="33" t="str">
        <f t="shared" si="24"/>
        <v/>
      </c>
      <c r="AN94" s="33" t="str">
        <f t="shared" si="25"/>
        <v/>
      </c>
      <c r="AO94" s="1"/>
    </row>
    <row r="95" spans="2:41" s="1" customFormat="1" hidden="1" x14ac:dyDescent="0.25">
      <c r="B95" s="54">
        <v>1234</v>
      </c>
      <c r="C95" s="54" t="s">
        <v>134</v>
      </c>
      <c r="D95" s="54" t="s">
        <v>21</v>
      </c>
      <c r="E95" s="55">
        <v>1995</v>
      </c>
      <c r="F95" s="55" t="s">
        <v>319</v>
      </c>
      <c r="G95" s="27">
        <v>95712</v>
      </c>
      <c r="H95" s="15" t="s">
        <v>176</v>
      </c>
      <c r="I95" s="50" t="s">
        <v>265</v>
      </c>
      <c r="J95" s="116"/>
      <c r="K95" s="27">
        <v>1802302.1297455006</v>
      </c>
      <c r="L95" s="31">
        <f>LOOKUP($D95,Inputs!$B$46:$B$57,Inputs!C$46:C$57)</f>
        <v>0.1</v>
      </c>
      <c r="M95" s="31">
        <f>LOOKUP($D95,Inputs!$B$46:$B$57,Inputs!D$46:D$57)</f>
        <v>0.12</v>
      </c>
      <c r="N95" s="31">
        <f>LOOKUP($D95,Inputs!$B$46:$B$57,Inputs!E$46:E$57)</f>
        <v>0.22</v>
      </c>
      <c r="O95" s="31">
        <f>LOOKUP($D95,Inputs!$B$46:$B$57,Inputs!F$46:F$57)</f>
        <v>0.56000000000000005</v>
      </c>
      <c r="P95" s="13" t="str">
        <f t="shared" si="26"/>
        <v/>
      </c>
      <c r="Q95" s="27">
        <v>2460691.8892555609</v>
      </c>
      <c r="R95" s="31">
        <f>LOOKUP($D95,Inputs!$B$46:$B$57,Inputs!G$46:G$57)</f>
        <v>0.8</v>
      </c>
      <c r="S95" s="31">
        <f>LOOKUP($D95,Inputs!$B$46:$B$57,Inputs!H$46:H$57)</f>
        <v>0.2</v>
      </c>
      <c r="T95" s="31">
        <f>LOOKUP($D95,Inputs!$B$46:$B$57,Inputs!I$46:I$57)</f>
        <v>0</v>
      </c>
      <c r="U95" s="31">
        <f>LOOKUP($D95,Inputs!$B$46:$B$57,Inputs!J$46:J$57)</f>
        <v>0</v>
      </c>
      <c r="V95" s="13" t="str">
        <f t="shared" si="27"/>
        <v/>
      </c>
      <c r="X95" s="27">
        <v>1802302.1297455006</v>
      </c>
      <c r="Y95" s="28">
        <v>0.1</v>
      </c>
      <c r="Z95" s="28">
        <v>0.12</v>
      </c>
      <c r="AA95" s="28">
        <v>0.22</v>
      </c>
      <c r="AB95" s="28">
        <v>0.56000000000000005</v>
      </c>
      <c r="AC95" s="28">
        <v>0.8</v>
      </c>
      <c r="AD95" s="28">
        <v>0.2</v>
      </c>
      <c r="AE95" s="28">
        <v>0</v>
      </c>
      <c r="AF95" s="28">
        <v>0</v>
      </c>
      <c r="AG95" s="33" t="str">
        <f t="shared" si="18"/>
        <v/>
      </c>
      <c r="AH95" s="33" t="str">
        <f t="shared" si="19"/>
        <v/>
      </c>
      <c r="AI95" s="33" t="str">
        <f t="shared" si="20"/>
        <v/>
      </c>
      <c r="AJ95" s="33" t="str">
        <f t="shared" si="21"/>
        <v/>
      </c>
      <c r="AK95" s="33" t="str">
        <f t="shared" si="22"/>
        <v/>
      </c>
      <c r="AL95" s="33" t="str">
        <f t="shared" si="23"/>
        <v/>
      </c>
      <c r="AM95" s="33" t="str">
        <f t="shared" si="24"/>
        <v/>
      </c>
      <c r="AN95" s="33" t="str">
        <f t="shared" si="25"/>
        <v/>
      </c>
    </row>
    <row r="96" spans="2:41" s="1" customFormat="1" hidden="1" x14ac:dyDescent="0.25">
      <c r="B96" s="54">
        <v>1360</v>
      </c>
      <c r="C96" s="54" t="s">
        <v>135</v>
      </c>
      <c r="D96" s="54" t="s">
        <v>22</v>
      </c>
      <c r="E96" s="55">
        <v>1933</v>
      </c>
      <c r="F96" s="55" t="s">
        <v>319</v>
      </c>
      <c r="G96" s="27">
        <v>238065</v>
      </c>
      <c r="H96" s="15" t="s">
        <v>173</v>
      </c>
      <c r="I96" s="15" t="s">
        <v>266</v>
      </c>
      <c r="J96" s="116"/>
      <c r="K96" s="27">
        <v>3774175</v>
      </c>
      <c r="L96" s="31">
        <f>LOOKUP($D96,Inputs!$B$46:$B$57,Inputs!C$46:C$57)</f>
        <v>0.24</v>
      </c>
      <c r="M96" s="31">
        <f>LOOKUP($D96,Inputs!$B$46:$B$57,Inputs!D$46:D$57)</f>
        <v>0.26</v>
      </c>
      <c r="N96" s="31">
        <f>LOOKUP($D96,Inputs!$B$46:$B$57,Inputs!E$46:E$57)</f>
        <v>0.28999999999999998</v>
      </c>
      <c r="O96" s="31">
        <f>LOOKUP($D96,Inputs!$B$46:$B$57,Inputs!F$46:F$57)</f>
        <v>0.21</v>
      </c>
      <c r="P96" s="13" t="str">
        <f t="shared" si="26"/>
        <v/>
      </c>
      <c r="Q96" s="27">
        <v>5701095.2099515777</v>
      </c>
      <c r="R96" s="31">
        <f>LOOKUP($D96,Inputs!$B$46:$B$57,Inputs!G$46:G$57)</f>
        <v>0.6</v>
      </c>
      <c r="S96" s="31">
        <f>LOOKUP($D96,Inputs!$B$46:$B$57,Inputs!H$46:H$57)</f>
        <v>0.4</v>
      </c>
      <c r="T96" s="31">
        <f>LOOKUP($D96,Inputs!$B$46:$B$57,Inputs!I$46:I$57)</f>
        <v>0</v>
      </c>
      <c r="U96" s="31">
        <f>LOOKUP($D96,Inputs!$B$46:$B$57,Inputs!J$46:J$57)</f>
        <v>0</v>
      </c>
      <c r="V96" s="13" t="str">
        <f t="shared" si="27"/>
        <v/>
      </c>
      <c r="X96" s="27">
        <v>3774175</v>
      </c>
      <c r="Y96" s="28">
        <v>0.24</v>
      </c>
      <c r="Z96" s="28">
        <v>0.26</v>
      </c>
      <c r="AA96" s="28">
        <v>0.28999999999999998</v>
      </c>
      <c r="AB96" s="28">
        <v>0.21</v>
      </c>
      <c r="AC96" s="28">
        <v>0.6</v>
      </c>
      <c r="AD96" s="28">
        <v>0.4</v>
      </c>
      <c r="AE96" s="28">
        <v>0</v>
      </c>
      <c r="AF96" s="28">
        <v>0</v>
      </c>
      <c r="AG96" s="33" t="str">
        <f t="shared" si="18"/>
        <v/>
      </c>
      <c r="AH96" s="33" t="str">
        <f t="shared" si="19"/>
        <v/>
      </c>
      <c r="AI96" s="33" t="str">
        <f t="shared" si="20"/>
        <v/>
      </c>
      <c r="AJ96" s="33" t="str">
        <f t="shared" si="21"/>
        <v/>
      </c>
      <c r="AK96" s="33" t="str">
        <f t="shared" si="22"/>
        <v/>
      </c>
      <c r="AL96" s="33" t="str">
        <f t="shared" si="23"/>
        <v/>
      </c>
      <c r="AM96" s="33" t="str">
        <f t="shared" si="24"/>
        <v/>
      </c>
      <c r="AN96" s="33" t="str">
        <f t="shared" si="25"/>
        <v/>
      </c>
    </row>
    <row r="97" spans="2:42" s="1" customFormat="1" x14ac:dyDescent="0.25">
      <c r="B97" s="54">
        <v>1202</v>
      </c>
      <c r="C97" s="54" t="s">
        <v>136</v>
      </c>
      <c r="D97" s="54" t="s">
        <v>26</v>
      </c>
      <c r="E97" s="55">
        <v>1912</v>
      </c>
      <c r="F97" s="55" t="s">
        <v>319</v>
      </c>
      <c r="G97" s="27">
        <v>43910</v>
      </c>
      <c r="H97" s="15" t="s">
        <v>175</v>
      </c>
      <c r="I97" s="50" t="s">
        <v>269</v>
      </c>
      <c r="J97" s="116"/>
      <c r="K97" s="27">
        <v>519010</v>
      </c>
      <c r="L97" s="31">
        <f>LOOKUP($D97,Inputs!$B$46:$B$57,Inputs!C$46:C$57)</f>
        <v>0.26</v>
      </c>
      <c r="M97" s="31">
        <f>LOOKUP($D97,Inputs!$B$46:$B$57,Inputs!D$46:D$57)</f>
        <v>0.23</v>
      </c>
      <c r="N97" s="31">
        <f>LOOKUP($D97,Inputs!$B$46:$B$57,Inputs!E$46:E$57)</f>
        <v>0.26</v>
      </c>
      <c r="O97" s="31">
        <f>LOOKUP($D97,Inputs!$B$46:$B$57,Inputs!F$46:F$57)</f>
        <v>0.25</v>
      </c>
      <c r="P97" s="13" t="str">
        <f t="shared" si="26"/>
        <v/>
      </c>
      <c r="Q97" s="27">
        <v>5960841.7563008862</v>
      </c>
      <c r="R97" s="31">
        <f>LOOKUP($D97,Inputs!$B$46:$B$57,Inputs!G$46:G$57)*(1-$U97)</f>
        <v>0.64000000000000012</v>
      </c>
      <c r="S97" s="31">
        <f>LOOKUP($D97,Inputs!$B$46:$B$57,Inputs!H$46:H$57)*(1-$U97)</f>
        <v>0.16000000000000003</v>
      </c>
      <c r="T97" s="31">
        <f>LOOKUP($D97,Inputs!$B$46:$B$57,Inputs!I$46:I$57)*(1-$U97)</f>
        <v>0</v>
      </c>
      <c r="U97" s="25">
        <v>0.2</v>
      </c>
      <c r="V97" s="13" t="str">
        <f t="shared" si="27"/>
        <v/>
      </c>
      <c r="X97" s="27">
        <v>519010</v>
      </c>
      <c r="Y97" s="28">
        <v>0.26</v>
      </c>
      <c r="Z97" s="28">
        <v>0.23</v>
      </c>
      <c r="AA97" s="28">
        <v>0.26</v>
      </c>
      <c r="AB97" s="28">
        <v>0.25</v>
      </c>
      <c r="AC97" s="28">
        <v>0.64000000000000012</v>
      </c>
      <c r="AD97" s="28">
        <v>0.16000000000000003</v>
      </c>
      <c r="AE97" s="28">
        <v>0</v>
      </c>
      <c r="AF97" s="28">
        <v>0.2</v>
      </c>
      <c r="AG97" s="33" t="str">
        <f t="shared" si="18"/>
        <v/>
      </c>
      <c r="AH97" s="33" t="str">
        <f t="shared" si="19"/>
        <v/>
      </c>
      <c r="AI97" s="33" t="str">
        <f t="shared" si="20"/>
        <v/>
      </c>
      <c r="AJ97" s="33" t="str">
        <f t="shared" si="21"/>
        <v/>
      </c>
      <c r="AK97" s="33" t="str">
        <f t="shared" si="22"/>
        <v/>
      </c>
      <c r="AL97" s="33" t="str">
        <f t="shared" si="23"/>
        <v/>
      </c>
      <c r="AM97" s="33" t="str">
        <f t="shared" si="24"/>
        <v/>
      </c>
      <c r="AN97" s="33" t="str">
        <f t="shared" si="25"/>
        <v/>
      </c>
    </row>
    <row r="98" spans="2:42" s="1" customFormat="1" hidden="1" x14ac:dyDescent="0.25">
      <c r="B98" s="54">
        <v>1552</v>
      </c>
      <c r="C98" s="54" t="s">
        <v>137</v>
      </c>
      <c r="D98" s="54" t="s">
        <v>30</v>
      </c>
      <c r="E98" s="55">
        <v>1917</v>
      </c>
      <c r="F98" s="55" t="s">
        <v>319</v>
      </c>
      <c r="G98" s="27">
        <v>139436</v>
      </c>
      <c r="H98" s="15" t="s">
        <v>177</v>
      </c>
      <c r="I98" s="50" t="s">
        <v>281</v>
      </c>
      <c r="J98" s="116"/>
      <c r="K98" s="27">
        <v>633096</v>
      </c>
      <c r="L98" s="31">
        <f>LOOKUP($D98,Inputs!$B$46:$B$57,Inputs!C$46:C$57)</f>
        <v>0.16</v>
      </c>
      <c r="M98" s="31">
        <f>LOOKUP($D98,Inputs!$B$46:$B$57,Inputs!D$46:D$57)</f>
        <v>0.16333333333333333</v>
      </c>
      <c r="N98" s="31">
        <f>LOOKUP($D98,Inputs!$B$46:$B$57,Inputs!E$46:E$57)</f>
        <v>0.24666666666666667</v>
      </c>
      <c r="O98" s="31">
        <f>LOOKUP($D98,Inputs!$B$46:$B$57,Inputs!F$46:F$57)</f>
        <v>0.42999999999999994</v>
      </c>
      <c r="P98" s="13" t="str">
        <f t="shared" si="26"/>
        <v/>
      </c>
      <c r="Q98" s="27">
        <v>3584806.860897677</v>
      </c>
      <c r="R98" s="31">
        <f>LOOKUP($D98,Inputs!$B$46:$B$57,Inputs!G$46:G$57)</f>
        <v>0.76666666666666661</v>
      </c>
      <c r="S98" s="31">
        <f>LOOKUP($D98,Inputs!$B$46:$B$57,Inputs!H$46:H$57)</f>
        <v>0.23333333333333331</v>
      </c>
      <c r="T98" s="31">
        <f>LOOKUP($D98,Inputs!$B$46:$B$57,Inputs!I$46:I$57)</f>
        <v>0</v>
      </c>
      <c r="U98" s="31">
        <f>LOOKUP($D98,Inputs!$B$46:$B$57,Inputs!J$46:J$57)</f>
        <v>0</v>
      </c>
      <c r="V98" s="13" t="str">
        <f t="shared" si="27"/>
        <v/>
      </c>
      <c r="X98" s="27">
        <v>633096</v>
      </c>
      <c r="Y98" s="28">
        <v>0.3949579831932773</v>
      </c>
      <c r="Z98" s="28">
        <v>0.13025210084033612</v>
      </c>
      <c r="AA98" s="28">
        <v>0.15126050420168063</v>
      </c>
      <c r="AB98" s="28">
        <v>0.32352941176470584</v>
      </c>
      <c r="AC98" s="28">
        <v>0.8</v>
      </c>
      <c r="AD98" s="28">
        <v>0.2</v>
      </c>
      <c r="AE98" s="28">
        <v>0</v>
      </c>
      <c r="AF98" s="28">
        <v>0</v>
      </c>
      <c r="AG98" s="33" t="str">
        <f t="shared" si="18"/>
        <v>FLAG</v>
      </c>
      <c r="AH98" s="33" t="str">
        <f t="shared" si="19"/>
        <v>FLAG</v>
      </c>
      <c r="AI98" s="33" t="str">
        <f t="shared" si="20"/>
        <v>FLAG</v>
      </c>
      <c r="AJ98" s="33" t="str">
        <f t="shared" si="21"/>
        <v>FLAG</v>
      </c>
      <c r="AK98" s="33" t="str">
        <f t="shared" si="22"/>
        <v>FLAG</v>
      </c>
      <c r="AL98" s="33" t="str">
        <f t="shared" si="23"/>
        <v>FLAG</v>
      </c>
      <c r="AM98" s="33" t="str">
        <f t="shared" si="24"/>
        <v/>
      </c>
      <c r="AN98" s="33" t="str">
        <f t="shared" si="25"/>
        <v/>
      </c>
    </row>
    <row r="99" spans="2:42" s="1" customFormat="1" hidden="1" x14ac:dyDescent="0.25">
      <c r="B99" s="54">
        <v>1553</v>
      </c>
      <c r="C99" s="54" t="s">
        <v>138</v>
      </c>
      <c r="D99" s="54" t="s">
        <v>21</v>
      </c>
      <c r="E99" s="55">
        <v>1923</v>
      </c>
      <c r="F99" s="55" t="s">
        <v>319</v>
      </c>
      <c r="G99" s="27">
        <v>18474</v>
      </c>
      <c r="H99" s="15" t="s">
        <v>176</v>
      </c>
      <c r="I99" s="50" t="s">
        <v>265</v>
      </c>
      <c r="J99" s="116"/>
      <c r="K99" s="27">
        <v>98954</v>
      </c>
      <c r="L99" s="31">
        <f>LOOKUP($D99,Inputs!$B$46:$B$57,Inputs!C$46:C$57)</f>
        <v>0.1</v>
      </c>
      <c r="M99" s="31">
        <f>LOOKUP($D99,Inputs!$B$46:$B$57,Inputs!D$46:D$57)</f>
        <v>0.12</v>
      </c>
      <c r="N99" s="31">
        <f>LOOKUP($D99,Inputs!$B$46:$B$57,Inputs!E$46:E$57)</f>
        <v>0.22</v>
      </c>
      <c r="O99" s="31">
        <f>LOOKUP($D99,Inputs!$B$46:$B$57,Inputs!F$46:F$57)</f>
        <v>0.56000000000000005</v>
      </c>
      <c r="P99" s="13" t="str">
        <f t="shared" si="26"/>
        <v/>
      </c>
      <c r="Q99" s="27">
        <v>1649248.1247922757</v>
      </c>
      <c r="R99" s="31">
        <f>LOOKUP($D99,Inputs!$B$46:$B$57,Inputs!G$46:G$57)</f>
        <v>0.8</v>
      </c>
      <c r="S99" s="31">
        <f>LOOKUP($D99,Inputs!$B$46:$B$57,Inputs!H$46:H$57)</f>
        <v>0.2</v>
      </c>
      <c r="T99" s="31">
        <f>LOOKUP($D99,Inputs!$B$46:$B$57,Inputs!I$46:I$57)</f>
        <v>0</v>
      </c>
      <c r="U99" s="31">
        <f>LOOKUP($D99,Inputs!$B$46:$B$57,Inputs!J$46:J$57)</f>
        <v>0</v>
      </c>
      <c r="V99" s="13" t="str">
        <f t="shared" si="27"/>
        <v/>
      </c>
      <c r="X99" s="27">
        <v>98954</v>
      </c>
      <c r="Y99" s="28">
        <v>0.1</v>
      </c>
      <c r="Z99" s="28">
        <v>0.12</v>
      </c>
      <c r="AA99" s="28">
        <v>0.22</v>
      </c>
      <c r="AB99" s="28">
        <v>0.56000000000000005</v>
      </c>
      <c r="AC99" s="28">
        <v>0.8</v>
      </c>
      <c r="AD99" s="28">
        <v>0.2</v>
      </c>
      <c r="AE99" s="28">
        <v>0</v>
      </c>
      <c r="AF99" s="28">
        <v>0</v>
      </c>
      <c r="AG99" s="33" t="str">
        <f t="shared" si="18"/>
        <v/>
      </c>
      <c r="AH99" s="33" t="str">
        <f t="shared" si="19"/>
        <v/>
      </c>
      <c r="AI99" s="33" t="str">
        <f t="shared" si="20"/>
        <v/>
      </c>
      <c r="AJ99" s="33" t="str">
        <f t="shared" si="21"/>
        <v/>
      </c>
      <c r="AK99" s="33" t="str">
        <f t="shared" si="22"/>
        <v/>
      </c>
      <c r="AL99" s="33" t="str">
        <f t="shared" si="23"/>
        <v/>
      </c>
      <c r="AM99" s="33" t="str">
        <f t="shared" si="24"/>
        <v/>
      </c>
      <c r="AN99" s="33" t="str">
        <f t="shared" si="25"/>
        <v/>
      </c>
    </row>
    <row r="100" spans="2:42" hidden="1" x14ac:dyDescent="0.25">
      <c r="B100" s="54">
        <v>1797</v>
      </c>
      <c r="C100" s="54" t="s">
        <v>139</v>
      </c>
      <c r="D100" s="54" t="s">
        <v>26</v>
      </c>
      <c r="E100" s="55">
        <v>1964</v>
      </c>
      <c r="F100" s="55" t="s">
        <v>319</v>
      </c>
      <c r="G100" s="27">
        <v>222434</v>
      </c>
      <c r="H100" s="15" t="s">
        <v>176</v>
      </c>
      <c r="I100" s="50" t="s">
        <v>271</v>
      </c>
      <c r="J100" s="116"/>
      <c r="K100" s="27">
        <v>1750749</v>
      </c>
      <c r="L100" s="31">
        <f>LOOKUP($D100,Inputs!$B$46:$B$57,Inputs!C$46:C$57)</f>
        <v>0.26</v>
      </c>
      <c r="M100" s="31">
        <f>LOOKUP($D100,Inputs!$B$46:$B$57,Inputs!D$46:D$57)</f>
        <v>0.23</v>
      </c>
      <c r="N100" s="31">
        <f>LOOKUP($D100,Inputs!$B$46:$B$57,Inputs!E$46:E$57)</f>
        <v>0.26</v>
      </c>
      <c r="O100" s="31">
        <f>LOOKUP($D100,Inputs!$B$46:$B$57,Inputs!F$46:F$57)</f>
        <v>0.25</v>
      </c>
      <c r="P100" s="13" t="str">
        <f t="shared" si="26"/>
        <v/>
      </c>
      <c r="Q100" s="27">
        <v>3615931.7647058824</v>
      </c>
      <c r="R100" s="31">
        <f>LOOKUP($D100,Inputs!$B$46:$B$57,Inputs!G$46:G$57)</f>
        <v>0.8</v>
      </c>
      <c r="S100" s="31">
        <f>LOOKUP($D100,Inputs!$B$46:$B$57,Inputs!H$46:H$57)</f>
        <v>0.2</v>
      </c>
      <c r="T100" s="31">
        <f>LOOKUP($D100,Inputs!$B$46:$B$57,Inputs!I$46:I$57)</f>
        <v>0</v>
      </c>
      <c r="U100" s="31">
        <f>LOOKUP($D100,Inputs!$B$46:$B$57,Inputs!J$46:J$57)</f>
        <v>0</v>
      </c>
      <c r="V100" s="13" t="str">
        <f t="shared" si="27"/>
        <v/>
      </c>
      <c r="W100" s="1"/>
      <c r="X100" s="27">
        <v>1750749</v>
      </c>
      <c r="Y100" s="28">
        <v>0.26</v>
      </c>
      <c r="Z100" s="28">
        <v>0.23</v>
      </c>
      <c r="AA100" s="28">
        <v>0.26</v>
      </c>
      <c r="AB100" s="28">
        <v>0.25</v>
      </c>
      <c r="AC100" s="28">
        <v>0.8</v>
      </c>
      <c r="AD100" s="28">
        <v>0.2</v>
      </c>
      <c r="AE100" s="28">
        <v>0</v>
      </c>
      <c r="AF100" s="28">
        <v>0</v>
      </c>
      <c r="AG100" s="33" t="str">
        <f t="shared" si="18"/>
        <v/>
      </c>
      <c r="AH100" s="33" t="str">
        <f t="shared" si="19"/>
        <v/>
      </c>
      <c r="AI100" s="33" t="str">
        <f t="shared" si="20"/>
        <v/>
      </c>
      <c r="AJ100" s="33" t="str">
        <f t="shared" si="21"/>
        <v/>
      </c>
      <c r="AK100" s="33" t="str">
        <f t="shared" si="22"/>
        <v/>
      </c>
      <c r="AL100" s="33" t="str">
        <f t="shared" si="23"/>
        <v/>
      </c>
      <c r="AM100" s="33" t="str">
        <f t="shared" si="24"/>
        <v/>
      </c>
      <c r="AN100" s="33" t="str">
        <f t="shared" si="25"/>
        <v/>
      </c>
      <c r="AO100" s="1"/>
    </row>
    <row r="101" spans="2:42" s="1" customFormat="1" hidden="1" x14ac:dyDescent="0.25">
      <c r="B101" s="54">
        <v>1802</v>
      </c>
      <c r="C101" s="54" t="s">
        <v>140</v>
      </c>
      <c r="D101" s="54" t="s">
        <v>23</v>
      </c>
      <c r="E101" s="55">
        <v>1968</v>
      </c>
      <c r="F101" s="55" t="s">
        <v>319</v>
      </c>
      <c r="G101" s="27">
        <v>153118</v>
      </c>
      <c r="H101" s="15" t="s">
        <v>173</v>
      </c>
      <c r="I101" s="50" t="s">
        <v>257</v>
      </c>
      <c r="J101" s="116"/>
      <c r="K101" s="27">
        <v>910890</v>
      </c>
      <c r="L101" s="31">
        <f>LOOKUP($D101,Inputs!$B$46:$B$57,Inputs!C$46:C$57)</f>
        <v>0.26</v>
      </c>
      <c r="M101" s="31">
        <f>LOOKUP($D101,Inputs!$B$46:$B$57,Inputs!D$46:D$57)</f>
        <v>0.31</v>
      </c>
      <c r="N101" s="31">
        <f>LOOKUP($D101,Inputs!$B$46:$B$57,Inputs!E$46:E$57)</f>
        <v>0.27</v>
      </c>
      <c r="O101" s="31">
        <f>LOOKUP($D101,Inputs!$B$46:$B$57,Inputs!F$46:F$57)</f>
        <v>0.16</v>
      </c>
      <c r="P101" s="13" t="str">
        <f t="shared" si="26"/>
        <v/>
      </c>
      <c r="Q101" s="27">
        <v>1663546.5764705883</v>
      </c>
      <c r="R101" s="31">
        <f>LOOKUP($D101,Inputs!$B$46:$B$57,Inputs!G$46:G$57)</f>
        <v>0.9</v>
      </c>
      <c r="S101" s="31">
        <f>LOOKUP($D101,Inputs!$B$46:$B$57,Inputs!H$46:H$57)</f>
        <v>0.1</v>
      </c>
      <c r="T101" s="31">
        <f>LOOKUP($D101,Inputs!$B$46:$B$57,Inputs!I$46:I$57)</f>
        <v>0</v>
      </c>
      <c r="U101" s="31">
        <f>LOOKUP($D101,Inputs!$B$46:$B$57,Inputs!J$46:J$57)</f>
        <v>0</v>
      </c>
      <c r="V101" s="13" t="str">
        <f t="shared" si="27"/>
        <v/>
      </c>
      <c r="X101" s="27">
        <v>910890</v>
      </c>
      <c r="Y101" s="28">
        <v>0.26</v>
      </c>
      <c r="Z101" s="28">
        <v>0.31</v>
      </c>
      <c r="AA101" s="28">
        <v>0.27</v>
      </c>
      <c r="AB101" s="28">
        <v>0.16</v>
      </c>
      <c r="AC101" s="28">
        <v>0.9</v>
      </c>
      <c r="AD101" s="28">
        <v>0.1</v>
      </c>
      <c r="AE101" s="28">
        <v>0</v>
      </c>
      <c r="AF101" s="28">
        <v>0</v>
      </c>
      <c r="AG101" s="33" t="str">
        <f t="shared" si="18"/>
        <v/>
      </c>
      <c r="AH101" s="33" t="str">
        <f t="shared" si="19"/>
        <v/>
      </c>
      <c r="AI101" s="33" t="str">
        <f t="shared" si="20"/>
        <v/>
      </c>
      <c r="AJ101" s="33" t="str">
        <f t="shared" si="21"/>
        <v/>
      </c>
      <c r="AK101" s="33" t="str">
        <f t="shared" si="22"/>
        <v/>
      </c>
      <c r="AL101" s="33" t="str">
        <f t="shared" si="23"/>
        <v/>
      </c>
      <c r="AM101" s="33" t="str">
        <f t="shared" si="24"/>
        <v/>
      </c>
      <c r="AN101" s="33" t="str">
        <f t="shared" si="25"/>
        <v/>
      </c>
    </row>
    <row r="102" spans="2:42" s="1" customFormat="1" x14ac:dyDescent="0.25"/>
    <row r="103" spans="2:42" s="1" customFormat="1" x14ac:dyDescent="0.25">
      <c r="B103" s="73" t="s">
        <v>232</v>
      </c>
    </row>
    <row r="104" spans="2:42" x14ac:dyDescent="0.25">
      <c r="B104" s="42" t="s">
        <v>196</v>
      </c>
      <c r="C104" s="54" t="s">
        <v>190</v>
      </c>
      <c r="D104" s="53" t="s">
        <v>28</v>
      </c>
      <c r="E104" s="54">
        <v>2028</v>
      </c>
      <c r="F104" s="54"/>
      <c r="G104" s="45">
        <v>200000</v>
      </c>
      <c r="H104" s="88" t="s">
        <v>177</v>
      </c>
      <c r="I104" s="15" t="s">
        <v>260</v>
      </c>
      <c r="J104" s="116"/>
      <c r="K104" s="44">
        <f>LOOKUP($D104,Inputs!$B$29:$B$40,Inputs!$E$29:$E$40)*$G104</f>
        <v>9553600</v>
      </c>
      <c r="L104" s="31">
        <f>LOOKUP($D104,Inputs!$B$46:$B$57,Inputs!C$46:C$57)</f>
        <v>0.12</v>
      </c>
      <c r="M104" s="31">
        <f>LOOKUP($D104,Inputs!$B$46:$B$57,Inputs!D$46:D$57)</f>
        <v>0.14000000000000001</v>
      </c>
      <c r="N104" s="31">
        <f>LOOKUP($D104,Inputs!$B$46:$B$57,Inputs!E$46:E$57)</f>
        <v>0.26</v>
      </c>
      <c r="O104" s="31">
        <f>LOOKUP($D104,Inputs!$B$46:$B$57,Inputs!F$46:F$57)</f>
        <v>0.48</v>
      </c>
      <c r="P104" s="13" t="str">
        <f t="shared" si="26"/>
        <v/>
      </c>
      <c r="Q104" s="44">
        <f>LOOKUP($D104,Inputs!$B$29:$B$40,Inputs!$F$29:$F$40)*Inputs!$C$14/Inputs!C$15*$G104</f>
        <v>16789999.999999996</v>
      </c>
      <c r="R104" s="31">
        <f>LOOKUP($D104,Inputs!$B$46:$B$57,Inputs!G$46:G$57)</f>
        <v>0.7</v>
      </c>
      <c r="S104" s="31">
        <f>LOOKUP($D104,Inputs!$B$46:$B$57,Inputs!H$46:H$57)</f>
        <v>0.3</v>
      </c>
      <c r="T104" s="31">
        <f>LOOKUP($D104,Inputs!$B$46:$B$57,Inputs!I$46:I$57)</f>
        <v>0</v>
      </c>
      <c r="U104" s="31">
        <f>LOOKUP($D104,Inputs!$B$46:$B$57,Inputs!J$46:J$57)</f>
        <v>0</v>
      </c>
      <c r="V104" s="13" t="str">
        <f t="shared" si="27"/>
        <v/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2:42" x14ac:dyDescent="0.25">
      <c r="B105" s="42" t="s">
        <v>197</v>
      </c>
      <c r="C105" s="54" t="s">
        <v>191</v>
      </c>
      <c r="D105" s="54" t="s">
        <v>28</v>
      </c>
      <c r="E105" s="53">
        <v>2025</v>
      </c>
      <c r="F105" s="54"/>
      <c r="G105" s="45">
        <v>150000</v>
      </c>
      <c r="H105" s="88" t="s">
        <v>177</v>
      </c>
      <c r="I105" s="15" t="s">
        <v>260</v>
      </c>
      <c r="J105" s="116"/>
      <c r="K105" s="44">
        <f>LOOKUP($D105,Inputs!$B$29:$B$40,Inputs!$E$29:$E$40)*$G105</f>
        <v>7165200</v>
      </c>
      <c r="L105" s="31">
        <f>LOOKUP($D105,Inputs!$B$46:$B$57,Inputs!C$46:C$57)</f>
        <v>0.12</v>
      </c>
      <c r="M105" s="31">
        <f>LOOKUP($D105,Inputs!$B$46:$B$57,Inputs!D$46:D$57)</f>
        <v>0.14000000000000001</v>
      </c>
      <c r="N105" s="31">
        <f>LOOKUP($D105,Inputs!$B$46:$B$57,Inputs!E$46:E$57)</f>
        <v>0.26</v>
      </c>
      <c r="O105" s="31">
        <f>LOOKUP($D105,Inputs!$B$46:$B$57,Inputs!F$46:F$57)</f>
        <v>0.48</v>
      </c>
      <c r="P105" s="13" t="str">
        <f t="shared" si="26"/>
        <v/>
      </c>
      <c r="Q105" s="44">
        <f>LOOKUP($D105,Inputs!$B$29:$B$40,Inputs!$F$29:$F$40)*Inputs!$C$14/Inputs!C$15*$G105</f>
        <v>12592499.999999998</v>
      </c>
      <c r="R105" s="31">
        <f>LOOKUP($D105,Inputs!$B$46:$B$57,Inputs!G$46:G$57)</f>
        <v>0.7</v>
      </c>
      <c r="S105" s="31">
        <f>LOOKUP($D105,Inputs!$B$46:$B$57,Inputs!H$46:H$57)</f>
        <v>0.3</v>
      </c>
      <c r="T105" s="31">
        <f>LOOKUP($D105,Inputs!$B$46:$B$57,Inputs!I$46:I$57)</f>
        <v>0</v>
      </c>
      <c r="U105" s="31">
        <f>LOOKUP($D105,Inputs!$B$46:$B$57,Inputs!J$46:J$57)</f>
        <v>0</v>
      </c>
      <c r="V105" s="13" t="str">
        <f t="shared" si="27"/>
        <v/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2:42" x14ac:dyDescent="0.25">
      <c r="B106" s="42" t="s">
        <v>180</v>
      </c>
      <c r="C106" s="54" t="s">
        <v>179</v>
      </c>
      <c r="D106" s="54" t="s">
        <v>25</v>
      </c>
      <c r="E106" s="53">
        <v>2028</v>
      </c>
      <c r="F106" s="54"/>
      <c r="G106" s="45">
        <v>100000</v>
      </c>
      <c r="H106" s="88" t="s">
        <v>177</v>
      </c>
      <c r="I106" s="15" t="s">
        <v>260</v>
      </c>
      <c r="J106" s="116"/>
      <c r="K106" s="44">
        <f>LOOKUP($D106,Inputs!$B$29:$B$40,Inputs!$E$29:$E$40)*$G106</f>
        <v>4776800</v>
      </c>
      <c r="L106" s="31">
        <f>LOOKUP($D106,Inputs!$B$46:$B$57,Inputs!C$46:C$57)</f>
        <v>0.25</v>
      </c>
      <c r="M106" s="31">
        <f>LOOKUP($D106,Inputs!$B$46:$B$57,Inputs!D$46:D$57)</f>
        <v>0.35</v>
      </c>
      <c r="N106" s="31">
        <f>LOOKUP($D106,Inputs!$B$46:$B$57,Inputs!E$46:E$57)</f>
        <v>0.18</v>
      </c>
      <c r="O106" s="31">
        <f>LOOKUP($D106,Inputs!$B$46:$B$57,Inputs!F$46:F$57)</f>
        <v>0.22</v>
      </c>
      <c r="P106" s="13" t="str">
        <f t="shared" si="26"/>
        <v/>
      </c>
      <c r="Q106" s="44">
        <f>LOOKUP($D106,Inputs!$B$29:$B$40,Inputs!$F$29:$F$40)*Inputs!$C$14/Inputs!C$15*$G106</f>
        <v>8394999.9999999981</v>
      </c>
      <c r="R106" s="31">
        <f>LOOKUP($D106,Inputs!$B$46:$B$57,Inputs!G$46:G$57)</f>
        <v>0.7</v>
      </c>
      <c r="S106" s="31">
        <f>LOOKUP($D106,Inputs!$B$46:$B$57,Inputs!H$46:H$57)</f>
        <v>0.3</v>
      </c>
      <c r="T106" s="31">
        <f>LOOKUP($D106,Inputs!$B$46:$B$57,Inputs!I$46:I$57)</f>
        <v>0</v>
      </c>
      <c r="U106" s="31">
        <f>LOOKUP($D106,Inputs!$B$46:$B$57,Inputs!J$46:J$57)</f>
        <v>0</v>
      </c>
      <c r="V106" s="13" t="str">
        <f t="shared" si="27"/>
        <v/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2:42" x14ac:dyDescent="0.25">
      <c r="B107" s="42" t="s">
        <v>182</v>
      </c>
      <c r="C107" s="54" t="s">
        <v>181</v>
      </c>
      <c r="D107" s="59" t="s">
        <v>30</v>
      </c>
      <c r="E107" s="54">
        <v>2040</v>
      </c>
      <c r="F107" s="54"/>
      <c r="G107" s="45">
        <v>1500000</v>
      </c>
      <c r="H107" s="88" t="s">
        <v>173</v>
      </c>
      <c r="I107" s="15" t="s">
        <v>266</v>
      </c>
      <c r="J107" s="116"/>
      <c r="K107" s="44">
        <f>LOOKUP($D107,Inputs!$B$29:$B$40,Inputs!$E$29:$E$40)*$G107</f>
        <v>39238000</v>
      </c>
      <c r="L107" s="31">
        <f>LOOKUP($D107,Inputs!$B$46:$B$57,Inputs!C$46:C$57)</f>
        <v>0.16</v>
      </c>
      <c r="M107" s="31">
        <f>LOOKUP($D107,Inputs!$B$46:$B$57,Inputs!D$46:D$57)</f>
        <v>0.16333333333333333</v>
      </c>
      <c r="N107" s="31">
        <f>LOOKUP($D107,Inputs!$B$46:$B$57,Inputs!E$46:E$57)</f>
        <v>0.24666666666666667</v>
      </c>
      <c r="O107" s="31">
        <f>LOOKUP($D107,Inputs!$B$46:$B$57,Inputs!F$46:F$57)</f>
        <v>0.42999999999999994</v>
      </c>
      <c r="P107" s="13" t="str">
        <f t="shared" si="26"/>
        <v/>
      </c>
      <c r="Q107" s="44">
        <f>LOOKUP($D107,Inputs!$B$29:$B$40,Inputs!$F$29:$F$40)*Inputs!$C$14/Inputs!C$15*$G107</f>
        <v>51175000</v>
      </c>
      <c r="R107" s="31">
        <f>LOOKUP($D107,Inputs!$B$46:$B$57,Inputs!G$46:G$57)*(1-$U107)</f>
        <v>0.69</v>
      </c>
      <c r="S107" s="31">
        <f>LOOKUP($D107,Inputs!$B$46:$B$57,Inputs!H$46:H$57)*(1-$U107)</f>
        <v>0.21</v>
      </c>
      <c r="T107" s="31">
        <f>LOOKUP($D107,Inputs!$B$46:$B$57,Inputs!I$46:I$57)*(1-$U107)</f>
        <v>0</v>
      </c>
      <c r="U107" s="58">
        <v>0.1</v>
      </c>
      <c r="V107" s="13" t="str">
        <f t="shared" si="27"/>
        <v/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2:42" x14ac:dyDescent="0.25">
      <c r="B108" s="69" t="s">
        <v>184</v>
      </c>
      <c r="C108" s="54" t="s">
        <v>183</v>
      </c>
      <c r="D108" s="53" t="s">
        <v>26</v>
      </c>
      <c r="E108" s="53">
        <v>2030</v>
      </c>
      <c r="F108" s="53"/>
      <c r="G108" s="45">
        <v>165000</v>
      </c>
      <c r="H108" s="88" t="s">
        <v>177</v>
      </c>
      <c r="I108" s="50" t="s">
        <v>268</v>
      </c>
      <c r="J108" s="116"/>
      <c r="K108" s="44">
        <f>LOOKUP($D108,Inputs!$B$29:$B$40,Inputs!$E$29:$E$40)*$G108</f>
        <v>2533410</v>
      </c>
      <c r="L108" s="31">
        <f>LOOKUP($D108,Inputs!$B$46:$B$57,Inputs!C$46:C$57)</f>
        <v>0.26</v>
      </c>
      <c r="M108" s="31">
        <f>LOOKUP($D108,Inputs!$B$46:$B$57,Inputs!D$46:D$57)</f>
        <v>0.23</v>
      </c>
      <c r="N108" s="31">
        <f>LOOKUP($D108,Inputs!$B$46:$B$57,Inputs!E$46:E$57)</f>
        <v>0.26</v>
      </c>
      <c r="O108" s="31">
        <f>LOOKUP($D108,Inputs!$B$46:$B$57,Inputs!F$46:F$57)</f>
        <v>0.25</v>
      </c>
      <c r="P108" s="13" t="str">
        <f t="shared" si="26"/>
        <v/>
      </c>
      <c r="Q108" s="44">
        <f>LOOKUP($D108,Inputs!$B$29:$B$40,Inputs!$F$29:$F$40)*Inputs!$C$14/Inputs!C$15*$G108</f>
        <v>1517999.9999999998</v>
      </c>
      <c r="R108" s="31">
        <f>LOOKUP($D108,Inputs!$B$46:$B$57,Inputs!G$46:G$57)</f>
        <v>0.8</v>
      </c>
      <c r="S108" s="31">
        <f>LOOKUP($D108,Inputs!$B$46:$B$57,Inputs!H$46:H$57)</f>
        <v>0.2</v>
      </c>
      <c r="T108" s="31">
        <f>LOOKUP($D108,Inputs!$B$46:$B$57,Inputs!I$46:I$57)</f>
        <v>0</v>
      </c>
      <c r="U108" s="31">
        <f>LOOKUP($D108,Inputs!$B$46:$B$57,Inputs!J$46:J$57)</f>
        <v>0</v>
      </c>
      <c r="V108" s="13" t="str">
        <f t="shared" si="27"/>
        <v/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2:42" x14ac:dyDescent="0.25">
      <c r="B109" s="42" t="s">
        <v>185</v>
      </c>
      <c r="C109" s="54" t="s">
        <v>192</v>
      </c>
      <c r="D109" s="54" t="s">
        <v>28</v>
      </c>
      <c r="E109" s="54">
        <v>2023</v>
      </c>
      <c r="F109" s="54"/>
      <c r="G109" s="45">
        <v>225000</v>
      </c>
      <c r="H109" s="88" t="s">
        <v>177</v>
      </c>
      <c r="I109" s="50" t="s">
        <v>268</v>
      </c>
      <c r="J109" s="116"/>
      <c r="K109" s="44">
        <f>LOOKUP($D109,Inputs!$B$29:$B$40,Inputs!$E$29:$E$40)*$G109</f>
        <v>10747800</v>
      </c>
      <c r="L109" s="31">
        <f>LOOKUP($D109,Inputs!$B$46:$B$57,Inputs!C$46:C$57)</f>
        <v>0.12</v>
      </c>
      <c r="M109" s="31">
        <f>LOOKUP($D109,Inputs!$B$46:$B$57,Inputs!D$46:D$57)</f>
        <v>0.14000000000000001</v>
      </c>
      <c r="N109" s="31">
        <f>LOOKUP($D109,Inputs!$B$46:$B$57,Inputs!E$46:E$57)</f>
        <v>0.26</v>
      </c>
      <c r="O109" s="31">
        <f>LOOKUP($D109,Inputs!$B$46:$B$57,Inputs!F$46:F$57)</f>
        <v>0.48</v>
      </c>
      <c r="P109" s="13" t="str">
        <f t="shared" si="26"/>
        <v/>
      </c>
      <c r="Q109" s="44">
        <f>LOOKUP($D109,Inputs!$B$29:$B$40,Inputs!$F$29:$F$40)*Inputs!$C$14/Inputs!C$15*$G109</f>
        <v>18888749.999999996</v>
      </c>
      <c r="R109" s="31">
        <f>LOOKUP($D109,Inputs!$B$46:$B$57,Inputs!G$46:G$57)</f>
        <v>0.7</v>
      </c>
      <c r="S109" s="31">
        <f>LOOKUP($D109,Inputs!$B$46:$B$57,Inputs!H$46:H$57)</f>
        <v>0.3</v>
      </c>
      <c r="T109" s="31">
        <f>LOOKUP($D109,Inputs!$B$46:$B$57,Inputs!I$46:I$57)</f>
        <v>0</v>
      </c>
      <c r="U109" s="31">
        <f>LOOKUP($D109,Inputs!$B$46:$B$57,Inputs!J$46:J$57)</f>
        <v>0</v>
      </c>
      <c r="V109" s="13" t="str">
        <f t="shared" si="27"/>
        <v/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2:42" x14ac:dyDescent="0.25">
      <c r="B110" s="69" t="s">
        <v>187</v>
      </c>
      <c r="C110" s="54" t="s">
        <v>186</v>
      </c>
      <c r="D110" s="53" t="s">
        <v>25</v>
      </c>
      <c r="E110" s="53">
        <v>2040</v>
      </c>
      <c r="F110" s="53"/>
      <c r="G110" s="57">
        <v>87500</v>
      </c>
      <c r="H110" s="88" t="s">
        <v>177</v>
      </c>
      <c r="I110" s="50" t="s">
        <v>270</v>
      </c>
      <c r="J110" s="116"/>
      <c r="K110" s="44">
        <f>LOOKUP($D110,Inputs!$B$29:$B$40,Inputs!$E$29:$E$40)*$G110</f>
        <v>4179700</v>
      </c>
      <c r="L110" s="31">
        <f>LOOKUP($D110,Inputs!$B$46:$B$57,Inputs!C$46:C$57)</f>
        <v>0.25</v>
      </c>
      <c r="M110" s="31">
        <f>LOOKUP($D110,Inputs!$B$46:$B$57,Inputs!D$46:D$57)</f>
        <v>0.35</v>
      </c>
      <c r="N110" s="31">
        <f>LOOKUP($D110,Inputs!$B$46:$B$57,Inputs!E$46:E$57)</f>
        <v>0.18</v>
      </c>
      <c r="O110" s="31">
        <f>LOOKUP($D110,Inputs!$B$46:$B$57,Inputs!F$46:F$57)</f>
        <v>0.22</v>
      </c>
      <c r="P110" s="13" t="str">
        <f t="shared" si="26"/>
        <v/>
      </c>
      <c r="Q110" s="44">
        <f>LOOKUP($D110,Inputs!$B$29:$B$40,Inputs!$F$29:$F$40)*Inputs!$C$14/Inputs!C$15*$G110</f>
        <v>7345624.9999999991</v>
      </c>
      <c r="R110" s="31">
        <f>LOOKUP($D110,Inputs!$B$46:$B$57,Inputs!G$46:G$57)</f>
        <v>0.7</v>
      </c>
      <c r="S110" s="31">
        <f>LOOKUP($D110,Inputs!$B$46:$B$57,Inputs!H$46:H$57)</f>
        <v>0.3</v>
      </c>
      <c r="T110" s="31">
        <f>LOOKUP($D110,Inputs!$B$46:$B$57,Inputs!I$46:I$57)</f>
        <v>0</v>
      </c>
      <c r="U110" s="31">
        <f>LOOKUP($D110,Inputs!$B$46:$B$57,Inputs!J$46:J$57)</f>
        <v>0</v>
      </c>
      <c r="V110" s="13" t="str">
        <f t="shared" si="27"/>
        <v/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2:42" x14ac:dyDescent="0.25">
      <c r="B111" s="69" t="s">
        <v>195</v>
      </c>
      <c r="C111" s="54" t="s">
        <v>188</v>
      </c>
      <c r="D111" s="54" t="s">
        <v>25</v>
      </c>
      <c r="E111" s="54">
        <v>2028</v>
      </c>
      <c r="F111" s="54"/>
      <c r="G111" s="57">
        <v>90000</v>
      </c>
      <c r="H111" s="88" t="s">
        <v>177</v>
      </c>
      <c r="I111" s="50" t="s">
        <v>270</v>
      </c>
      <c r="J111" s="116"/>
      <c r="K111" s="44">
        <f>LOOKUP($D111,Inputs!$B$29:$B$40,Inputs!$E$29:$E$40)*$G111</f>
        <v>4299120</v>
      </c>
      <c r="L111" s="31">
        <f>LOOKUP($D111,Inputs!$B$46:$B$57,Inputs!C$46:C$57)</f>
        <v>0.25</v>
      </c>
      <c r="M111" s="31">
        <f>LOOKUP($D111,Inputs!$B$46:$B$57,Inputs!D$46:D$57)</f>
        <v>0.35</v>
      </c>
      <c r="N111" s="31">
        <f>LOOKUP($D111,Inputs!$B$46:$B$57,Inputs!E$46:E$57)</f>
        <v>0.18</v>
      </c>
      <c r="O111" s="31">
        <f>LOOKUP($D111,Inputs!$B$46:$B$57,Inputs!F$46:F$57)</f>
        <v>0.22</v>
      </c>
      <c r="P111" s="13" t="str">
        <f t="shared" si="26"/>
        <v/>
      </c>
      <c r="Q111" s="44">
        <f>LOOKUP($D111,Inputs!$B$29:$B$40,Inputs!$F$29:$F$40)*Inputs!$C$14/Inputs!C$15*$G111</f>
        <v>7555499.9999999991</v>
      </c>
      <c r="R111" s="31">
        <f>LOOKUP($D111,Inputs!$B$46:$B$57,Inputs!G$46:G$57)</f>
        <v>0.7</v>
      </c>
      <c r="S111" s="31">
        <f>LOOKUP($D111,Inputs!$B$46:$B$57,Inputs!H$46:H$57)</f>
        <v>0.3</v>
      </c>
      <c r="T111" s="31">
        <f>LOOKUP($D111,Inputs!$B$46:$B$57,Inputs!I$46:I$57)</f>
        <v>0</v>
      </c>
      <c r="U111" s="31">
        <f>LOOKUP($D111,Inputs!$B$46:$B$57,Inputs!J$46:J$57)</f>
        <v>0</v>
      </c>
      <c r="V111" s="13" t="str">
        <f t="shared" si="27"/>
        <v/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2:42" x14ac:dyDescent="0.25">
      <c r="B112" s="42">
        <v>1785</v>
      </c>
      <c r="C112" s="24" t="s">
        <v>153</v>
      </c>
      <c r="D112" s="24" t="s">
        <v>32</v>
      </c>
      <c r="E112" s="54">
        <v>2025</v>
      </c>
      <c r="F112" s="54"/>
      <c r="G112" s="45">
        <v>1050000</v>
      </c>
      <c r="H112" s="27" t="s">
        <v>175</v>
      </c>
      <c r="I112" s="91" t="s">
        <v>153</v>
      </c>
      <c r="J112" s="116"/>
      <c r="K112" s="44">
        <f>LOOKUP($D112,Inputs!$B$29:$B$40,Inputs!$E$29:$E$40)*$G112</f>
        <v>11106060</v>
      </c>
      <c r="L112" s="31">
        <f>LOOKUP($D112,Inputs!$B$46:$B$57,Inputs!C$46:C$57)</f>
        <v>0</v>
      </c>
      <c r="M112" s="31">
        <f>LOOKUP($D112,Inputs!$B$46:$B$57,Inputs!D$46:D$57)</f>
        <v>0.1</v>
      </c>
      <c r="N112" s="31">
        <f>LOOKUP($D112,Inputs!$B$46:$B$57,Inputs!E$46:E$57)</f>
        <v>0.4</v>
      </c>
      <c r="O112" s="31">
        <f>LOOKUP($D112,Inputs!$B$46:$B$57,Inputs!F$46:F$57)</f>
        <v>0.5</v>
      </c>
      <c r="P112" s="13" t="str">
        <f t="shared" si="26"/>
        <v/>
      </c>
      <c r="Q112" s="44">
        <f>LOOKUP($D112,Inputs!$B$29:$B$40,Inputs!$F$29:$F$40)*Inputs!$C$14/Inputs!C$15*$G112</f>
        <v>14489999.999999998</v>
      </c>
      <c r="R112" s="31">
        <f>LOOKUP($D112,Inputs!$B$46:$B$57,Inputs!G$46:G$57)*(1-$U112)</f>
        <v>0.48</v>
      </c>
      <c r="S112" s="31">
        <f>LOOKUP($D112,Inputs!$B$46:$B$57,Inputs!H$46:H$57)*(1-$U112)</f>
        <v>0.32000000000000006</v>
      </c>
      <c r="T112" s="31">
        <f>LOOKUP($D112,Inputs!$B$46:$B$57,Inputs!I$46:I$57)*(1-$U112)</f>
        <v>0</v>
      </c>
      <c r="U112" s="58">
        <v>0.2</v>
      </c>
      <c r="V112" s="13" t="str">
        <f t="shared" si="27"/>
        <v/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2:16382" x14ac:dyDescent="0.25">
      <c r="B113" s="42">
        <v>1601</v>
      </c>
      <c r="C113" s="24" t="s">
        <v>193</v>
      </c>
      <c r="D113" s="24" t="s">
        <v>32</v>
      </c>
      <c r="E113" s="54">
        <v>2023</v>
      </c>
      <c r="F113" s="54"/>
      <c r="G113" s="45">
        <v>432000</v>
      </c>
      <c r="H113" s="27" t="s">
        <v>173</v>
      </c>
      <c r="I113" s="91" t="s">
        <v>193</v>
      </c>
      <c r="J113" s="116"/>
      <c r="K113" s="44">
        <f>LOOKUP($D113,Inputs!$B$29:$B$40,Inputs!$E$29:$E$40)*$G113</f>
        <v>4569350.3999999994</v>
      </c>
      <c r="L113" s="31">
        <f>LOOKUP($D113,Inputs!$B$46:$B$57,Inputs!C$46:C$57)</f>
        <v>0</v>
      </c>
      <c r="M113" s="31">
        <f>LOOKUP($D113,Inputs!$B$46:$B$57,Inputs!D$46:D$57)</f>
        <v>0.1</v>
      </c>
      <c r="N113" s="31">
        <f>LOOKUP($D113,Inputs!$B$46:$B$57,Inputs!E$46:E$57)</f>
        <v>0.4</v>
      </c>
      <c r="O113" s="31">
        <f>LOOKUP($D113,Inputs!$B$46:$B$57,Inputs!F$46:F$57)</f>
        <v>0.5</v>
      </c>
      <c r="P113" s="13" t="str">
        <f t="shared" si="26"/>
        <v/>
      </c>
      <c r="Q113" s="44">
        <f>LOOKUP($D113,Inputs!$B$29:$B$40,Inputs!$F$29:$F$40)*Inputs!$C$14/Inputs!C$15*$G113</f>
        <v>5961600</v>
      </c>
      <c r="R113" s="31">
        <f>LOOKUP($D113,Inputs!$B$46:$B$57,Inputs!G$46:G$57)</f>
        <v>0.6</v>
      </c>
      <c r="S113" s="31">
        <f>LOOKUP($D113,Inputs!$B$46:$B$57,Inputs!H$46:H$57)</f>
        <v>0.4</v>
      </c>
      <c r="T113" s="31">
        <f>LOOKUP($D113,Inputs!$B$46:$B$57,Inputs!I$46:I$57)</f>
        <v>0</v>
      </c>
      <c r="U113" s="31">
        <f>LOOKUP($D113,Inputs!$B$46:$B$57,Inputs!J$46:J$57)</f>
        <v>0</v>
      </c>
      <c r="V113" s="13" t="str">
        <f t="shared" si="27"/>
        <v/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2:16382" x14ac:dyDescent="0.25">
      <c r="B114" s="42" t="s">
        <v>189</v>
      </c>
      <c r="C114" s="24" t="s">
        <v>194</v>
      </c>
      <c r="D114" s="24" t="s">
        <v>24</v>
      </c>
      <c r="E114" s="54">
        <v>2025</v>
      </c>
      <c r="F114" s="54"/>
      <c r="G114" s="45">
        <v>292500</v>
      </c>
      <c r="H114" s="27" t="s">
        <v>175</v>
      </c>
      <c r="I114" s="50" t="s">
        <v>258</v>
      </c>
      <c r="J114" s="116"/>
      <c r="K114" s="44">
        <f>LOOKUP($D114,Inputs!$B$29:$B$40,Inputs!$E$29:$E$40)*$G114</f>
        <v>13972140</v>
      </c>
      <c r="L114" s="31">
        <f>LOOKUP($D114,Inputs!$B$46:$B$57,Inputs!C$46:C$57)</f>
        <v>0.25</v>
      </c>
      <c r="M114" s="31">
        <f>LOOKUP($D114,Inputs!$B$46:$B$57,Inputs!D$46:D$57)</f>
        <v>0.35</v>
      </c>
      <c r="N114" s="31">
        <f>LOOKUP($D114,Inputs!$B$46:$B$57,Inputs!E$46:E$57)</f>
        <v>0.18</v>
      </c>
      <c r="O114" s="31">
        <f>LOOKUP($D114,Inputs!$B$46:$B$57,Inputs!F$46:F$57)</f>
        <v>0.22</v>
      </c>
      <c r="P114" s="13" t="str">
        <f t="shared" si="26"/>
        <v/>
      </c>
      <c r="Q114" s="44">
        <f>LOOKUP($D114,Inputs!$B$29:$B$40,Inputs!$F$29:$F$40)*Inputs!$C$14/Inputs!C$15*$G114</f>
        <v>24555374.999999996</v>
      </c>
      <c r="R114" s="31">
        <f>LOOKUP($D114,Inputs!$B$46:$B$57,Inputs!G$46:G$57)*(1-$U114)</f>
        <v>0.55999999999999994</v>
      </c>
      <c r="S114" s="31">
        <f>LOOKUP($D114,Inputs!$B$46:$B$57,Inputs!H$46:H$57)*(1-$U114)</f>
        <v>0.24</v>
      </c>
      <c r="T114" s="31">
        <f>LOOKUP($D114,Inputs!$B$46:$B$57,Inputs!I$46:I$57)*(1-$U114)</f>
        <v>0</v>
      </c>
      <c r="U114" s="58">
        <v>0.2</v>
      </c>
      <c r="V114" s="13" t="str">
        <f t="shared" si="27"/>
        <v/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2:16382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</row>
    <row r="116" spans="2:16382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2:16382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2:16382" s="1" customFormat="1" x14ac:dyDescent="0.25"/>
    <row r="119" spans="2:16382" s="1" customFormat="1" x14ac:dyDescent="0.25"/>
    <row r="120" spans="2:16382" s="1" customFormat="1" x14ac:dyDescent="0.25"/>
    <row r="121" spans="2:16382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2:16382" s="1" customFormat="1" x14ac:dyDescent="0.25"/>
    <row r="123" spans="2:16382" s="1" customFormat="1" x14ac:dyDescent="0.25"/>
    <row r="124" spans="2:16382" s="1" customFormat="1" x14ac:dyDescent="0.25"/>
    <row r="125" spans="2:16382" s="1" customFormat="1" x14ac:dyDescent="0.25"/>
    <row r="126" spans="2:16382" s="1" customFormat="1" x14ac:dyDescent="0.25"/>
    <row r="127" spans="2:16382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:16382" s="1" customFormat="1" x14ac:dyDescent="0.25"/>
    <row r="129" spans="2:41" s="1" customFormat="1" x14ac:dyDescent="0.25"/>
    <row r="130" spans="2:41" s="1" customFormat="1" x14ac:dyDescent="0.25"/>
    <row r="131" spans="2:41" s="1" customFormat="1" x14ac:dyDescent="0.25"/>
    <row r="132" spans="2:41" s="1" customFormat="1" x14ac:dyDescent="0.25"/>
    <row r="133" spans="2:41" s="1" customFormat="1" x14ac:dyDescent="0.25"/>
    <row r="134" spans="2:4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 s="1" customFormat="1" x14ac:dyDescent="0.25"/>
    <row r="136" spans="2:41" s="1" customFormat="1" x14ac:dyDescent="0.25"/>
    <row r="137" spans="2:41" s="1" customFormat="1" x14ac:dyDescent="0.25"/>
    <row r="138" spans="2:41" s="1" customFormat="1" x14ac:dyDescent="0.25"/>
    <row r="139" spans="2:41" s="1" customFormat="1" x14ac:dyDescent="0.25"/>
    <row r="140" spans="2:41" s="1" customFormat="1" x14ac:dyDescent="0.25"/>
    <row r="141" spans="2:4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 s="1" customFormat="1" x14ac:dyDescent="0.25"/>
    <row r="143" spans="2:41" s="1" customFormat="1" x14ac:dyDescent="0.25"/>
    <row r="144" spans="2:41" s="1" customFormat="1" x14ac:dyDescent="0.25"/>
    <row r="145" spans="2:41" s="1" customFormat="1" x14ac:dyDescent="0.25"/>
    <row r="146" spans="2:41" s="1" customFormat="1" x14ac:dyDescent="0.25"/>
    <row r="147" spans="2:41" s="1" customFormat="1" x14ac:dyDescent="0.25"/>
    <row r="148" spans="2:4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 s="1" customFormat="1" x14ac:dyDescent="0.25"/>
    <row r="150" spans="2:41" s="1" customFormat="1" x14ac:dyDescent="0.25"/>
    <row r="151" spans="2:41" s="1" customFormat="1" x14ac:dyDescent="0.25"/>
    <row r="152" spans="2:41" s="1" customFormat="1" x14ac:dyDescent="0.25"/>
    <row r="153" spans="2:41" s="1" customFormat="1" x14ac:dyDescent="0.25"/>
    <row r="154" spans="2:41" s="1" customFormat="1" x14ac:dyDescent="0.25"/>
    <row r="155" spans="2:4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 s="1" customFormat="1" x14ac:dyDescent="0.25"/>
    <row r="157" spans="2:41" s="1" customFormat="1" x14ac:dyDescent="0.25"/>
    <row r="158" spans="2:41" s="1" customFormat="1" x14ac:dyDescent="0.25"/>
    <row r="159" spans="2:41" s="1" customFormat="1" x14ac:dyDescent="0.25"/>
    <row r="160" spans="2:41" s="1" customFormat="1" x14ac:dyDescent="0.25"/>
    <row r="161" spans="2:41" s="1" customFormat="1" x14ac:dyDescent="0.25"/>
    <row r="162" spans="2:41" s="1" customFormat="1" x14ac:dyDescent="0.25"/>
    <row r="163" spans="2:41" s="1" customFormat="1" x14ac:dyDescent="0.25"/>
    <row r="164" spans="2:4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 s="1" customFormat="1" x14ac:dyDescent="0.25"/>
    <row r="166" spans="2:41" s="1" customFormat="1" x14ac:dyDescent="0.25"/>
    <row r="167" spans="2:41" s="1" customFormat="1" x14ac:dyDescent="0.25"/>
    <row r="168" spans="2:4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:41" s="1" customFormat="1" x14ac:dyDescent="0.25"/>
    <row r="171" spans="2:41" s="1" customFormat="1" x14ac:dyDescent="0.25"/>
    <row r="172" spans="2:41" s="1" customFormat="1" x14ac:dyDescent="0.25"/>
    <row r="173" spans="2:4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 s="1" customFormat="1" x14ac:dyDescent="0.25"/>
    <row r="175" spans="2:41" s="1" customFormat="1" x14ac:dyDescent="0.25"/>
    <row r="176" spans="2:41" s="1" customFormat="1" x14ac:dyDescent="0.25"/>
    <row r="177" spans="2:41" s="1" customFormat="1" x14ac:dyDescent="0.25"/>
    <row r="178" spans="2:41" s="1" customFormat="1" x14ac:dyDescent="0.25"/>
    <row r="179" spans="2:41" s="1" customFormat="1" x14ac:dyDescent="0.25"/>
    <row r="180" spans="2:4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s="1" customFormat="1" x14ac:dyDescent="0.25"/>
    <row r="182" spans="2:41" s="1" customFormat="1" x14ac:dyDescent="0.25"/>
    <row r="183" spans="2:41" s="1" customFormat="1" x14ac:dyDescent="0.25"/>
    <row r="184" spans="2:41" s="1" customFormat="1" x14ac:dyDescent="0.25"/>
    <row r="185" spans="2:41" s="1" customFormat="1" x14ac:dyDescent="0.25"/>
    <row r="186" spans="2:41" s="1" customFormat="1" x14ac:dyDescent="0.25"/>
    <row r="187" spans="2:4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s="1" customFormat="1" x14ac:dyDescent="0.25"/>
    <row r="189" spans="2:41" s="1" customFormat="1" x14ac:dyDescent="0.25"/>
    <row r="190" spans="2:41" s="1" customFormat="1" x14ac:dyDescent="0.25"/>
    <row r="191" spans="2:41" s="1" customFormat="1" x14ac:dyDescent="0.25"/>
    <row r="192" spans="2:41" s="1" customFormat="1" x14ac:dyDescent="0.25"/>
    <row r="193" spans="2:41" s="1" customFormat="1" x14ac:dyDescent="0.25"/>
    <row r="194" spans="2:4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s="1" customFormat="1" x14ac:dyDescent="0.25"/>
    <row r="196" spans="2:41" s="1" customFormat="1" x14ac:dyDescent="0.25"/>
    <row r="197" spans="2:41" s="1" customFormat="1" x14ac:dyDescent="0.25"/>
    <row r="198" spans="2:41" s="1" customFormat="1" x14ac:dyDescent="0.25"/>
    <row r="199" spans="2:41" s="1" customFormat="1" x14ac:dyDescent="0.25"/>
    <row r="200" spans="2:41" s="1" customFormat="1" x14ac:dyDescent="0.25"/>
    <row r="201" spans="2:4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2:41" s="1" customFormat="1" x14ac:dyDescent="0.25"/>
    <row r="203" spans="2:41" s="1" customFormat="1" x14ac:dyDescent="0.25"/>
    <row r="204" spans="2:41" s="1" customFormat="1" x14ac:dyDescent="0.25"/>
    <row r="205" spans="2:41" s="1" customFormat="1" x14ac:dyDescent="0.25"/>
    <row r="206" spans="2:41" s="1" customFormat="1" x14ac:dyDescent="0.25"/>
    <row r="207" spans="2:41" s="1" customFormat="1" x14ac:dyDescent="0.25"/>
    <row r="208" spans="2:4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2:41" s="1" customFormat="1" x14ac:dyDescent="0.25"/>
    <row r="210" spans="2:41" s="1" customFormat="1" x14ac:dyDescent="0.25"/>
    <row r="211" spans="2:41" s="1" customFormat="1" x14ac:dyDescent="0.25"/>
    <row r="212" spans="2:4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2:4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2:41" s="1" customFormat="1" x14ac:dyDescent="0.25"/>
    <row r="215" spans="2:41" s="1" customFormat="1" x14ac:dyDescent="0.25"/>
    <row r="216" spans="2:41" s="1" customFormat="1" x14ac:dyDescent="0.25"/>
    <row r="217" spans="2:4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2:41" s="1" customFormat="1" x14ac:dyDescent="0.25"/>
    <row r="219" spans="2:41" s="1" customFormat="1" x14ac:dyDescent="0.25"/>
    <row r="220" spans="2:41" s="1" customFormat="1" x14ac:dyDescent="0.25"/>
    <row r="221" spans="2:41" s="1" customFormat="1" x14ac:dyDescent="0.25"/>
    <row r="222" spans="2:41" s="1" customFormat="1" x14ac:dyDescent="0.25"/>
    <row r="223" spans="2:41" s="1" customFormat="1" x14ac:dyDescent="0.25"/>
    <row r="224" spans="2:4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2:41" s="1" customFormat="1" x14ac:dyDescent="0.25"/>
    <row r="226" spans="2:41" s="1" customFormat="1" x14ac:dyDescent="0.25"/>
    <row r="227" spans="2:41" s="1" customFormat="1" x14ac:dyDescent="0.25"/>
    <row r="228" spans="2:41" s="1" customFormat="1" x14ac:dyDescent="0.25"/>
    <row r="229" spans="2:41" s="1" customFormat="1" x14ac:dyDescent="0.25"/>
    <row r="230" spans="2:41" s="1" customFormat="1" x14ac:dyDescent="0.25"/>
    <row r="231" spans="2:4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2:41" s="1" customFormat="1" x14ac:dyDescent="0.25"/>
    <row r="233" spans="2:41" s="1" customFormat="1" x14ac:dyDescent="0.25"/>
    <row r="234" spans="2:41" s="1" customFormat="1" x14ac:dyDescent="0.25"/>
    <row r="235" spans="2:41" s="1" customFormat="1" x14ac:dyDescent="0.25"/>
    <row r="236" spans="2:41" s="1" customFormat="1" x14ac:dyDescent="0.25"/>
    <row r="237" spans="2:41" s="1" customFormat="1" x14ac:dyDescent="0.25"/>
    <row r="238" spans="2:4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2:41" s="1" customFormat="1" x14ac:dyDescent="0.25"/>
    <row r="240" spans="2:41" s="1" customFormat="1" x14ac:dyDescent="0.25"/>
    <row r="241" spans="2:41" s="1" customFormat="1" x14ac:dyDescent="0.25"/>
    <row r="242" spans="2:41" s="1" customFormat="1" x14ac:dyDescent="0.25"/>
    <row r="243" spans="2:41" s="1" customFormat="1" x14ac:dyDescent="0.25"/>
    <row r="244" spans="2:41" s="1" customFormat="1" x14ac:dyDescent="0.25"/>
    <row r="245" spans="2:4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2:41" s="1" customFormat="1" x14ac:dyDescent="0.25"/>
    <row r="247" spans="2:41" s="1" customFormat="1" x14ac:dyDescent="0.25"/>
    <row r="248" spans="2:41" s="1" customFormat="1" x14ac:dyDescent="0.25"/>
    <row r="249" spans="2:41" s="1" customFormat="1" x14ac:dyDescent="0.25"/>
    <row r="250" spans="2:41" s="1" customFormat="1" x14ac:dyDescent="0.25"/>
    <row r="251" spans="2:41" s="1" customFormat="1" x14ac:dyDescent="0.25"/>
    <row r="252" spans="2:4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2:41" s="1" customFormat="1" x14ac:dyDescent="0.25"/>
    <row r="254" spans="2:41" s="1" customFormat="1" x14ac:dyDescent="0.25"/>
    <row r="255" spans="2:41" s="1" customFormat="1" x14ac:dyDescent="0.25"/>
    <row r="256" spans="2:4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2:4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2:41" s="1" customFormat="1" x14ac:dyDescent="0.25"/>
    <row r="259" spans="2:41" s="1" customFormat="1" x14ac:dyDescent="0.25"/>
    <row r="260" spans="2:41" s="1" customFormat="1" x14ac:dyDescent="0.25"/>
    <row r="261" spans="2:4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2:41" s="1" customFormat="1" x14ac:dyDescent="0.25"/>
    <row r="263" spans="2:41" s="1" customFormat="1" x14ac:dyDescent="0.25"/>
    <row r="264" spans="2:41" s="1" customFormat="1" x14ac:dyDescent="0.25"/>
    <row r="265" spans="2:4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2:4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2:41" s="1" customFormat="1" x14ac:dyDescent="0.25"/>
    <row r="268" spans="2:41" s="1" customFormat="1" x14ac:dyDescent="0.25"/>
    <row r="269" spans="2:41" s="1" customFormat="1" x14ac:dyDescent="0.25"/>
    <row r="270" spans="2:4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2:41" s="1" customFormat="1" x14ac:dyDescent="0.25"/>
    <row r="272" spans="2:41" s="1" customFormat="1" x14ac:dyDescent="0.25"/>
    <row r="273" spans="2:41" s="1" customFormat="1" x14ac:dyDescent="0.25"/>
    <row r="274" spans="2:4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2:4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2:41" s="1" customFormat="1" x14ac:dyDescent="0.25"/>
    <row r="277" spans="2:41" s="1" customFormat="1" x14ac:dyDescent="0.25"/>
    <row r="278" spans="2:41" s="1" customFormat="1" x14ac:dyDescent="0.25"/>
    <row r="279" spans="2:4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2:41" s="1" customFormat="1" x14ac:dyDescent="0.25"/>
    <row r="281" spans="2:41" s="1" customFormat="1" x14ac:dyDescent="0.25"/>
    <row r="282" spans="2:41" s="1" customFormat="1" x14ac:dyDescent="0.25"/>
    <row r="283" spans="2:4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2:4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2:4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2:4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2:4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2:4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0:36" x14ac:dyDescent="0.25">
      <c r="J289" s="1"/>
      <c r="K289" s="1"/>
      <c r="L289" s="1"/>
      <c r="M289" s="1"/>
      <c r="N289" s="1"/>
      <c r="O289" s="1"/>
      <c r="X289" s="1"/>
      <c r="Y289" s="1"/>
      <c r="Z289" s="1"/>
      <c r="AA289" s="1"/>
      <c r="AB289" s="1"/>
      <c r="AG289" s="1"/>
      <c r="AH289" s="1"/>
      <c r="AI289" s="1"/>
      <c r="AJ289" s="1"/>
    </row>
  </sheetData>
  <autoFilter ref="B13:AP101" xr:uid="{2875036E-3723-472D-94C5-10E2FC6C74D9}">
    <filterColumn colId="6">
      <filters>
        <filter val="Biosciences"/>
      </filters>
    </filterColumn>
  </autoFilter>
  <conditionalFormatting sqref="Z171 Z91 Z120">
    <cfRule type="containsText" dxfId="563" priority="346" operator="containsText" text="In progress">
      <formula>NOT(ISERROR(SEARCH("In progress",Z91)))</formula>
    </cfRule>
    <cfRule type="containsText" dxfId="562" priority="347" operator="containsText" text="Complete">
      <formula>NOT(ISERROR(SEARCH("Complete",Z91)))</formula>
    </cfRule>
    <cfRule type="containsText" dxfId="561" priority="348" operator="containsText" text="Outstanding">
      <formula>NOT(ISERROR(SEARCH("Outstanding",Z91)))</formula>
    </cfRule>
  </conditionalFormatting>
  <conditionalFormatting sqref="Z215">
    <cfRule type="containsText" dxfId="560" priority="343" operator="containsText" text="In progress">
      <formula>NOT(ISERROR(SEARCH("In progress",Z215)))</formula>
    </cfRule>
    <cfRule type="containsText" dxfId="559" priority="344" operator="containsText" text="Complete">
      <formula>NOT(ISERROR(SEARCH("Complete",Z215)))</formula>
    </cfRule>
    <cfRule type="containsText" dxfId="558" priority="345" operator="containsText" text="Outstanding">
      <formula>NOT(ISERROR(SEARCH("Outstanding",Z215)))</formula>
    </cfRule>
  </conditionalFormatting>
  <conditionalFormatting sqref="Z40:Z42">
    <cfRule type="containsText" dxfId="557" priority="334" operator="containsText" text="In progress">
      <formula>NOT(ISERROR(SEARCH("In progress",Z40)))</formula>
    </cfRule>
    <cfRule type="containsText" dxfId="556" priority="335" operator="containsText" text="Complete">
      <formula>NOT(ISERROR(SEARCH("Complete",Z40)))</formula>
    </cfRule>
    <cfRule type="containsText" dxfId="555" priority="336" operator="containsText" text="Outstanding">
      <formula>NOT(ISERROR(SEARCH("Outstanding",Z40)))</formula>
    </cfRule>
  </conditionalFormatting>
  <conditionalFormatting sqref="Z61:Z63">
    <cfRule type="containsText" dxfId="554" priority="325" operator="containsText" text="In progress">
      <formula>NOT(ISERROR(SEARCH("In progress",Z61)))</formula>
    </cfRule>
    <cfRule type="containsText" dxfId="553" priority="326" operator="containsText" text="Complete">
      <formula>NOT(ISERROR(SEARCH("Complete",Z61)))</formula>
    </cfRule>
    <cfRule type="containsText" dxfId="552" priority="327" operator="containsText" text="Outstanding">
      <formula>NOT(ISERROR(SEARCH("Outstanding",Z61)))</formula>
    </cfRule>
  </conditionalFormatting>
  <conditionalFormatting sqref="M136:M138">
    <cfRule type="containsText" dxfId="551" priority="511" operator="containsText" text="In progress">
      <formula>NOT(ISERROR(SEARCH("In progress",M136)))</formula>
    </cfRule>
    <cfRule type="containsText" dxfId="550" priority="512" operator="containsText" text="Complete">
      <formula>NOT(ISERROR(SEARCH("Complete",M136)))</formula>
    </cfRule>
    <cfRule type="containsText" dxfId="549" priority="513" operator="containsText" text="Outstanding">
      <formula>NOT(ISERROR(SEARCH("Outstanding",M136)))</formula>
    </cfRule>
  </conditionalFormatting>
  <conditionalFormatting sqref="M143:M145">
    <cfRule type="containsText" dxfId="548" priority="508" operator="containsText" text="In progress">
      <formula>NOT(ISERROR(SEARCH("In progress",M143)))</formula>
    </cfRule>
    <cfRule type="containsText" dxfId="547" priority="509" operator="containsText" text="Complete">
      <formula>NOT(ISERROR(SEARCH("Complete",M143)))</formula>
    </cfRule>
    <cfRule type="containsText" dxfId="546" priority="510" operator="containsText" text="Outstanding">
      <formula>NOT(ISERROR(SEARCH("Outstanding",M143)))</formula>
    </cfRule>
  </conditionalFormatting>
  <conditionalFormatting sqref="M150:M152">
    <cfRule type="containsText" dxfId="545" priority="505" operator="containsText" text="In progress">
      <formula>NOT(ISERROR(SEARCH("In progress",M150)))</formula>
    </cfRule>
    <cfRule type="containsText" dxfId="544" priority="506" operator="containsText" text="Complete">
      <formula>NOT(ISERROR(SEARCH("Complete",M150)))</formula>
    </cfRule>
    <cfRule type="containsText" dxfId="543" priority="507" operator="containsText" text="Outstanding">
      <formula>NOT(ISERROR(SEARCH("Outstanding",M150)))</formula>
    </cfRule>
  </conditionalFormatting>
  <conditionalFormatting sqref="M171">
    <cfRule type="containsText" dxfId="542" priority="559" operator="containsText" text="In progress">
      <formula>NOT(ISERROR(SEARCH("In progress",M171)))</formula>
    </cfRule>
    <cfRule type="containsText" dxfId="541" priority="560" operator="containsText" text="Complete">
      <formula>NOT(ISERROR(SEARCH("Complete",M171)))</formula>
    </cfRule>
    <cfRule type="containsText" dxfId="540" priority="561" operator="containsText" text="Outstanding">
      <formula>NOT(ISERROR(SEARCH("Outstanding",M171)))</formula>
    </cfRule>
  </conditionalFormatting>
  <conditionalFormatting sqref="M215">
    <cfRule type="containsText" dxfId="539" priority="556" operator="containsText" text="In progress">
      <formula>NOT(ISERROR(SEARCH("In progress",M215)))</formula>
    </cfRule>
    <cfRule type="containsText" dxfId="538" priority="557" operator="containsText" text="Complete">
      <formula>NOT(ISERROR(SEARCH("Complete",M215)))</formula>
    </cfRule>
    <cfRule type="containsText" dxfId="537" priority="558" operator="containsText" text="Outstanding">
      <formula>NOT(ISERROR(SEARCH("Outstanding",M215)))</formula>
    </cfRule>
  </conditionalFormatting>
  <conditionalFormatting sqref="Z47:Z49">
    <cfRule type="containsText" dxfId="536" priority="331" operator="containsText" text="In progress">
      <formula>NOT(ISERROR(SEARCH("In progress",Z47)))</formula>
    </cfRule>
    <cfRule type="containsText" dxfId="535" priority="332" operator="containsText" text="Complete">
      <formula>NOT(ISERROR(SEARCH("Complete",Z47)))</formula>
    </cfRule>
    <cfRule type="containsText" dxfId="534" priority="333" operator="containsText" text="Outstanding">
      <formula>NOT(ISERROR(SEARCH("Outstanding",Z47)))</formula>
    </cfRule>
  </conditionalFormatting>
  <conditionalFormatting sqref="Z54:Z57">
    <cfRule type="containsText" dxfId="533" priority="328" operator="containsText" text="In progress">
      <formula>NOT(ISERROR(SEARCH("In progress",Z54)))</formula>
    </cfRule>
    <cfRule type="containsText" dxfId="532" priority="329" operator="containsText" text="Complete">
      <formula>NOT(ISERROR(SEARCH("Complete",Z54)))</formula>
    </cfRule>
    <cfRule type="containsText" dxfId="531" priority="330" operator="containsText" text="Outstanding">
      <formula>NOT(ISERROR(SEARCH("Outstanding",Z54)))</formula>
    </cfRule>
  </conditionalFormatting>
  <conditionalFormatting sqref="M182:M184">
    <cfRule type="containsText" dxfId="530" priority="481" operator="containsText" text="In progress">
      <formula>NOT(ISERROR(SEARCH("In progress",M182)))</formula>
    </cfRule>
    <cfRule type="containsText" dxfId="529" priority="482" operator="containsText" text="Complete">
      <formula>NOT(ISERROR(SEARCH("Complete",M182)))</formula>
    </cfRule>
    <cfRule type="containsText" dxfId="528" priority="483" operator="containsText" text="Outstanding">
      <formula>NOT(ISERROR(SEARCH("Outstanding",M182)))</formula>
    </cfRule>
  </conditionalFormatting>
  <conditionalFormatting sqref="M189:M191">
    <cfRule type="containsText" dxfId="527" priority="478" operator="containsText" text="In progress">
      <formula>NOT(ISERROR(SEARCH("In progress",M189)))</formula>
    </cfRule>
    <cfRule type="containsText" dxfId="526" priority="479" operator="containsText" text="Complete">
      <formula>NOT(ISERROR(SEARCH("Complete",M189)))</formula>
    </cfRule>
    <cfRule type="containsText" dxfId="525" priority="480" operator="containsText" text="Outstanding">
      <formula>NOT(ISERROR(SEARCH("Outstanding",M189)))</formula>
    </cfRule>
  </conditionalFormatting>
  <conditionalFormatting sqref="M175:M177">
    <cfRule type="containsText" dxfId="524" priority="484" operator="containsText" text="In progress">
      <formula>NOT(ISERROR(SEARCH("In progress",M175)))</formula>
    </cfRule>
    <cfRule type="containsText" dxfId="523" priority="485" operator="containsText" text="Complete">
      <formula>NOT(ISERROR(SEARCH("Complete",M175)))</formula>
    </cfRule>
    <cfRule type="containsText" dxfId="522" priority="486" operator="containsText" text="Outstanding">
      <formula>NOT(ISERROR(SEARCH("Outstanding",M175)))</formula>
    </cfRule>
  </conditionalFormatting>
  <conditionalFormatting sqref="M196:M198">
    <cfRule type="containsText" dxfId="521" priority="475" operator="containsText" text="In progress">
      <formula>NOT(ISERROR(SEARCH("In progress",M196)))</formula>
    </cfRule>
    <cfRule type="containsText" dxfId="520" priority="476" operator="containsText" text="Complete">
      <formula>NOT(ISERROR(SEARCH("Complete",M196)))</formula>
    </cfRule>
    <cfRule type="containsText" dxfId="519" priority="477" operator="containsText" text="Outstanding">
      <formula>NOT(ISERROR(SEARCH("Outstanding",M196)))</formula>
    </cfRule>
  </conditionalFormatting>
  <conditionalFormatting sqref="M203:M205">
    <cfRule type="containsText" dxfId="518" priority="472" operator="containsText" text="In progress">
      <formula>NOT(ISERROR(SEARCH("In progress",M203)))</formula>
    </cfRule>
    <cfRule type="containsText" dxfId="517" priority="473" operator="containsText" text="Complete">
      <formula>NOT(ISERROR(SEARCH("Complete",M203)))</formula>
    </cfRule>
    <cfRule type="containsText" dxfId="516" priority="474" operator="containsText" text="Outstanding">
      <formula>NOT(ISERROR(SEARCH("Outstanding",M203)))</formula>
    </cfRule>
  </conditionalFormatting>
  <conditionalFormatting sqref="M226:M228">
    <cfRule type="containsText" dxfId="515" priority="448" operator="containsText" text="In progress">
      <formula>NOT(ISERROR(SEARCH("In progress",M226)))</formula>
    </cfRule>
    <cfRule type="containsText" dxfId="514" priority="449" operator="containsText" text="Complete">
      <formula>NOT(ISERROR(SEARCH("Complete",M226)))</formula>
    </cfRule>
    <cfRule type="containsText" dxfId="513" priority="450" operator="containsText" text="Outstanding">
      <formula>NOT(ISERROR(SEARCH("Outstanding",M226)))</formula>
    </cfRule>
  </conditionalFormatting>
  <conditionalFormatting sqref="M233:M235">
    <cfRule type="containsText" dxfId="512" priority="445" operator="containsText" text="In progress">
      <formula>NOT(ISERROR(SEARCH("In progress",M233)))</formula>
    </cfRule>
    <cfRule type="containsText" dxfId="511" priority="446" operator="containsText" text="Complete">
      <formula>NOT(ISERROR(SEARCH("Complete",M233)))</formula>
    </cfRule>
    <cfRule type="containsText" dxfId="510" priority="447" operator="containsText" text="Outstanding">
      <formula>NOT(ISERROR(SEARCH("Outstanding",M233)))</formula>
    </cfRule>
  </conditionalFormatting>
  <conditionalFormatting sqref="M219:M221">
    <cfRule type="containsText" dxfId="509" priority="451" operator="containsText" text="In progress">
      <formula>NOT(ISERROR(SEARCH("In progress",M219)))</formula>
    </cfRule>
    <cfRule type="containsText" dxfId="508" priority="452" operator="containsText" text="Complete">
      <formula>NOT(ISERROR(SEARCH("Complete",M219)))</formula>
    </cfRule>
    <cfRule type="containsText" dxfId="507" priority="453" operator="containsText" text="Outstanding">
      <formula>NOT(ISERROR(SEARCH("Outstanding",M219)))</formula>
    </cfRule>
  </conditionalFormatting>
  <conditionalFormatting sqref="M240:M242">
    <cfRule type="containsText" dxfId="506" priority="442" operator="containsText" text="In progress">
      <formula>NOT(ISERROR(SEARCH("In progress",M240)))</formula>
    </cfRule>
    <cfRule type="containsText" dxfId="505" priority="443" operator="containsText" text="Complete">
      <formula>NOT(ISERROR(SEARCH("Complete",M240)))</formula>
    </cfRule>
    <cfRule type="containsText" dxfId="504" priority="444" operator="containsText" text="Outstanding">
      <formula>NOT(ISERROR(SEARCH("Outstanding",M240)))</formula>
    </cfRule>
  </conditionalFormatting>
  <conditionalFormatting sqref="M247:M249">
    <cfRule type="containsText" dxfId="503" priority="439" operator="containsText" text="In progress">
      <formula>NOT(ISERROR(SEARCH("In progress",M247)))</formula>
    </cfRule>
    <cfRule type="containsText" dxfId="502" priority="440" operator="containsText" text="Complete">
      <formula>NOT(ISERROR(SEARCH("Complete",M247)))</formula>
    </cfRule>
    <cfRule type="containsText" dxfId="501" priority="441" operator="containsText" text="Outstanding">
      <formula>NOT(ISERROR(SEARCH("Outstanding",M247)))</formula>
    </cfRule>
  </conditionalFormatting>
  <conditionalFormatting sqref="M164:M168">
    <cfRule type="containsText" dxfId="500" priority="436" operator="containsText" text="In progress">
      <formula>NOT(ISERROR(SEARCH("In progress",M164)))</formula>
    </cfRule>
    <cfRule type="containsText" dxfId="499" priority="437" operator="containsText" text="Complete">
      <formula>NOT(ISERROR(SEARCH("Complete",M164)))</formula>
    </cfRule>
    <cfRule type="containsText" dxfId="498" priority="438" operator="containsText" text="Outstanding">
      <formula>NOT(ISERROR(SEARCH("Outstanding",M164)))</formula>
    </cfRule>
  </conditionalFormatting>
  <conditionalFormatting sqref="M163">
    <cfRule type="containsText" dxfId="497" priority="433" operator="containsText" text="In progress">
      <formula>NOT(ISERROR(SEARCH("In progress",M163)))</formula>
    </cfRule>
    <cfRule type="containsText" dxfId="496" priority="434" operator="containsText" text="Complete">
      <formula>NOT(ISERROR(SEARCH("Complete",M163)))</formula>
    </cfRule>
    <cfRule type="containsText" dxfId="495" priority="435" operator="containsText" text="Outstanding">
      <formula>NOT(ISERROR(SEARCH("Outstanding",M163)))</formula>
    </cfRule>
  </conditionalFormatting>
  <conditionalFormatting sqref="M162">
    <cfRule type="containsText" dxfId="494" priority="430" operator="containsText" text="In progress">
      <formula>NOT(ISERROR(SEARCH("In progress",M162)))</formula>
    </cfRule>
    <cfRule type="containsText" dxfId="493" priority="431" operator="containsText" text="Complete">
      <formula>NOT(ISERROR(SEARCH("Complete",M162)))</formula>
    </cfRule>
    <cfRule type="containsText" dxfId="492" priority="432" operator="containsText" text="Outstanding">
      <formula>NOT(ISERROR(SEARCH("Outstanding",M162)))</formula>
    </cfRule>
  </conditionalFormatting>
  <conditionalFormatting sqref="M261:M265">
    <cfRule type="containsText" dxfId="491" priority="427" operator="containsText" text="In progress">
      <formula>NOT(ISERROR(SEARCH("In progress",M261)))</formula>
    </cfRule>
    <cfRule type="containsText" dxfId="490" priority="428" operator="containsText" text="Complete">
      <formula>NOT(ISERROR(SEARCH("Complete",M261)))</formula>
    </cfRule>
    <cfRule type="containsText" dxfId="489" priority="429" operator="containsText" text="Outstanding">
      <formula>NOT(ISERROR(SEARCH("Outstanding",M261)))</formula>
    </cfRule>
  </conditionalFormatting>
  <conditionalFormatting sqref="M260">
    <cfRule type="containsText" dxfId="488" priority="424" operator="containsText" text="In progress">
      <formula>NOT(ISERROR(SEARCH("In progress",M260)))</formula>
    </cfRule>
    <cfRule type="containsText" dxfId="487" priority="425" operator="containsText" text="Complete">
      <formula>NOT(ISERROR(SEARCH("Complete",M260)))</formula>
    </cfRule>
    <cfRule type="containsText" dxfId="486" priority="426" operator="containsText" text="Outstanding">
      <formula>NOT(ISERROR(SEARCH("Outstanding",M260)))</formula>
    </cfRule>
  </conditionalFormatting>
  <conditionalFormatting sqref="M259">
    <cfRule type="containsText" dxfId="485" priority="421" operator="containsText" text="In progress">
      <formula>NOT(ISERROR(SEARCH("In progress",M259)))</formula>
    </cfRule>
    <cfRule type="containsText" dxfId="484" priority="422" operator="containsText" text="Complete">
      <formula>NOT(ISERROR(SEARCH("Complete",M259)))</formula>
    </cfRule>
    <cfRule type="containsText" dxfId="483" priority="423" operator="containsText" text="Outstanding">
      <formula>NOT(ISERROR(SEARCH("Outstanding",M259)))</formula>
    </cfRule>
  </conditionalFormatting>
  <conditionalFormatting sqref="M270:M274">
    <cfRule type="containsText" dxfId="482" priority="418" operator="containsText" text="In progress">
      <formula>NOT(ISERROR(SEARCH("In progress",M270)))</formula>
    </cfRule>
    <cfRule type="containsText" dxfId="481" priority="419" operator="containsText" text="Complete">
      <formula>NOT(ISERROR(SEARCH("Complete",M270)))</formula>
    </cfRule>
    <cfRule type="containsText" dxfId="480" priority="420" operator="containsText" text="Outstanding">
      <formula>NOT(ISERROR(SEARCH("Outstanding",M270)))</formula>
    </cfRule>
  </conditionalFormatting>
  <conditionalFormatting sqref="M269">
    <cfRule type="containsText" dxfId="479" priority="415" operator="containsText" text="In progress">
      <formula>NOT(ISERROR(SEARCH("In progress",M269)))</formula>
    </cfRule>
    <cfRule type="containsText" dxfId="478" priority="416" operator="containsText" text="Complete">
      <formula>NOT(ISERROR(SEARCH("Complete",M269)))</formula>
    </cfRule>
    <cfRule type="containsText" dxfId="477" priority="417" operator="containsText" text="Outstanding">
      <formula>NOT(ISERROR(SEARCH("Outstanding",M269)))</formula>
    </cfRule>
  </conditionalFormatting>
  <conditionalFormatting sqref="M268">
    <cfRule type="containsText" dxfId="476" priority="412" operator="containsText" text="In progress">
      <formula>NOT(ISERROR(SEARCH("In progress",M268)))</formula>
    </cfRule>
    <cfRule type="containsText" dxfId="475" priority="413" operator="containsText" text="Complete">
      <formula>NOT(ISERROR(SEARCH("Complete",M268)))</formula>
    </cfRule>
    <cfRule type="containsText" dxfId="474" priority="414" operator="containsText" text="Outstanding">
      <formula>NOT(ISERROR(SEARCH("Outstanding",M268)))</formula>
    </cfRule>
  </conditionalFormatting>
  <conditionalFormatting sqref="M277">
    <cfRule type="containsText" dxfId="473" priority="403" operator="containsText" text="In progress">
      <formula>NOT(ISERROR(SEARCH("In progress",M277)))</formula>
    </cfRule>
    <cfRule type="containsText" dxfId="472" priority="404" operator="containsText" text="Complete">
      <formula>NOT(ISERROR(SEARCH("Complete",M277)))</formula>
    </cfRule>
    <cfRule type="containsText" dxfId="471" priority="405" operator="containsText" text="Outstanding">
      <formula>NOT(ISERROR(SEARCH("Outstanding",M277)))</formula>
    </cfRule>
  </conditionalFormatting>
  <conditionalFormatting sqref="Z268">
    <cfRule type="containsText" dxfId="470" priority="202" operator="containsText" text="In progress">
      <formula>NOT(ISERROR(SEARCH("In progress",Z268)))</formula>
    </cfRule>
    <cfRule type="containsText" dxfId="469" priority="203" operator="containsText" text="Complete">
      <formula>NOT(ISERROR(SEARCH("Complete",Z268)))</formula>
    </cfRule>
    <cfRule type="containsText" dxfId="468" priority="204" operator="containsText" text="Outstanding">
      <formula>NOT(ISERROR(SEARCH("Outstanding",Z268)))</formula>
    </cfRule>
  </conditionalFormatting>
  <conditionalFormatting sqref="Z277">
    <cfRule type="containsText" dxfId="467" priority="199" operator="containsText" text="In progress">
      <formula>NOT(ISERROR(SEARCH("In progress",Z277)))</formula>
    </cfRule>
    <cfRule type="containsText" dxfId="466" priority="200" operator="containsText" text="Complete">
      <formula>NOT(ISERROR(SEARCH("Complete",Z277)))</formula>
    </cfRule>
    <cfRule type="containsText" dxfId="465" priority="201" operator="containsText" text="Outstanding">
      <formula>NOT(ISERROR(SEARCH("Outstanding",Z277)))</formula>
    </cfRule>
  </conditionalFormatting>
  <conditionalFormatting sqref="Z77:Z79">
    <cfRule type="containsText" dxfId="464" priority="322" operator="containsText" text="In progress">
      <formula>NOT(ISERROR(SEARCH("In progress",Z77)))</formula>
    </cfRule>
    <cfRule type="containsText" dxfId="463" priority="323" operator="containsText" text="Complete">
      <formula>NOT(ISERROR(SEARCH("Complete",Z77)))</formula>
    </cfRule>
    <cfRule type="containsText" dxfId="462" priority="324" operator="containsText" text="Outstanding">
      <formula>NOT(ISERROR(SEARCH("Outstanding",Z77)))</formula>
    </cfRule>
  </conditionalFormatting>
  <conditionalFormatting sqref="Z96:Z98">
    <cfRule type="containsText" dxfId="461" priority="313" operator="containsText" text="In progress">
      <formula>NOT(ISERROR(SEARCH("In progress",Z96)))</formula>
    </cfRule>
    <cfRule type="containsText" dxfId="460" priority="314" operator="containsText" text="Complete">
      <formula>NOT(ISERROR(SEARCH("Complete",Z96)))</formula>
    </cfRule>
    <cfRule type="containsText" dxfId="459" priority="315" operator="containsText" text="Outstanding">
      <formula>NOT(ISERROR(SEARCH("Outstanding",Z96)))</formula>
    </cfRule>
  </conditionalFormatting>
  <conditionalFormatting sqref="W124">
    <cfRule type="containsText" dxfId="458" priority="307" operator="containsText" text="In progress">
      <formula>NOT(ISERROR(SEARCH("In progress",W124)))</formula>
    </cfRule>
    <cfRule type="containsText" dxfId="457" priority="308" operator="containsText" text="Complete">
      <formula>NOT(ISERROR(SEARCH("Complete",W124)))</formula>
    </cfRule>
    <cfRule type="containsText" dxfId="456" priority="309" operator="containsText" text="Outstanding">
      <formula>NOT(ISERROR(SEARCH("Outstanding",W124)))</formula>
    </cfRule>
  </conditionalFormatting>
  <conditionalFormatting sqref="W129:W131">
    <cfRule type="containsText" dxfId="455" priority="304" operator="containsText" text="In progress">
      <formula>NOT(ISERROR(SEARCH("In progress",W129)))</formula>
    </cfRule>
    <cfRule type="containsText" dxfId="454" priority="305" operator="containsText" text="Complete">
      <formula>NOT(ISERROR(SEARCH("Complete",W129)))</formula>
    </cfRule>
    <cfRule type="containsText" dxfId="453" priority="306" operator="containsText" text="Outstanding">
      <formula>NOT(ISERROR(SEARCH("Outstanding",W129)))</formula>
    </cfRule>
  </conditionalFormatting>
  <conditionalFormatting sqref="Z136:Z138">
    <cfRule type="containsText" dxfId="452" priority="301" operator="containsText" text="In progress">
      <formula>NOT(ISERROR(SEARCH("In progress",Z136)))</formula>
    </cfRule>
    <cfRule type="containsText" dxfId="451" priority="302" operator="containsText" text="Complete">
      <formula>NOT(ISERROR(SEARCH("Complete",Z136)))</formula>
    </cfRule>
    <cfRule type="containsText" dxfId="450" priority="303" operator="containsText" text="Outstanding">
      <formula>NOT(ISERROR(SEARCH("Outstanding",Z136)))</formula>
    </cfRule>
  </conditionalFormatting>
  <conditionalFormatting sqref="Z143:Z145">
    <cfRule type="containsText" dxfId="449" priority="298" operator="containsText" text="In progress">
      <formula>NOT(ISERROR(SEARCH("In progress",Z143)))</formula>
    </cfRule>
    <cfRule type="containsText" dxfId="448" priority="299" operator="containsText" text="Complete">
      <formula>NOT(ISERROR(SEARCH("Complete",Z143)))</formula>
    </cfRule>
    <cfRule type="containsText" dxfId="447" priority="300" operator="containsText" text="Outstanding">
      <formula>NOT(ISERROR(SEARCH("Outstanding",Z143)))</formula>
    </cfRule>
  </conditionalFormatting>
  <conditionalFormatting sqref="Z150:Z152">
    <cfRule type="containsText" dxfId="446" priority="295" operator="containsText" text="In progress">
      <formula>NOT(ISERROR(SEARCH("In progress",Z150)))</formula>
    </cfRule>
    <cfRule type="containsText" dxfId="445" priority="296" operator="containsText" text="Complete">
      <formula>NOT(ISERROR(SEARCH("Complete",Z150)))</formula>
    </cfRule>
    <cfRule type="containsText" dxfId="444" priority="297" operator="containsText" text="Outstanding">
      <formula>NOT(ISERROR(SEARCH("Outstanding",Z150)))</formula>
    </cfRule>
  </conditionalFormatting>
  <conditionalFormatting sqref="Z84:Z86">
    <cfRule type="containsText" dxfId="443" priority="319" operator="containsText" text="In progress">
      <formula>NOT(ISERROR(SEARCH("In progress",Z84)))</formula>
    </cfRule>
    <cfRule type="containsText" dxfId="442" priority="320" operator="containsText" text="Complete">
      <formula>NOT(ISERROR(SEARCH("Complete",Z84)))</formula>
    </cfRule>
    <cfRule type="containsText" dxfId="441" priority="321" operator="containsText" text="Outstanding">
      <formula>NOT(ISERROR(SEARCH("Outstanding",Z84)))</formula>
    </cfRule>
  </conditionalFormatting>
  <conditionalFormatting sqref="Z182:Z184">
    <cfRule type="containsText" dxfId="440" priority="271" operator="containsText" text="In progress">
      <formula>NOT(ISERROR(SEARCH("In progress",Z182)))</formula>
    </cfRule>
    <cfRule type="containsText" dxfId="439" priority="272" operator="containsText" text="Complete">
      <formula>NOT(ISERROR(SEARCH("Complete",Z182)))</formula>
    </cfRule>
    <cfRule type="containsText" dxfId="438" priority="273" operator="containsText" text="Outstanding">
      <formula>NOT(ISERROR(SEARCH("Outstanding",Z182)))</formula>
    </cfRule>
  </conditionalFormatting>
  <conditionalFormatting sqref="Z189:Z191">
    <cfRule type="containsText" dxfId="437" priority="268" operator="containsText" text="In progress">
      <formula>NOT(ISERROR(SEARCH("In progress",Z189)))</formula>
    </cfRule>
    <cfRule type="containsText" dxfId="436" priority="269" operator="containsText" text="Complete">
      <formula>NOT(ISERROR(SEARCH("Complete",Z189)))</formula>
    </cfRule>
    <cfRule type="containsText" dxfId="435" priority="270" operator="containsText" text="Outstanding">
      <formula>NOT(ISERROR(SEARCH("Outstanding",Z189)))</formula>
    </cfRule>
  </conditionalFormatting>
  <conditionalFormatting sqref="Z175:Z177">
    <cfRule type="containsText" dxfId="434" priority="274" operator="containsText" text="In progress">
      <formula>NOT(ISERROR(SEARCH("In progress",Z175)))</formula>
    </cfRule>
    <cfRule type="containsText" dxfId="433" priority="275" operator="containsText" text="Complete">
      <formula>NOT(ISERROR(SEARCH("Complete",Z175)))</formula>
    </cfRule>
    <cfRule type="containsText" dxfId="432" priority="276" operator="containsText" text="Outstanding">
      <formula>NOT(ISERROR(SEARCH("Outstanding",Z175)))</formula>
    </cfRule>
  </conditionalFormatting>
  <conditionalFormatting sqref="Z196:Z198">
    <cfRule type="containsText" dxfId="431" priority="265" operator="containsText" text="In progress">
      <formula>NOT(ISERROR(SEARCH("In progress",Z196)))</formula>
    </cfRule>
    <cfRule type="containsText" dxfId="430" priority="266" operator="containsText" text="Complete">
      <formula>NOT(ISERROR(SEARCH("Complete",Z196)))</formula>
    </cfRule>
    <cfRule type="containsText" dxfId="429" priority="267" operator="containsText" text="Outstanding">
      <formula>NOT(ISERROR(SEARCH("Outstanding",Z196)))</formula>
    </cfRule>
  </conditionalFormatting>
  <conditionalFormatting sqref="Z203:Z205">
    <cfRule type="containsText" dxfId="428" priority="262" operator="containsText" text="In progress">
      <formula>NOT(ISERROR(SEARCH("In progress",Z203)))</formula>
    </cfRule>
    <cfRule type="containsText" dxfId="427" priority="263" operator="containsText" text="Complete">
      <formula>NOT(ISERROR(SEARCH("Complete",Z203)))</formula>
    </cfRule>
    <cfRule type="containsText" dxfId="426" priority="264" operator="containsText" text="Outstanding">
      <formula>NOT(ISERROR(SEARCH("Outstanding",Z203)))</formula>
    </cfRule>
  </conditionalFormatting>
  <conditionalFormatting sqref="Z226:Z228">
    <cfRule type="containsText" dxfId="425" priority="238" operator="containsText" text="In progress">
      <formula>NOT(ISERROR(SEARCH("In progress",Z226)))</formula>
    </cfRule>
    <cfRule type="containsText" dxfId="424" priority="239" operator="containsText" text="Complete">
      <formula>NOT(ISERROR(SEARCH("Complete",Z226)))</formula>
    </cfRule>
    <cfRule type="containsText" dxfId="423" priority="240" operator="containsText" text="Outstanding">
      <formula>NOT(ISERROR(SEARCH("Outstanding",Z226)))</formula>
    </cfRule>
  </conditionalFormatting>
  <conditionalFormatting sqref="Z233:Z235">
    <cfRule type="containsText" dxfId="422" priority="235" operator="containsText" text="In progress">
      <formula>NOT(ISERROR(SEARCH("In progress",Z233)))</formula>
    </cfRule>
    <cfRule type="containsText" dxfId="421" priority="236" operator="containsText" text="Complete">
      <formula>NOT(ISERROR(SEARCH("Complete",Z233)))</formula>
    </cfRule>
    <cfRule type="containsText" dxfId="420" priority="237" operator="containsText" text="Outstanding">
      <formula>NOT(ISERROR(SEARCH("Outstanding",Z233)))</formula>
    </cfRule>
  </conditionalFormatting>
  <conditionalFormatting sqref="Z219:Z221">
    <cfRule type="containsText" dxfId="419" priority="241" operator="containsText" text="In progress">
      <formula>NOT(ISERROR(SEARCH("In progress",Z219)))</formula>
    </cfRule>
    <cfRule type="containsText" dxfId="418" priority="242" operator="containsText" text="Complete">
      <formula>NOT(ISERROR(SEARCH("Complete",Z219)))</formula>
    </cfRule>
    <cfRule type="containsText" dxfId="417" priority="243" operator="containsText" text="Outstanding">
      <formula>NOT(ISERROR(SEARCH("Outstanding",Z219)))</formula>
    </cfRule>
  </conditionalFormatting>
  <conditionalFormatting sqref="Z240:Z242">
    <cfRule type="containsText" dxfId="416" priority="232" operator="containsText" text="In progress">
      <formula>NOT(ISERROR(SEARCH("In progress",Z240)))</formula>
    </cfRule>
    <cfRule type="containsText" dxfId="415" priority="233" operator="containsText" text="Complete">
      <formula>NOT(ISERROR(SEARCH("Complete",Z240)))</formula>
    </cfRule>
    <cfRule type="containsText" dxfId="414" priority="234" operator="containsText" text="Outstanding">
      <formula>NOT(ISERROR(SEARCH("Outstanding",Z240)))</formula>
    </cfRule>
  </conditionalFormatting>
  <conditionalFormatting sqref="Z247:Z249">
    <cfRule type="containsText" dxfId="413" priority="229" operator="containsText" text="In progress">
      <formula>NOT(ISERROR(SEARCH("In progress",Z247)))</formula>
    </cfRule>
    <cfRule type="containsText" dxfId="412" priority="230" operator="containsText" text="Complete">
      <formula>NOT(ISERROR(SEARCH("Complete",Z247)))</formula>
    </cfRule>
    <cfRule type="containsText" dxfId="411" priority="231" operator="containsText" text="Outstanding">
      <formula>NOT(ISERROR(SEARCH("Outstanding",Z247)))</formula>
    </cfRule>
  </conditionalFormatting>
  <conditionalFormatting sqref="Z164:Z168">
    <cfRule type="containsText" dxfId="410" priority="226" operator="containsText" text="In progress">
      <formula>NOT(ISERROR(SEARCH("In progress",Z164)))</formula>
    </cfRule>
    <cfRule type="containsText" dxfId="409" priority="227" operator="containsText" text="Complete">
      <formula>NOT(ISERROR(SEARCH("Complete",Z164)))</formula>
    </cfRule>
    <cfRule type="containsText" dxfId="408" priority="228" operator="containsText" text="Outstanding">
      <formula>NOT(ISERROR(SEARCH("Outstanding",Z164)))</formula>
    </cfRule>
  </conditionalFormatting>
  <conditionalFormatting sqref="Z163">
    <cfRule type="containsText" dxfId="407" priority="223" operator="containsText" text="In progress">
      <formula>NOT(ISERROR(SEARCH("In progress",Z163)))</formula>
    </cfRule>
    <cfRule type="containsText" dxfId="406" priority="224" operator="containsText" text="Complete">
      <formula>NOT(ISERROR(SEARCH("Complete",Z163)))</formula>
    </cfRule>
    <cfRule type="containsText" dxfId="405" priority="225" operator="containsText" text="Outstanding">
      <formula>NOT(ISERROR(SEARCH("Outstanding",Z163)))</formula>
    </cfRule>
  </conditionalFormatting>
  <conditionalFormatting sqref="Z162">
    <cfRule type="containsText" dxfId="404" priority="220" operator="containsText" text="In progress">
      <formula>NOT(ISERROR(SEARCH("In progress",Z162)))</formula>
    </cfRule>
    <cfRule type="containsText" dxfId="403" priority="221" operator="containsText" text="Complete">
      <formula>NOT(ISERROR(SEARCH("Complete",Z162)))</formula>
    </cfRule>
    <cfRule type="containsText" dxfId="402" priority="222" operator="containsText" text="Outstanding">
      <formula>NOT(ISERROR(SEARCH("Outstanding",Z162)))</formula>
    </cfRule>
  </conditionalFormatting>
  <conditionalFormatting sqref="Z261:Z265">
    <cfRule type="containsText" dxfId="401" priority="217" operator="containsText" text="In progress">
      <formula>NOT(ISERROR(SEARCH("In progress",Z261)))</formula>
    </cfRule>
    <cfRule type="containsText" dxfId="400" priority="218" operator="containsText" text="Complete">
      <formula>NOT(ISERROR(SEARCH("Complete",Z261)))</formula>
    </cfRule>
    <cfRule type="containsText" dxfId="399" priority="219" operator="containsText" text="Outstanding">
      <formula>NOT(ISERROR(SEARCH("Outstanding",Z261)))</formula>
    </cfRule>
  </conditionalFormatting>
  <conditionalFormatting sqref="Z260">
    <cfRule type="containsText" dxfId="398" priority="214" operator="containsText" text="In progress">
      <formula>NOT(ISERROR(SEARCH("In progress",Z260)))</formula>
    </cfRule>
    <cfRule type="containsText" dxfId="397" priority="215" operator="containsText" text="Complete">
      <formula>NOT(ISERROR(SEARCH("Complete",Z260)))</formula>
    </cfRule>
    <cfRule type="containsText" dxfId="396" priority="216" operator="containsText" text="Outstanding">
      <formula>NOT(ISERROR(SEARCH("Outstanding",Z260)))</formula>
    </cfRule>
  </conditionalFormatting>
  <conditionalFormatting sqref="Z259">
    <cfRule type="containsText" dxfId="395" priority="211" operator="containsText" text="In progress">
      <formula>NOT(ISERROR(SEARCH("In progress",Z259)))</formula>
    </cfRule>
    <cfRule type="containsText" dxfId="394" priority="212" operator="containsText" text="Complete">
      <formula>NOT(ISERROR(SEARCH("Complete",Z259)))</formula>
    </cfRule>
    <cfRule type="containsText" dxfId="393" priority="213" operator="containsText" text="Outstanding">
      <formula>NOT(ISERROR(SEARCH("Outstanding",Z259)))</formula>
    </cfRule>
  </conditionalFormatting>
  <conditionalFormatting sqref="Z270:Z274">
    <cfRule type="containsText" dxfId="392" priority="208" operator="containsText" text="In progress">
      <formula>NOT(ISERROR(SEARCH("In progress",Z270)))</formula>
    </cfRule>
    <cfRule type="containsText" dxfId="391" priority="209" operator="containsText" text="Complete">
      <formula>NOT(ISERROR(SEARCH("Complete",Z270)))</formula>
    </cfRule>
    <cfRule type="containsText" dxfId="390" priority="210" operator="containsText" text="Outstanding">
      <formula>NOT(ISERROR(SEARCH("Outstanding",Z270)))</formula>
    </cfRule>
  </conditionalFormatting>
  <conditionalFormatting sqref="Z269">
    <cfRule type="containsText" dxfId="389" priority="205" operator="containsText" text="In progress">
      <formula>NOT(ISERROR(SEARCH("In progress",Z269)))</formula>
    </cfRule>
    <cfRule type="containsText" dxfId="388" priority="206" operator="containsText" text="Complete">
      <formula>NOT(ISERROR(SEARCH("Complete",Z269)))</formula>
    </cfRule>
    <cfRule type="containsText" dxfId="387" priority="207" operator="containsText" text="Outstanding">
      <formula>NOT(ISERROR(SEARCH("Outstanding",Z269)))</formula>
    </cfRule>
  </conditionalFormatting>
  <conditionalFormatting sqref="AH268">
    <cfRule type="containsText" dxfId="386" priority="4" operator="containsText" text="In progress">
      <formula>NOT(ISERROR(SEARCH("In progress",AH268)))</formula>
    </cfRule>
    <cfRule type="containsText" dxfId="385" priority="5" operator="containsText" text="Complete">
      <formula>NOT(ISERROR(SEARCH("Complete",AH268)))</formula>
    </cfRule>
    <cfRule type="containsText" dxfId="384" priority="6" operator="containsText" text="Outstanding">
      <formula>NOT(ISERROR(SEARCH("Outstanding",AH268)))</formula>
    </cfRule>
  </conditionalFormatting>
  <conditionalFormatting sqref="AH277">
    <cfRule type="containsText" dxfId="383" priority="1" operator="containsText" text="In progress">
      <formula>NOT(ISERROR(SEARCH("In progress",AH277)))</formula>
    </cfRule>
    <cfRule type="containsText" dxfId="382" priority="2" operator="containsText" text="Complete">
      <formula>NOT(ISERROR(SEARCH("Complete",AH277)))</formula>
    </cfRule>
    <cfRule type="containsText" dxfId="381" priority="3" operator="containsText" text="Outstanding">
      <formula>NOT(ISERROR(SEARCH("Outstanding",AH277)))</formula>
    </cfRule>
  </conditionalFormatting>
  <conditionalFormatting sqref="AE124">
    <cfRule type="containsText" dxfId="380" priority="109" operator="containsText" text="In progress">
      <formula>NOT(ISERROR(SEARCH("In progress",AE124)))</formula>
    </cfRule>
    <cfRule type="containsText" dxfId="379" priority="110" operator="containsText" text="Complete">
      <formula>NOT(ISERROR(SEARCH("Complete",AE124)))</formula>
    </cfRule>
    <cfRule type="containsText" dxfId="378" priority="111" operator="containsText" text="Outstanding">
      <formula>NOT(ISERROR(SEARCH("Outstanding",AE124)))</formula>
    </cfRule>
  </conditionalFormatting>
  <conditionalFormatting sqref="AE129:AE131">
    <cfRule type="containsText" dxfId="377" priority="106" operator="containsText" text="In progress">
      <formula>NOT(ISERROR(SEARCH("In progress",AE129)))</formula>
    </cfRule>
    <cfRule type="containsText" dxfId="376" priority="107" operator="containsText" text="Complete">
      <formula>NOT(ISERROR(SEARCH("Complete",AE129)))</formula>
    </cfRule>
    <cfRule type="containsText" dxfId="375" priority="108" operator="containsText" text="Outstanding">
      <formula>NOT(ISERROR(SEARCH("Outstanding",AE129)))</formula>
    </cfRule>
  </conditionalFormatting>
  <conditionalFormatting sqref="AH136:AH138">
    <cfRule type="containsText" dxfId="374" priority="103" operator="containsText" text="In progress">
      <formula>NOT(ISERROR(SEARCH("In progress",AH136)))</formula>
    </cfRule>
    <cfRule type="containsText" dxfId="373" priority="104" operator="containsText" text="Complete">
      <formula>NOT(ISERROR(SEARCH("Complete",AH136)))</formula>
    </cfRule>
    <cfRule type="containsText" dxfId="372" priority="105" operator="containsText" text="Outstanding">
      <formula>NOT(ISERROR(SEARCH("Outstanding",AH136)))</formula>
    </cfRule>
  </conditionalFormatting>
  <conditionalFormatting sqref="AH143:AH145">
    <cfRule type="containsText" dxfId="371" priority="100" operator="containsText" text="In progress">
      <formula>NOT(ISERROR(SEARCH("In progress",AH143)))</formula>
    </cfRule>
    <cfRule type="containsText" dxfId="370" priority="101" operator="containsText" text="Complete">
      <formula>NOT(ISERROR(SEARCH("Complete",AH143)))</formula>
    </cfRule>
    <cfRule type="containsText" dxfId="369" priority="102" operator="containsText" text="Outstanding">
      <formula>NOT(ISERROR(SEARCH("Outstanding",AH143)))</formula>
    </cfRule>
  </conditionalFormatting>
  <conditionalFormatting sqref="AH150:AH152">
    <cfRule type="containsText" dxfId="368" priority="97" operator="containsText" text="In progress">
      <formula>NOT(ISERROR(SEARCH("In progress",AH150)))</formula>
    </cfRule>
    <cfRule type="containsText" dxfId="367" priority="98" operator="containsText" text="Complete">
      <formula>NOT(ISERROR(SEARCH("Complete",AH150)))</formula>
    </cfRule>
    <cfRule type="containsText" dxfId="366" priority="99" operator="containsText" text="Outstanding">
      <formula>NOT(ISERROR(SEARCH("Outstanding",AH150)))</formula>
    </cfRule>
  </conditionalFormatting>
  <conditionalFormatting sqref="AH171">
    <cfRule type="containsText" dxfId="365" priority="148" operator="containsText" text="In progress">
      <formula>NOT(ISERROR(SEARCH("In progress",AH171)))</formula>
    </cfRule>
    <cfRule type="containsText" dxfId="364" priority="149" operator="containsText" text="Complete">
      <formula>NOT(ISERROR(SEARCH("Complete",AH171)))</formula>
    </cfRule>
    <cfRule type="containsText" dxfId="363" priority="150" operator="containsText" text="Outstanding">
      <formula>NOT(ISERROR(SEARCH("Outstanding",AH171)))</formula>
    </cfRule>
  </conditionalFormatting>
  <conditionalFormatting sqref="AH215">
    <cfRule type="containsText" dxfId="362" priority="145" operator="containsText" text="In progress">
      <formula>NOT(ISERROR(SEARCH("In progress",AH215)))</formula>
    </cfRule>
    <cfRule type="containsText" dxfId="361" priority="146" operator="containsText" text="Complete">
      <formula>NOT(ISERROR(SEARCH("Complete",AH215)))</formula>
    </cfRule>
    <cfRule type="containsText" dxfId="360" priority="147" operator="containsText" text="Outstanding">
      <formula>NOT(ISERROR(SEARCH("Outstanding",AH215)))</formula>
    </cfRule>
  </conditionalFormatting>
  <conditionalFormatting sqref="AH182:AH184">
    <cfRule type="containsText" dxfId="359" priority="73" operator="containsText" text="In progress">
      <formula>NOT(ISERROR(SEARCH("In progress",AH182)))</formula>
    </cfRule>
    <cfRule type="containsText" dxfId="358" priority="74" operator="containsText" text="Complete">
      <formula>NOT(ISERROR(SEARCH("Complete",AH182)))</formula>
    </cfRule>
    <cfRule type="containsText" dxfId="357" priority="75" operator="containsText" text="Outstanding">
      <formula>NOT(ISERROR(SEARCH("Outstanding",AH182)))</formula>
    </cfRule>
  </conditionalFormatting>
  <conditionalFormatting sqref="AH189:AH191">
    <cfRule type="containsText" dxfId="356" priority="70" operator="containsText" text="In progress">
      <formula>NOT(ISERROR(SEARCH("In progress",AH189)))</formula>
    </cfRule>
    <cfRule type="containsText" dxfId="355" priority="71" operator="containsText" text="Complete">
      <formula>NOT(ISERROR(SEARCH("Complete",AH189)))</formula>
    </cfRule>
    <cfRule type="containsText" dxfId="354" priority="72" operator="containsText" text="Outstanding">
      <formula>NOT(ISERROR(SEARCH("Outstanding",AH189)))</formula>
    </cfRule>
  </conditionalFormatting>
  <conditionalFormatting sqref="AH175:AH177">
    <cfRule type="containsText" dxfId="353" priority="76" operator="containsText" text="In progress">
      <formula>NOT(ISERROR(SEARCH("In progress",AH175)))</formula>
    </cfRule>
    <cfRule type="containsText" dxfId="352" priority="77" operator="containsText" text="Complete">
      <formula>NOT(ISERROR(SEARCH("Complete",AH175)))</formula>
    </cfRule>
    <cfRule type="containsText" dxfId="351" priority="78" operator="containsText" text="Outstanding">
      <formula>NOT(ISERROR(SEARCH("Outstanding",AH175)))</formula>
    </cfRule>
  </conditionalFormatting>
  <conditionalFormatting sqref="AH196:AH198">
    <cfRule type="containsText" dxfId="350" priority="67" operator="containsText" text="In progress">
      <formula>NOT(ISERROR(SEARCH("In progress",AH196)))</formula>
    </cfRule>
    <cfRule type="containsText" dxfId="349" priority="68" operator="containsText" text="Complete">
      <formula>NOT(ISERROR(SEARCH("Complete",AH196)))</formula>
    </cfRule>
    <cfRule type="containsText" dxfId="348" priority="69" operator="containsText" text="Outstanding">
      <formula>NOT(ISERROR(SEARCH("Outstanding",AH196)))</formula>
    </cfRule>
  </conditionalFormatting>
  <conditionalFormatting sqref="AH203:AH205">
    <cfRule type="containsText" dxfId="347" priority="64" operator="containsText" text="In progress">
      <formula>NOT(ISERROR(SEARCH("In progress",AH203)))</formula>
    </cfRule>
    <cfRule type="containsText" dxfId="346" priority="65" operator="containsText" text="Complete">
      <formula>NOT(ISERROR(SEARCH("Complete",AH203)))</formula>
    </cfRule>
    <cfRule type="containsText" dxfId="345" priority="66" operator="containsText" text="Outstanding">
      <formula>NOT(ISERROR(SEARCH("Outstanding",AH203)))</formula>
    </cfRule>
  </conditionalFormatting>
  <conditionalFormatting sqref="AH226:AH228">
    <cfRule type="containsText" dxfId="344" priority="40" operator="containsText" text="In progress">
      <formula>NOT(ISERROR(SEARCH("In progress",AH226)))</formula>
    </cfRule>
    <cfRule type="containsText" dxfId="343" priority="41" operator="containsText" text="Complete">
      <formula>NOT(ISERROR(SEARCH("Complete",AH226)))</formula>
    </cfRule>
    <cfRule type="containsText" dxfId="342" priority="42" operator="containsText" text="Outstanding">
      <formula>NOT(ISERROR(SEARCH("Outstanding",AH226)))</formula>
    </cfRule>
  </conditionalFormatting>
  <conditionalFormatting sqref="AH233:AH235">
    <cfRule type="containsText" dxfId="341" priority="37" operator="containsText" text="In progress">
      <formula>NOT(ISERROR(SEARCH("In progress",AH233)))</formula>
    </cfRule>
    <cfRule type="containsText" dxfId="340" priority="38" operator="containsText" text="Complete">
      <formula>NOT(ISERROR(SEARCH("Complete",AH233)))</formula>
    </cfRule>
    <cfRule type="containsText" dxfId="339" priority="39" operator="containsText" text="Outstanding">
      <formula>NOT(ISERROR(SEARCH("Outstanding",AH233)))</formula>
    </cfRule>
  </conditionalFormatting>
  <conditionalFormatting sqref="AH219:AH221">
    <cfRule type="containsText" dxfId="338" priority="43" operator="containsText" text="In progress">
      <formula>NOT(ISERROR(SEARCH("In progress",AH219)))</formula>
    </cfRule>
    <cfRule type="containsText" dxfId="337" priority="44" operator="containsText" text="Complete">
      <formula>NOT(ISERROR(SEARCH("Complete",AH219)))</formula>
    </cfRule>
    <cfRule type="containsText" dxfId="336" priority="45" operator="containsText" text="Outstanding">
      <formula>NOT(ISERROR(SEARCH("Outstanding",AH219)))</formula>
    </cfRule>
  </conditionalFormatting>
  <conditionalFormatting sqref="AH240:AH242">
    <cfRule type="containsText" dxfId="335" priority="34" operator="containsText" text="In progress">
      <formula>NOT(ISERROR(SEARCH("In progress",AH240)))</formula>
    </cfRule>
    <cfRule type="containsText" dxfId="334" priority="35" operator="containsText" text="Complete">
      <formula>NOT(ISERROR(SEARCH("Complete",AH240)))</formula>
    </cfRule>
    <cfRule type="containsText" dxfId="333" priority="36" operator="containsText" text="Outstanding">
      <formula>NOT(ISERROR(SEARCH("Outstanding",AH240)))</formula>
    </cfRule>
  </conditionalFormatting>
  <conditionalFormatting sqref="AH247:AH249">
    <cfRule type="containsText" dxfId="332" priority="31" operator="containsText" text="In progress">
      <formula>NOT(ISERROR(SEARCH("In progress",AH247)))</formula>
    </cfRule>
    <cfRule type="containsText" dxfId="331" priority="32" operator="containsText" text="Complete">
      <formula>NOT(ISERROR(SEARCH("Complete",AH247)))</formula>
    </cfRule>
    <cfRule type="containsText" dxfId="330" priority="33" operator="containsText" text="Outstanding">
      <formula>NOT(ISERROR(SEARCH("Outstanding",AH247)))</formula>
    </cfRule>
  </conditionalFormatting>
  <conditionalFormatting sqref="AH164:AH168">
    <cfRule type="containsText" dxfId="329" priority="28" operator="containsText" text="In progress">
      <formula>NOT(ISERROR(SEARCH("In progress",AH164)))</formula>
    </cfRule>
    <cfRule type="containsText" dxfId="328" priority="29" operator="containsText" text="Complete">
      <formula>NOT(ISERROR(SEARCH("Complete",AH164)))</formula>
    </cfRule>
    <cfRule type="containsText" dxfId="327" priority="30" operator="containsText" text="Outstanding">
      <formula>NOT(ISERROR(SEARCH("Outstanding",AH164)))</formula>
    </cfRule>
  </conditionalFormatting>
  <conditionalFormatting sqref="AH163">
    <cfRule type="containsText" dxfId="326" priority="25" operator="containsText" text="In progress">
      <formula>NOT(ISERROR(SEARCH("In progress",AH163)))</formula>
    </cfRule>
    <cfRule type="containsText" dxfId="325" priority="26" operator="containsText" text="Complete">
      <formula>NOT(ISERROR(SEARCH("Complete",AH163)))</formula>
    </cfRule>
    <cfRule type="containsText" dxfId="324" priority="27" operator="containsText" text="Outstanding">
      <formula>NOT(ISERROR(SEARCH("Outstanding",AH163)))</formula>
    </cfRule>
  </conditionalFormatting>
  <conditionalFormatting sqref="AH162">
    <cfRule type="containsText" dxfId="323" priority="22" operator="containsText" text="In progress">
      <formula>NOT(ISERROR(SEARCH("In progress",AH162)))</formula>
    </cfRule>
    <cfRule type="containsText" dxfId="322" priority="23" operator="containsText" text="Complete">
      <formula>NOT(ISERROR(SEARCH("Complete",AH162)))</formula>
    </cfRule>
    <cfRule type="containsText" dxfId="321" priority="24" operator="containsText" text="Outstanding">
      <formula>NOT(ISERROR(SEARCH("Outstanding",AH162)))</formula>
    </cfRule>
  </conditionalFormatting>
  <conditionalFormatting sqref="AH261:AH265">
    <cfRule type="containsText" dxfId="320" priority="19" operator="containsText" text="In progress">
      <formula>NOT(ISERROR(SEARCH("In progress",AH261)))</formula>
    </cfRule>
    <cfRule type="containsText" dxfId="319" priority="20" operator="containsText" text="Complete">
      <formula>NOT(ISERROR(SEARCH("Complete",AH261)))</formula>
    </cfRule>
    <cfRule type="containsText" dxfId="318" priority="21" operator="containsText" text="Outstanding">
      <formula>NOT(ISERROR(SEARCH("Outstanding",AH261)))</formula>
    </cfRule>
  </conditionalFormatting>
  <conditionalFormatting sqref="AH260">
    <cfRule type="containsText" dxfId="317" priority="16" operator="containsText" text="In progress">
      <formula>NOT(ISERROR(SEARCH("In progress",AH260)))</formula>
    </cfRule>
    <cfRule type="containsText" dxfId="316" priority="17" operator="containsText" text="Complete">
      <formula>NOT(ISERROR(SEARCH("Complete",AH260)))</formula>
    </cfRule>
    <cfRule type="containsText" dxfId="315" priority="18" operator="containsText" text="Outstanding">
      <formula>NOT(ISERROR(SEARCH("Outstanding",AH260)))</formula>
    </cfRule>
  </conditionalFormatting>
  <conditionalFormatting sqref="AH259">
    <cfRule type="containsText" dxfId="314" priority="13" operator="containsText" text="In progress">
      <formula>NOT(ISERROR(SEARCH("In progress",AH259)))</formula>
    </cfRule>
    <cfRule type="containsText" dxfId="313" priority="14" operator="containsText" text="Complete">
      <formula>NOT(ISERROR(SEARCH("Complete",AH259)))</formula>
    </cfRule>
    <cfRule type="containsText" dxfId="312" priority="15" operator="containsText" text="Outstanding">
      <formula>NOT(ISERROR(SEARCH("Outstanding",AH259)))</formula>
    </cfRule>
  </conditionalFormatting>
  <conditionalFormatting sqref="AH270:AH274">
    <cfRule type="containsText" dxfId="311" priority="10" operator="containsText" text="In progress">
      <formula>NOT(ISERROR(SEARCH("In progress",AH270)))</formula>
    </cfRule>
    <cfRule type="containsText" dxfId="310" priority="11" operator="containsText" text="Complete">
      <formula>NOT(ISERROR(SEARCH("Complete",AH270)))</formula>
    </cfRule>
    <cfRule type="containsText" dxfId="309" priority="12" operator="containsText" text="Outstanding">
      <formula>NOT(ISERROR(SEARCH("Outstanding",AH270)))</formula>
    </cfRule>
  </conditionalFormatting>
  <conditionalFormatting sqref="AH269">
    <cfRule type="containsText" dxfId="308" priority="7" operator="containsText" text="In progress">
      <formula>NOT(ISERROR(SEARCH("In progress",AH269)))</formula>
    </cfRule>
    <cfRule type="containsText" dxfId="307" priority="8" operator="containsText" text="Complete">
      <formula>NOT(ISERROR(SEARCH("Complete",AH269)))</formula>
    </cfRule>
    <cfRule type="containsText" dxfId="306" priority="9" operator="containsText" text="Outstanding">
      <formula>NOT(ISERROR(SEARCH("Outstanding",AH269)))</formula>
    </cfRule>
  </conditionalFormatting>
  <pageMargins left="0.7" right="0.7" top="0.75" bottom="0.75" header="0.3" footer="0.3"/>
  <pageSetup paperSize="256" orientation="portrait" horizontalDpi="1200" verticalDpi="1200" r:id="rId1"/>
  <ignoredErrors>
    <ignoredError sqref="V26 P40 V48" formulaRange="1"/>
    <ignoredError sqref="R33:T33 T41 R50:T50" formula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53" operator="containsText" text="In progress" id="{F6730493-D75F-4270-91EC-FE4B4005ECB0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54" operator="containsText" text="Complete" id="{F7B3A8AD-AC4C-424A-9365-54E82F8AFE73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55" operator="containsText" text="Outstanding" id="{B7A71082-C6A7-4AB3-8CF7-83940E60BEF4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M153:M156</xm:sqref>
        </x14:conditionalFormatting>
        <x14:conditionalFormatting xmlns:xm="http://schemas.microsoft.com/office/excel/2006/main">
          <x14:cfRule type="containsText" priority="550" operator="containsText" text="In progress" id="{93D4546D-298F-4BB1-B02E-B053481E72A8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51" operator="containsText" text="Complete" id="{5D1A42CF-4AD1-46F3-A141-E82FC9C2537C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52" operator="containsText" text="Outstanding" id="{A38AF08B-5215-4A59-B4FA-E7B6A6E184A7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M160:M161 Z58:Z60 Z119:Z120 Z99:Z101 Z134:Z135 W132:W133 AH134:AH135 AE132:AE133</xm:sqref>
        </x14:conditionalFormatting>
        <x14:conditionalFormatting xmlns:xm="http://schemas.microsoft.com/office/excel/2006/main">
          <x14:cfRule type="containsText" priority="373" operator="containsText" text="In progress" id="{78AB438D-81EA-4A02-B53E-125AA002C44F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74" operator="containsText" text="Complete" id="{FEF723DE-743D-4095-963A-CA26562649D4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75" operator="containsText" text="Outstanding" id="{5AE160CA-DB12-4FB4-9383-C95247A2519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W125:W128</xm:sqref>
        </x14:conditionalFormatting>
        <x14:conditionalFormatting xmlns:xm="http://schemas.microsoft.com/office/excel/2006/main">
          <x14:cfRule type="containsText" priority="385" operator="containsText" text="In progress" id="{C17EBDED-CA6A-423C-A008-006D83080F00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86" operator="containsText" text="Complete" id="{ABE5A6A5-FBA6-4BEA-9BB8-BCBE669A93CB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87" operator="containsText" text="Outstanding" id="{85ABD6A8-E0EC-4633-AB93-777850925183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Z92:Z95</xm:sqref>
        </x14:conditionalFormatting>
        <x14:conditionalFormatting xmlns:xm="http://schemas.microsoft.com/office/excel/2006/main">
          <x14:cfRule type="containsText" priority="388" operator="containsText" text="In progress" id="{C9C9C9A7-312F-4414-BCB3-27F0ACE10819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89" operator="containsText" text="Complete" id="{5EFC9625-F2E7-47BC-83E8-6D50780E3883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90" operator="containsText" text="Outstanding" id="{3417A542-E0B3-4176-8F3C-5DACA3A3E393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Z87:Z90</xm:sqref>
        </x14:conditionalFormatting>
        <x14:conditionalFormatting xmlns:xm="http://schemas.microsoft.com/office/excel/2006/main">
          <x14:cfRule type="containsText" priority="589" operator="containsText" text="In progress" id="{174987BD-9CF0-48B9-A545-4E46BD829EBD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0" operator="containsText" text="Complete" id="{1211BB1D-4DF1-4887-936A-868CECD586B6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91" operator="containsText" text="Outstanding" id="{24C03369-569D-4D1F-AF68-84BA7659CA0A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M146:M149</xm:sqref>
        </x14:conditionalFormatting>
        <x14:conditionalFormatting xmlns:xm="http://schemas.microsoft.com/office/excel/2006/main">
          <x14:cfRule type="containsText" priority="592" operator="containsText" text="In progress" id="{6650EEED-C3DE-4A3E-9675-E6BE7F400087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3" operator="containsText" text="Complete" id="{7CCD6B17-257A-4072-8A46-5FCF93DE6F8A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94" operator="containsText" text="Outstanding" id="{AAB91084-9C29-4BD0-932B-CA5AEA4EDEF1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M139:M142</xm:sqref>
        </x14:conditionalFormatting>
        <x14:conditionalFormatting xmlns:xm="http://schemas.microsoft.com/office/excel/2006/main">
          <x14:cfRule type="containsText" priority="595" operator="containsText" text="In progress" id="{D3A91F3D-3F65-44C4-A518-4BB6955F2CF4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6" operator="containsText" text="Complete" id="{79F35140-CB6D-4C2A-9C0E-54437A309656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97" operator="containsText" text="Outstanding" id="{9A926360-C4BC-4872-8A0C-FAC1A8BEE80B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M134:M135</xm:sqref>
        </x14:conditionalFormatting>
        <x14:conditionalFormatting xmlns:xm="http://schemas.microsoft.com/office/excel/2006/main">
          <x14:cfRule type="containsText" priority="487" operator="containsText" text="In progress" id="{E6527E58-958F-47AB-8DA9-EF2380FC2B1E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88" operator="containsText" text="Complete" id="{34F4B491-AF2E-41DF-9200-EB62A7964BC5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89" operator="containsText" text="Outstanding" id="{A030F286-54D1-44E2-866C-BACB38611EC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M172:M174</xm:sqref>
        </x14:conditionalFormatting>
        <x14:conditionalFormatting xmlns:xm="http://schemas.microsoft.com/office/excel/2006/main">
          <x14:cfRule type="containsText" priority="490" operator="containsText" text="In progress" id="{53D36727-3033-4D75-B13F-2E105220E5B3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91" operator="containsText" text="Complete" id="{91C26897-E1A2-4A5A-8D8D-CB6FBA0BD4CE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92" operator="containsText" text="Outstanding" id="{4EB2A1B6-7F2B-47CB-B594-7E2ECBE4C32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M178:M181</xm:sqref>
        </x14:conditionalFormatting>
        <x14:conditionalFormatting xmlns:xm="http://schemas.microsoft.com/office/excel/2006/main">
          <x14:cfRule type="containsText" priority="493" operator="containsText" text="In progress" id="{8272341E-CAC8-4C4C-9682-205DCDBF55D6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94" operator="containsText" text="Complete" id="{7350C2CF-B901-4294-9943-4238F317E44E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95" operator="containsText" text="Outstanding" id="{8D318861-0424-4679-8A6D-2FCA2B9D0C39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M185:M188</xm:sqref>
        </x14:conditionalFormatting>
        <x14:conditionalFormatting xmlns:xm="http://schemas.microsoft.com/office/excel/2006/main">
          <x14:cfRule type="containsText" priority="496" operator="containsText" text="In progress" id="{96F2498D-C567-4F6A-8715-207BC0B8CFE5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97" operator="containsText" text="Complete" id="{494CBCB8-AF93-4B04-AE07-6A1AF6E62350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98" operator="containsText" text="Outstanding" id="{ED414B3E-CECA-4EC7-A2B7-ADA96355032E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M192:M195</xm:sqref>
        </x14:conditionalFormatting>
        <x14:conditionalFormatting xmlns:xm="http://schemas.microsoft.com/office/excel/2006/main">
          <x14:cfRule type="containsText" priority="499" operator="containsText" text="In progress" id="{AD6863C8-E831-4760-AE4D-329EDEC5BDCD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00" operator="containsText" text="Complete" id="{A114B7D6-C7CD-4E33-834B-2AD20D41D574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01" operator="containsText" text="Outstanding" id="{A3A584C2-A18E-4C97-9EAC-A40A1C634B72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M199:M202</xm:sqref>
        </x14:conditionalFormatting>
        <x14:conditionalFormatting xmlns:xm="http://schemas.microsoft.com/office/excel/2006/main">
          <x14:cfRule type="containsText" priority="502" operator="containsText" text="In progress" id="{97A4BCA5-2710-4CCF-9BB5-E742075ABF6A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03" operator="containsText" text="Complete" id="{A8B5C200-5391-41BA-BB02-EB83DEA6EBD2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04" operator="containsText" text="Outstanding" id="{EFB04E17-7FE4-4D1A-B6CB-90900A8B41E6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M206:M209</xm:sqref>
        </x14:conditionalFormatting>
        <x14:conditionalFormatting xmlns:xm="http://schemas.microsoft.com/office/excel/2006/main">
          <x14:cfRule type="containsText" priority="454" operator="containsText" text="In progress" id="{469DFFD4-B531-4A39-94E3-8A7493205B64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55" operator="containsText" text="Complete" id="{EDAEFD59-DF48-4EA7-98C9-1C419F9DD1B5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56" operator="containsText" text="Outstanding" id="{2A2575BE-9A2A-4B74-82E0-CAD69F3ECD63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M216:M218</xm:sqref>
        </x14:conditionalFormatting>
        <x14:conditionalFormatting xmlns:xm="http://schemas.microsoft.com/office/excel/2006/main">
          <x14:cfRule type="containsText" priority="457" operator="containsText" text="In progress" id="{9305252C-72B1-41DE-9141-92BC41B98775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58" operator="containsText" text="Complete" id="{2E53A7CB-44DB-4B9F-84EC-1B951259AC6D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59" operator="containsText" text="Outstanding" id="{9141C885-4C61-439D-B410-4CAEE7E5D0F5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M222:M225</xm:sqref>
        </x14:conditionalFormatting>
        <x14:conditionalFormatting xmlns:xm="http://schemas.microsoft.com/office/excel/2006/main">
          <x14:cfRule type="containsText" priority="460" operator="containsText" text="In progress" id="{6EA193D4-C5D5-4E66-8DA0-CC7C283C9872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61" operator="containsText" text="Complete" id="{8139A948-6E0E-48E8-95A4-A2C3EE0EB516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62" operator="containsText" text="Outstanding" id="{5404E7AC-59EC-4A42-BDA6-6CAB31E96B87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M229:M232</xm:sqref>
        </x14:conditionalFormatting>
        <x14:conditionalFormatting xmlns:xm="http://schemas.microsoft.com/office/excel/2006/main">
          <x14:cfRule type="containsText" priority="463" operator="containsText" text="In progress" id="{0AA2A3D6-4196-47D4-A8E2-AC2A2A3CAFBB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64" operator="containsText" text="Complete" id="{F237BB3F-4594-47CA-97C1-AA55A5129EFA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65" operator="containsText" text="Outstanding" id="{5EF1EEF2-8FF8-4448-BBDA-C2BA85AC8857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M236:M239</xm:sqref>
        </x14:conditionalFormatting>
        <x14:conditionalFormatting xmlns:xm="http://schemas.microsoft.com/office/excel/2006/main">
          <x14:cfRule type="containsText" priority="466" operator="containsText" text="In progress" id="{49F81459-EE7F-4AD7-90DA-1B121FAAF90B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67" operator="containsText" text="Complete" id="{8CF32865-2231-4383-A320-F57C6B9DA942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68" operator="containsText" text="Outstanding" id="{AF106A79-4DA6-42B7-BFAD-49665242F1F2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M243:M246</xm:sqref>
        </x14:conditionalFormatting>
        <x14:conditionalFormatting xmlns:xm="http://schemas.microsoft.com/office/excel/2006/main">
          <x14:cfRule type="containsText" priority="469" operator="containsText" text="In progress" id="{C7DDB7E1-EC27-4646-8755-3F64A2350AE9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0" operator="containsText" text="Complete" id="{D9A6E19B-728B-4FB1-8CD9-666914D386F7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71" operator="containsText" text="Outstanding" id="{58DB9D80-E152-49B4-A33E-E5E416784035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M250:M253</xm:sqref>
        </x14:conditionalFormatting>
        <x14:conditionalFormatting xmlns:xm="http://schemas.microsoft.com/office/excel/2006/main">
          <x14:cfRule type="containsText" priority="340" operator="containsText" text="In progress" id="{CB26C2F2-64AC-4C44-B8C2-615F9C07CB5F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41" operator="containsText" text="Complete" id="{5BC0F6AA-031D-474C-BC99-6CD8D3F8B057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42" operator="containsText" text="Outstanding" id="{708B2295-88DA-4135-9E1C-3ABC4B74733B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Z153:Z156</xm:sqref>
        </x14:conditionalFormatting>
        <x14:conditionalFormatting xmlns:xm="http://schemas.microsoft.com/office/excel/2006/main">
          <x14:cfRule type="containsText" priority="337" operator="containsText" text="In progress" id="{2E9DC665-43E1-480B-8CB7-9A74F28B5151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38" operator="containsText" text="Complete" id="{97753D69-1CC4-4CD8-9A95-A9D8CA08D7A9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39" operator="containsText" text="Outstanding" id="{D5E14337-6F92-4309-BE71-9E5667821D8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Z160:Z161</xm:sqref>
        </x14:conditionalFormatting>
        <x14:conditionalFormatting xmlns:xm="http://schemas.microsoft.com/office/excel/2006/main">
          <x14:cfRule type="containsText" priority="349" operator="containsText" text="In progress" id="{1C6DA00C-DB75-4920-8636-30765A1F277C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50" operator="containsText" text="Complete" id="{ABB16F3C-BD63-4300-98AF-567C750F27A1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51" operator="containsText" text="Outstanding" id="{4FFAF236-08E8-4F0B-A640-B8AEADB27524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Z38:Z39</xm:sqref>
        </x14:conditionalFormatting>
        <x14:conditionalFormatting xmlns:xm="http://schemas.microsoft.com/office/excel/2006/main">
          <x14:cfRule type="containsText" priority="352" operator="containsText" text="In progress" id="{C3C5789C-CFBD-4C22-9FC7-BF51027EBC80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53" operator="containsText" text="Complete" id="{963F3407-B313-45BD-8756-AA24978DB326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54" operator="containsText" text="Outstanding" id="{EB37F11F-6B70-4B41-A3C7-9A148021D5B8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Z43:Z46</xm:sqref>
        </x14:conditionalFormatting>
        <x14:conditionalFormatting xmlns:xm="http://schemas.microsoft.com/office/excel/2006/main">
          <x14:cfRule type="containsText" priority="355" operator="containsText" text="In progress" id="{7EA43D28-0B10-490D-998F-1BB661B48B39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56" operator="containsText" text="Complete" id="{D88626B6-ECC3-4313-997A-B95264B04F33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57" operator="containsText" text="Outstanding" id="{64450746-92B8-499B-807F-C23BD0F9D703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Z50:Z53</xm:sqref>
        </x14:conditionalFormatting>
        <x14:conditionalFormatting xmlns:xm="http://schemas.microsoft.com/office/excel/2006/main">
          <x14:cfRule type="containsText" priority="361" operator="containsText" text="In progress" id="{C6D1CBED-2C1F-4F74-B37F-E81252F1B1C6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62" operator="containsText" text="Complete" id="{8B9C4640-5D35-468F-9DD4-0E0186E27BE7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63" operator="containsText" text="Outstanding" id="{A965E9EF-25AA-4F39-8F21-BF3E71C52CF0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Z64:Z67</xm:sqref>
        </x14:conditionalFormatting>
        <x14:conditionalFormatting xmlns:xm="http://schemas.microsoft.com/office/excel/2006/main">
          <x14:cfRule type="containsText" priority="364" operator="containsText" text="In progress" id="{987ED1A6-A7D4-4676-A1B7-35DBA9DC3B25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65" operator="containsText" text="Complete" id="{6B087AA3-B3F3-456D-81E0-3CA10A170348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66" operator="containsText" text="Outstanding" id="{31179280-C8FE-454C-88F3-B509C1733BE6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Z146:Z149</xm:sqref>
        </x14:conditionalFormatting>
        <x14:conditionalFormatting xmlns:xm="http://schemas.microsoft.com/office/excel/2006/main">
          <x14:cfRule type="containsText" priority="367" operator="containsText" text="In progress" id="{45CF62C9-753C-4931-820A-1BEBA1962422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68" operator="containsText" text="Complete" id="{A35BEBBB-2E12-4D96-8957-5656CB0F00B3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69" operator="containsText" text="Outstanding" id="{2A7CA92C-0A62-468D-B5F1-FD1556B00105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Z139:Z142</xm:sqref>
        </x14:conditionalFormatting>
        <x14:conditionalFormatting xmlns:xm="http://schemas.microsoft.com/office/excel/2006/main">
          <x14:cfRule type="containsText" priority="175" operator="containsText" text="In progress" id="{2BA582D2-14F5-4899-A6D0-246CFE30A7EF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76" operator="containsText" text="Complete" id="{927B6E25-35EC-4FCC-983F-394786C12A91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77" operator="containsText" text="Outstanding" id="{57188E80-C7B0-4F5F-ADBB-30FD22BAB425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AE125:AE128</xm:sqref>
        </x14:conditionalFormatting>
        <x14:conditionalFormatting xmlns:xm="http://schemas.microsoft.com/office/excel/2006/main">
          <x14:cfRule type="containsText" priority="391" operator="containsText" text="In progress" id="{B3923558-BFDD-4E5C-92F7-7872E1D296E2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92" operator="containsText" text="Complete" id="{9B48D718-8F4C-4C7B-9204-C194840B7706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93" operator="containsText" text="Outstanding" id="{E160FCB3-FC60-4D00-AB6E-9987B81FDD64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Z80:Z83</xm:sqref>
        </x14:conditionalFormatting>
        <x14:conditionalFormatting xmlns:xm="http://schemas.microsoft.com/office/excel/2006/main">
          <x14:cfRule type="containsText" priority="394" operator="containsText" text="In progress" id="{926F5EB0-33CC-4CF2-9F2D-0F8C453D3125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95" operator="containsText" text="Complete" id="{30B37D21-46BD-44B7-865B-62704CBD6C82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96" operator="containsText" text="Outstanding" id="{AFEA1D38-F504-4895-A6EE-6287B2E5574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Z73:Z76</xm:sqref>
        </x14:conditionalFormatting>
        <x14:conditionalFormatting xmlns:xm="http://schemas.microsoft.com/office/excel/2006/main">
          <x14:cfRule type="containsText" priority="277" operator="containsText" text="In progress" id="{BB1A9AC3-E65D-4F6E-9599-80D942CBB6A8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78" operator="containsText" text="Complete" id="{DE97EA47-9D12-496D-9845-2F7C799D76B8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79" operator="containsText" text="Outstanding" id="{747FDB6B-194A-4597-8DE4-8E15DB34BF8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Z172:Z174</xm:sqref>
        </x14:conditionalFormatting>
        <x14:conditionalFormatting xmlns:xm="http://schemas.microsoft.com/office/excel/2006/main">
          <x14:cfRule type="containsText" priority="280" operator="containsText" text="In progress" id="{D3090553-6B53-42C9-89B2-7022F02CCDCD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81" operator="containsText" text="Complete" id="{2CF7DBB9-E914-47A7-9FCC-498109C03AFC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82" operator="containsText" text="Outstanding" id="{01F479A3-42F1-4DE7-8F9D-0FDC162D19D4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Z178:Z181</xm:sqref>
        </x14:conditionalFormatting>
        <x14:conditionalFormatting xmlns:xm="http://schemas.microsoft.com/office/excel/2006/main">
          <x14:cfRule type="containsText" priority="283" operator="containsText" text="In progress" id="{93FDE40A-EDF4-420F-B5C7-9C11417444AF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84" operator="containsText" text="Complete" id="{F7A36F59-FF0D-4C56-898E-B9EDE55479F7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85" operator="containsText" text="Outstanding" id="{D2D7AAF9-B5FA-4B7A-9742-DB4B4CAC3638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Z185:Z188</xm:sqref>
        </x14:conditionalFormatting>
        <x14:conditionalFormatting xmlns:xm="http://schemas.microsoft.com/office/excel/2006/main">
          <x14:cfRule type="containsText" priority="286" operator="containsText" text="In progress" id="{09C72F48-2434-4044-9601-8960117BA75F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87" operator="containsText" text="Complete" id="{AF363819-A9C7-442C-A88D-539A1D84110B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88" operator="containsText" text="Outstanding" id="{54F57F8C-6B4E-41EA-B222-8EA776F53B93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Z192:Z195</xm:sqref>
        </x14:conditionalFormatting>
        <x14:conditionalFormatting xmlns:xm="http://schemas.microsoft.com/office/excel/2006/main">
          <x14:cfRule type="containsText" priority="289" operator="containsText" text="In progress" id="{1EA6CD17-4A50-40D7-85C8-63D96741EA9E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90" operator="containsText" text="Complete" id="{65C51EA6-D50A-461E-97CF-BC1415908281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91" operator="containsText" text="Outstanding" id="{59311233-0B79-4B5C-922E-B7DA6B911044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Z199:Z202</xm:sqref>
        </x14:conditionalFormatting>
        <x14:conditionalFormatting xmlns:xm="http://schemas.microsoft.com/office/excel/2006/main">
          <x14:cfRule type="containsText" priority="292" operator="containsText" text="In progress" id="{EF8C4E5B-8730-405D-AFA0-CC5BB42ADB51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93" operator="containsText" text="Complete" id="{4A13E7AD-6764-43B3-B09B-1969EFC82AF9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94" operator="containsText" text="Outstanding" id="{6BE8B677-62CB-429B-BD5C-46F4DD4D4E1C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Z206:Z209</xm:sqref>
        </x14:conditionalFormatting>
        <x14:conditionalFormatting xmlns:xm="http://schemas.microsoft.com/office/excel/2006/main">
          <x14:cfRule type="containsText" priority="244" operator="containsText" text="In progress" id="{0515EDD6-72A5-483C-B7A9-059E78A4E935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45" operator="containsText" text="Complete" id="{C4C8B2CE-A9EB-49BB-8A52-E9912706012B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46" operator="containsText" text="Outstanding" id="{CCBB51D6-BAB9-45E9-87FC-0E11902826C7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Z216:Z218</xm:sqref>
        </x14:conditionalFormatting>
        <x14:conditionalFormatting xmlns:xm="http://schemas.microsoft.com/office/excel/2006/main">
          <x14:cfRule type="containsText" priority="247" operator="containsText" text="In progress" id="{B55607C3-8B29-465A-A94A-6989543AA924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48" operator="containsText" text="Complete" id="{85164F1C-49F7-4A3E-A553-0EF77FF09DE6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49" operator="containsText" text="Outstanding" id="{3F54E9FD-125D-438D-87E4-D014A9AD07EE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Z222:Z225</xm:sqref>
        </x14:conditionalFormatting>
        <x14:conditionalFormatting xmlns:xm="http://schemas.microsoft.com/office/excel/2006/main">
          <x14:cfRule type="containsText" priority="250" operator="containsText" text="In progress" id="{050714AF-FFD7-4AA2-A655-E828EDDB5104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51" operator="containsText" text="Complete" id="{04CDD63E-1FED-4007-9A1E-3CF9C31A1063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52" operator="containsText" text="Outstanding" id="{3AD661D1-6CEC-42D4-A2AE-0F2E2E6AFBB3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Z229:Z232</xm:sqref>
        </x14:conditionalFormatting>
        <x14:conditionalFormatting xmlns:xm="http://schemas.microsoft.com/office/excel/2006/main">
          <x14:cfRule type="containsText" priority="253" operator="containsText" text="In progress" id="{5ADDBFFC-D3F4-470F-96CC-5D9B325BC2E0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54" operator="containsText" text="Complete" id="{23A6B8A5-F19D-459C-81B7-BEB001ACF9E7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55" operator="containsText" text="Outstanding" id="{C6B9E34D-8E76-4133-A40A-20166FD775C5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Z236:Z239</xm:sqref>
        </x14:conditionalFormatting>
        <x14:conditionalFormatting xmlns:xm="http://schemas.microsoft.com/office/excel/2006/main">
          <x14:cfRule type="containsText" priority="256" operator="containsText" text="In progress" id="{213548CA-9A27-4127-812B-59425B5D7F6B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57" operator="containsText" text="Complete" id="{E7DDB22E-30C0-4924-B943-BFB9AAF68538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58" operator="containsText" text="Outstanding" id="{96927AFD-B0D4-473E-8CDC-C877A16F5A5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Z243:Z246</xm:sqref>
        </x14:conditionalFormatting>
        <x14:conditionalFormatting xmlns:xm="http://schemas.microsoft.com/office/excel/2006/main">
          <x14:cfRule type="containsText" priority="259" operator="containsText" text="In progress" id="{6E21863B-1E22-4496-9F17-252AAF61A616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60" operator="containsText" text="Complete" id="{649A8712-EDFB-4EB2-BA4F-6BFD792B3320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61" operator="containsText" text="Outstanding" id="{35370775-57E2-4FCB-BCEE-856EB25C5C3B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Z250:Z253</xm:sqref>
        </x14:conditionalFormatting>
        <x14:conditionalFormatting xmlns:xm="http://schemas.microsoft.com/office/excel/2006/main">
          <x14:cfRule type="containsText" priority="142" operator="containsText" text="In progress" id="{D259F66D-FE10-4828-9C4E-8D6EE052C04E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43" operator="containsText" text="Complete" id="{5462D501-3E26-4E75-837C-37E91C450D30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44" operator="containsText" text="Outstanding" id="{30EAF7DA-A8A1-4449-9883-2FB585B3EF14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AH153:AH156</xm:sqref>
        </x14:conditionalFormatting>
        <x14:conditionalFormatting xmlns:xm="http://schemas.microsoft.com/office/excel/2006/main">
          <x14:cfRule type="containsText" priority="139" operator="containsText" text="In progress" id="{5916C29F-1D01-4C21-8F19-6D9C22AD87CC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40" operator="containsText" text="Complete" id="{4ECD6BAF-E47C-414C-B6E7-44CA324326F5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41" operator="containsText" text="Outstanding" id="{44E796E0-A951-4B38-92B5-B87B8CD6B947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AH160:AH161</xm:sqref>
        </x14:conditionalFormatting>
        <x14:conditionalFormatting xmlns:xm="http://schemas.microsoft.com/office/excel/2006/main">
          <x14:cfRule type="containsText" priority="166" operator="containsText" text="In progress" id="{19A45C1C-70A9-47C0-8C8A-26527D7F9C34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67" operator="containsText" text="Complete" id="{7FFC513D-697F-4B61-844C-7442B990CB94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68" operator="containsText" text="Outstanding" id="{B339D32B-C3AC-40B3-8E9B-C1EB9EEC6609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AH146:AH149</xm:sqref>
        </x14:conditionalFormatting>
        <x14:conditionalFormatting xmlns:xm="http://schemas.microsoft.com/office/excel/2006/main">
          <x14:cfRule type="containsText" priority="169" operator="containsText" text="In progress" id="{FFB7ACBB-90D3-415F-8DD1-BD834AF8415E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70" operator="containsText" text="Complete" id="{598EEA19-CB6F-4124-ACB5-54ED045E785B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71" operator="containsText" text="Outstanding" id="{D00BE133-B6AE-40E3-904A-CCF817CDFB71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AH139:AH142</xm:sqref>
        </x14:conditionalFormatting>
        <x14:conditionalFormatting xmlns:xm="http://schemas.microsoft.com/office/excel/2006/main">
          <x14:cfRule type="containsText" priority="79" operator="containsText" text="In progress" id="{6900046C-A891-47F0-815B-AC32362CC7C9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80" operator="containsText" text="Complete" id="{F36FE2C3-B981-43BE-A12B-F9DFBDD376F4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81" operator="containsText" text="Outstanding" id="{52D82F3C-FB74-49BF-B8B3-458A51CAF815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AH172:AH174</xm:sqref>
        </x14:conditionalFormatting>
        <x14:conditionalFormatting xmlns:xm="http://schemas.microsoft.com/office/excel/2006/main">
          <x14:cfRule type="containsText" priority="82" operator="containsText" text="In progress" id="{F97332D4-E217-4CFE-8DB7-AF8FB3FF7C09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83" operator="containsText" text="Complete" id="{F202BE77-6682-4B91-A6D4-EC01EBF46FA5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84" operator="containsText" text="Outstanding" id="{99E34C7F-E86A-4EC0-B454-4D6B67277248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AH178:AH181</xm:sqref>
        </x14:conditionalFormatting>
        <x14:conditionalFormatting xmlns:xm="http://schemas.microsoft.com/office/excel/2006/main">
          <x14:cfRule type="containsText" priority="85" operator="containsText" text="In progress" id="{BC6B7A1A-4074-47BD-903B-E1CEBE44B4C6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86" operator="containsText" text="Complete" id="{0C260DDB-72BE-4983-9839-3B47A2E67CC1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87" operator="containsText" text="Outstanding" id="{74C8B63D-8BB1-47A3-8810-783813002692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AH185:AH188</xm:sqref>
        </x14:conditionalFormatting>
        <x14:conditionalFormatting xmlns:xm="http://schemas.microsoft.com/office/excel/2006/main">
          <x14:cfRule type="containsText" priority="88" operator="containsText" text="In progress" id="{4B322973-D2DA-4DD7-90B5-E84880EBB9CD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89" operator="containsText" text="Complete" id="{61BEC0AF-6ABA-4950-91B2-709BB381A2AE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90" operator="containsText" text="Outstanding" id="{2E14FF6D-355C-430E-96EA-9A24687777B7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AH192:AH195</xm:sqref>
        </x14:conditionalFormatting>
        <x14:conditionalFormatting xmlns:xm="http://schemas.microsoft.com/office/excel/2006/main">
          <x14:cfRule type="containsText" priority="91" operator="containsText" text="In progress" id="{221AB684-7E59-405C-A1B0-9CE0B7FAEB7A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92" operator="containsText" text="Complete" id="{A4666F41-850B-4460-B93F-481206965703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93" operator="containsText" text="Outstanding" id="{B428091C-D298-4EAF-855B-5F1CEEA9B69C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AH199:AH202</xm:sqref>
        </x14:conditionalFormatting>
        <x14:conditionalFormatting xmlns:xm="http://schemas.microsoft.com/office/excel/2006/main">
          <x14:cfRule type="containsText" priority="94" operator="containsText" text="In progress" id="{CF4BE839-B4FB-44EF-9C95-D277E61EA675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95" operator="containsText" text="Complete" id="{E5908534-6F45-4FB2-B7BD-6ABE3ACD2FDA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96" operator="containsText" text="Outstanding" id="{C0015A8E-B93F-47C0-9E06-82A1E6E5777D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AH206:AH209</xm:sqref>
        </x14:conditionalFormatting>
        <x14:conditionalFormatting xmlns:xm="http://schemas.microsoft.com/office/excel/2006/main">
          <x14:cfRule type="containsText" priority="46" operator="containsText" text="In progress" id="{7C9055EC-6150-4AF7-B693-DAAFAE44824F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" operator="containsText" text="Complete" id="{58E3B159-574B-4DF3-9B0B-49A635717916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8" operator="containsText" text="Outstanding" id="{5FD22086-DFB7-4388-8DEC-AF78A859076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AH216:AH218</xm:sqref>
        </x14:conditionalFormatting>
        <x14:conditionalFormatting xmlns:xm="http://schemas.microsoft.com/office/excel/2006/main">
          <x14:cfRule type="containsText" priority="49" operator="containsText" text="In progress" id="{18F11BB3-4641-4EEB-B2E7-4BA1945C2FAA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0" operator="containsText" text="Complete" id="{6F166733-06D6-46E6-981D-2FE2EB9DF68F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1" operator="containsText" text="Outstanding" id="{D122AC02-4299-4BC4-9276-CEED0C0D5E40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AH222:AH225</xm:sqref>
        </x14:conditionalFormatting>
        <x14:conditionalFormatting xmlns:xm="http://schemas.microsoft.com/office/excel/2006/main">
          <x14:cfRule type="containsText" priority="52" operator="containsText" text="In progress" id="{3B51216F-517F-4421-8D7E-2132924D3B32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3" operator="containsText" text="Complete" id="{CBE2B9CD-0DEA-4370-B6BD-D3989413F16D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4" operator="containsText" text="Outstanding" id="{84324B11-F35D-4C15-BDA9-E4C6396BF97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AH229:AH232</xm:sqref>
        </x14:conditionalFormatting>
        <x14:conditionalFormatting xmlns:xm="http://schemas.microsoft.com/office/excel/2006/main">
          <x14:cfRule type="containsText" priority="55" operator="containsText" text="In progress" id="{26390964-0DF0-43E9-9DEE-1D71A87449FF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6" operator="containsText" text="Complete" id="{55EBB435-3CDC-49BB-B664-A432F7C335B9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7" operator="containsText" text="Outstanding" id="{31A403A7-E317-416F-BF5F-F6AD4396A143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AH236:AH239</xm:sqref>
        </x14:conditionalFormatting>
        <x14:conditionalFormatting xmlns:xm="http://schemas.microsoft.com/office/excel/2006/main">
          <x14:cfRule type="containsText" priority="58" operator="containsText" text="In progress" id="{DEC6EA46-E85F-4FD4-ACE4-E42663C3D43B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" operator="containsText" text="Complete" id="{C09ADC62-B9D2-4789-A45C-00ADF69B314B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60" operator="containsText" text="Outstanding" id="{6FCE0699-3903-4D00-BD54-0E8B137C0C1C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AH243:AH246</xm:sqref>
        </x14:conditionalFormatting>
        <x14:conditionalFormatting xmlns:xm="http://schemas.microsoft.com/office/excel/2006/main">
          <x14:cfRule type="containsText" priority="61" operator="containsText" text="In progress" id="{A6437CAF-140B-4B0A-BE3F-8DE3A3DD68BD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62" operator="containsText" text="Complete" id="{D0A27441-2EE6-48F4-8201-11DEA4E1B382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63" operator="containsText" text="Outstanding" id="{79BA2EFB-6E59-4916-B555-61993FC2C67B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AH250:AH253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F76B-7E76-4AC7-9126-FC1B3ACFBF2C}">
  <dimension ref="A2:AV295"/>
  <sheetViews>
    <sheetView showGridLines="0" tabSelected="1" topLeftCell="A115" zoomScale="85" zoomScaleNormal="85" workbookViewId="0">
      <selection activeCell="G135" sqref="G135"/>
    </sheetView>
  </sheetViews>
  <sheetFormatPr defaultRowHeight="15" x14ac:dyDescent="0.25"/>
  <cols>
    <col min="1" max="1" width="3.7109375" customWidth="1"/>
    <col min="2" max="2" width="17.140625" bestFit="1" customWidth="1"/>
    <col min="3" max="3" width="45.28515625" bestFit="1" customWidth="1"/>
    <col min="4" max="7" width="16.42578125" customWidth="1"/>
    <col min="8" max="8" width="31.7109375" customWidth="1"/>
    <col min="9" max="9" width="21.5703125" bestFit="1" customWidth="1"/>
    <col min="10" max="10" width="21.5703125" customWidth="1"/>
    <col min="11" max="11" width="19.140625" customWidth="1"/>
    <col min="12" max="12" width="25.85546875" bestFit="1" customWidth="1"/>
    <col min="13" max="13" width="12.28515625" customWidth="1"/>
    <col min="14" max="14" width="14.42578125" bestFit="1" customWidth="1"/>
    <col min="15" max="15" width="14.28515625" bestFit="1" customWidth="1"/>
    <col min="16" max="16" width="11.5703125" bestFit="1" customWidth="1"/>
    <col min="17" max="17" width="11.42578125" bestFit="1" customWidth="1"/>
    <col min="18" max="18" width="23.5703125" bestFit="1" customWidth="1"/>
    <col min="19" max="19" width="7.85546875" bestFit="1" customWidth="1"/>
    <col min="20" max="20" width="17.5703125" bestFit="1" customWidth="1"/>
    <col min="21" max="21" width="10" bestFit="1" customWidth="1"/>
    <col min="22" max="22" width="15.28515625" bestFit="1" customWidth="1"/>
    <col min="23" max="23" width="26.7109375" bestFit="1" customWidth="1"/>
    <col min="24" max="24" width="15.28515625" customWidth="1"/>
    <col min="25" max="25" width="14.7109375" bestFit="1" customWidth="1"/>
    <col min="26" max="28" width="14.7109375" customWidth="1"/>
    <col min="29" max="29" width="3.7109375" customWidth="1"/>
    <col min="30" max="30" width="12.28515625" customWidth="1"/>
    <col min="31" max="32" width="11.28515625" bestFit="1" customWidth="1"/>
    <col min="33" max="33" width="11.42578125" bestFit="1" customWidth="1"/>
    <col min="34" max="34" width="11.28515625" bestFit="1" customWidth="1"/>
  </cols>
  <sheetData>
    <row r="2" spans="1:47" x14ac:dyDescent="0.25">
      <c r="B2" t="s">
        <v>3</v>
      </c>
      <c r="C2" s="8" t="str">
        <f>Inputs!C2</f>
        <v>UC Berkeley</v>
      </c>
      <c r="L2" s="15" t="s">
        <v>0</v>
      </c>
    </row>
    <row r="3" spans="1:47" x14ac:dyDescent="0.25">
      <c r="B3" t="s">
        <v>4</v>
      </c>
      <c r="C3" s="8" t="str">
        <f>Inputs!C3</f>
        <v>Campus energy study update</v>
      </c>
      <c r="L3" s="8" t="s">
        <v>6</v>
      </c>
    </row>
    <row r="4" spans="1:47" x14ac:dyDescent="0.25">
      <c r="B4" t="s">
        <v>5</v>
      </c>
      <c r="C4" s="8">
        <f>Inputs!C4</f>
        <v>267147</v>
      </c>
      <c r="L4" s="18" t="s">
        <v>1</v>
      </c>
    </row>
    <row r="5" spans="1:47" x14ac:dyDescent="0.25">
      <c r="L5" s="19" t="s">
        <v>2</v>
      </c>
      <c r="V5" s="80"/>
    </row>
    <row r="6" spans="1:47" x14ac:dyDescent="0.25">
      <c r="L6" s="13" t="s">
        <v>7</v>
      </c>
    </row>
    <row r="7" spans="1:47" s="1" customFormat="1" x14ac:dyDescent="0.25">
      <c r="B7" s="3"/>
      <c r="C7" s="3"/>
      <c r="D7" s="9"/>
      <c r="E7" s="9"/>
      <c r="F7" s="9"/>
      <c r="G7" s="9"/>
      <c r="H7" s="9"/>
      <c r="I7" s="9"/>
      <c r="J7" s="9"/>
      <c r="K7" s="9"/>
      <c r="L7" s="9"/>
      <c r="M7"/>
      <c r="N7"/>
      <c r="O7"/>
      <c r="P7"/>
      <c r="Q7"/>
      <c r="R7" s="11"/>
      <c r="V7" s="81"/>
      <c r="AD7"/>
      <c r="AE7"/>
      <c r="AF7"/>
      <c r="AG7"/>
      <c r="AH7"/>
    </row>
    <row r="8" spans="1:47" s="1" customFormat="1" ht="23.25" x14ac:dyDescent="0.35">
      <c r="B8" s="2" t="s">
        <v>155</v>
      </c>
      <c r="C8" s="2"/>
      <c r="D8" s="10"/>
      <c r="E8" s="10"/>
      <c r="F8" s="10"/>
      <c r="G8" s="10"/>
      <c r="H8" s="10"/>
      <c r="I8" s="10"/>
      <c r="J8" s="10"/>
      <c r="K8" s="10"/>
      <c r="L8" s="10"/>
      <c r="M8"/>
      <c r="N8"/>
      <c r="O8"/>
      <c r="P8"/>
      <c r="Q8"/>
      <c r="R8" s="12"/>
      <c r="S8" s="5"/>
      <c r="T8" s="5"/>
      <c r="U8" s="5"/>
      <c r="V8" s="5"/>
      <c r="W8" s="5"/>
      <c r="X8" s="5"/>
      <c r="Y8" s="5"/>
      <c r="Z8" s="5"/>
      <c r="AA8" s="5"/>
      <c r="AB8" s="5"/>
      <c r="AD8"/>
      <c r="AE8"/>
      <c r="AF8"/>
      <c r="AG8"/>
      <c r="AH8"/>
    </row>
    <row r="10" spans="1:47" x14ac:dyDescent="0.25">
      <c r="P10" s="82"/>
      <c r="V10" s="1"/>
      <c r="W10" s="1"/>
      <c r="X10" s="1"/>
      <c r="Y10" s="1"/>
      <c r="Z10" s="1"/>
      <c r="AA10" s="1"/>
      <c r="AB10" s="1"/>
      <c r="AC10" s="1"/>
    </row>
    <row r="11" spans="1:47" s="1" customFormat="1" ht="20.25" thickBot="1" x14ac:dyDescent="0.35">
      <c r="B11" s="26" t="s">
        <v>42</v>
      </c>
      <c r="C11" s="26"/>
      <c r="D11" s="26"/>
      <c r="E11" s="26"/>
      <c r="F11" s="26"/>
      <c r="G11" s="26"/>
      <c r="H11" s="26"/>
      <c r="I11" s="26"/>
      <c r="J11" s="26"/>
      <c r="K11"/>
      <c r="L11" s="26" t="s">
        <v>156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D11" s="26" t="s">
        <v>7</v>
      </c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</row>
    <row r="12" spans="1:47" s="1" customFormat="1" ht="34.5" thickTop="1" thickBot="1" x14ac:dyDescent="0.3">
      <c r="B12" s="20" t="s">
        <v>43</v>
      </c>
      <c r="C12" s="20" t="s">
        <v>44</v>
      </c>
      <c r="D12" s="20" t="s">
        <v>18</v>
      </c>
      <c r="E12" s="20" t="s">
        <v>170</v>
      </c>
      <c r="F12" s="20" t="s">
        <v>171</v>
      </c>
      <c r="G12" s="20" t="s">
        <v>152</v>
      </c>
      <c r="H12" s="20" t="s">
        <v>284</v>
      </c>
      <c r="I12" s="20" t="s">
        <v>231</v>
      </c>
      <c r="J12" s="20" t="s">
        <v>299</v>
      </c>
      <c r="K12"/>
      <c r="L12" s="20" t="s">
        <v>157</v>
      </c>
      <c r="M12" s="30" t="s">
        <v>158</v>
      </c>
      <c r="N12" s="30"/>
      <c r="O12" s="30"/>
      <c r="P12" s="30"/>
      <c r="Q12" s="30"/>
      <c r="R12" s="30" t="s">
        <v>161</v>
      </c>
      <c r="S12" s="20"/>
      <c r="T12" s="20"/>
      <c r="U12" s="20"/>
      <c r="V12" s="20"/>
      <c r="W12" s="30" t="s">
        <v>219</v>
      </c>
      <c r="X12" s="30" t="s">
        <v>166</v>
      </c>
      <c r="Y12" s="20"/>
      <c r="Z12" s="20"/>
      <c r="AA12" s="30" t="s">
        <v>310</v>
      </c>
      <c r="AB12" s="20"/>
      <c r="AD12" s="30" t="s">
        <v>158</v>
      </c>
      <c r="AE12" s="30"/>
      <c r="AF12" s="30"/>
      <c r="AG12" s="30"/>
      <c r="AH12" s="30"/>
      <c r="AI12" s="30" t="s">
        <v>162</v>
      </c>
      <c r="AJ12" s="30"/>
      <c r="AK12" s="20"/>
      <c r="AL12" s="20"/>
      <c r="AM12" s="20"/>
      <c r="AN12" s="30" t="s">
        <v>163</v>
      </c>
      <c r="AO12" s="20"/>
      <c r="AP12" s="20"/>
      <c r="AQ12" s="20"/>
      <c r="AR12" s="30" t="s">
        <v>49</v>
      </c>
      <c r="AS12" s="20"/>
      <c r="AT12" s="20"/>
      <c r="AU12" s="20"/>
    </row>
    <row r="13" spans="1:47" s="1" customFormat="1" ht="45" thickTop="1" thickBot="1" x14ac:dyDescent="0.3">
      <c r="B13" s="21"/>
      <c r="C13" s="21"/>
      <c r="D13" s="21"/>
      <c r="E13" s="21"/>
      <c r="F13" s="21"/>
      <c r="G13" s="21"/>
      <c r="H13" s="21"/>
      <c r="I13" s="21"/>
      <c r="J13" s="21"/>
      <c r="K13"/>
      <c r="L13" s="21"/>
      <c r="M13" s="21" t="s">
        <v>160</v>
      </c>
      <c r="N13" s="21" t="s">
        <v>159</v>
      </c>
      <c r="O13" s="21" t="s">
        <v>38</v>
      </c>
      <c r="P13" s="21" t="s">
        <v>39</v>
      </c>
      <c r="Q13" s="21" t="s">
        <v>40</v>
      </c>
      <c r="R13" s="21" t="s">
        <v>159</v>
      </c>
      <c r="S13" s="21" t="s">
        <v>38</v>
      </c>
      <c r="T13" s="21" t="s">
        <v>39</v>
      </c>
      <c r="U13" s="21" t="s">
        <v>40</v>
      </c>
      <c r="V13" s="21" t="s">
        <v>7</v>
      </c>
      <c r="W13" s="21" t="s">
        <v>218</v>
      </c>
      <c r="X13" s="21" t="s">
        <v>220</v>
      </c>
      <c r="Y13" s="21" t="s">
        <v>221</v>
      </c>
      <c r="Z13" s="21" t="s">
        <v>309</v>
      </c>
      <c r="AA13" s="21" t="s">
        <v>311</v>
      </c>
      <c r="AB13" s="21" t="s">
        <v>312</v>
      </c>
      <c r="AD13" s="21" t="s">
        <v>160</v>
      </c>
      <c r="AE13" s="21" t="s">
        <v>159</v>
      </c>
      <c r="AF13" s="21" t="s">
        <v>38</v>
      </c>
      <c r="AG13" s="21" t="s">
        <v>39</v>
      </c>
      <c r="AH13" s="21" t="s">
        <v>40</v>
      </c>
      <c r="AI13" s="21" t="s">
        <v>160</v>
      </c>
      <c r="AJ13" s="21" t="s">
        <v>37</v>
      </c>
      <c r="AK13" s="21" t="s">
        <v>38</v>
      </c>
      <c r="AL13" s="21" t="s">
        <v>39</v>
      </c>
      <c r="AM13" s="21" t="s">
        <v>40</v>
      </c>
      <c r="AN13" s="47" t="s">
        <v>37</v>
      </c>
      <c r="AO13" s="47" t="s">
        <v>38</v>
      </c>
      <c r="AP13" s="47" t="s">
        <v>39</v>
      </c>
      <c r="AQ13" s="47" t="s">
        <v>40</v>
      </c>
      <c r="AR13" s="21" t="s">
        <v>37</v>
      </c>
      <c r="AS13" s="21" t="s">
        <v>38</v>
      </c>
      <c r="AT13" s="21" t="s">
        <v>39</v>
      </c>
      <c r="AU13" s="21" t="s">
        <v>40</v>
      </c>
    </row>
    <row r="14" spans="1:47" x14ac:dyDescent="0.25">
      <c r="A14" s="1"/>
      <c r="B14" s="24">
        <v>1215</v>
      </c>
      <c r="C14" s="24" t="s">
        <v>50</v>
      </c>
      <c r="D14" s="54" t="s">
        <v>21</v>
      </c>
      <c r="E14" s="55">
        <v>1954</v>
      </c>
      <c r="F14" s="55"/>
      <c r="G14" s="27">
        <v>15326</v>
      </c>
      <c r="H14" s="15" t="s">
        <v>173</v>
      </c>
      <c r="I14" s="50" t="s">
        <v>257</v>
      </c>
      <c r="J14" s="8" t="str">
        <f>VLOOKUP($G14,Inputs!$B$127:$F$129,3,TRUE)</f>
        <v>Packaged VAV, DX</v>
      </c>
      <c r="L14" s="46">
        <v>17.100000000000001</v>
      </c>
      <c r="M14" s="29">
        <f>L14*G14</f>
        <v>262074.60000000003</v>
      </c>
      <c r="N14" s="29">
        <f t="shared" ref="N14:N75" si="0">$M14*R14</f>
        <v>235867.14000000004</v>
      </c>
      <c r="O14" s="29">
        <f t="shared" ref="O14:O75" si="1">$M14*S14</f>
        <v>26207.460000000006</v>
      </c>
      <c r="P14" s="29">
        <f t="shared" ref="P14:P75" si="2">$M14*T14</f>
        <v>0</v>
      </c>
      <c r="Q14" s="29">
        <f t="shared" ref="Q14:Q75" si="3">$M14*U14</f>
        <v>0</v>
      </c>
      <c r="R14" s="31">
        <f>LOOKUP($D14,Inputs!$B$78:$B$89,Inputs!C$78:C$89)</f>
        <v>0.9</v>
      </c>
      <c r="S14" s="31">
        <f>LOOKUP($D14,Inputs!$B$78:$B$89,Inputs!D$78:D$89)</f>
        <v>0.1</v>
      </c>
      <c r="T14" s="31">
        <f>LOOKUP($D14,Inputs!$B$78:$B$89,Inputs!E$78:E$89)</f>
        <v>0</v>
      </c>
      <c r="U14" s="31">
        <f>LOOKUP($D14,Inputs!$B$78:$B$89,Inputs!F$78:F$89)</f>
        <v>0</v>
      </c>
      <c r="V14" s="13" t="str">
        <f t="shared" ref="V14:V75" si="4">IF(SUM(R14:U14)=100%,"","FLAG")</f>
        <v/>
      </c>
      <c r="W14" s="72">
        <f>SUM(N14:O14)*Inputs!$C$22*(1-Inputs!$C$13)/Inputs!$C$15</f>
        <v>211.62523950000002</v>
      </c>
      <c r="X14" s="15">
        <v>0</v>
      </c>
      <c r="Y14" s="71">
        <f>IF($X14&gt;0,$X14,$G14*LOOKUP($D14,Inputs!$B$63:$B$74,Inputs!$H$63:$H$74)/Inputs!$C$15)</f>
        <v>15.326000000000001</v>
      </c>
      <c r="Z14" s="71">
        <f>Y14-X14</f>
        <v>15.326000000000001</v>
      </c>
      <c r="AA14" s="108">
        <f>VLOOKUP(J14,Inputs!$D$127:$H$129,5,FALSE)</f>
        <v>1.2371134020618557</v>
      </c>
      <c r="AB14" s="108">
        <f>AA14*Z14</f>
        <v>18.96</v>
      </c>
      <c r="AC14" s="1"/>
      <c r="AD14" s="27">
        <v>262074.60000000003</v>
      </c>
      <c r="AE14" s="27">
        <v>235867.14000000004</v>
      </c>
      <c r="AF14" s="27">
        <v>26207.460000000006</v>
      </c>
      <c r="AG14" s="27">
        <v>0</v>
      </c>
      <c r="AH14" s="27">
        <v>0</v>
      </c>
      <c r="AI14" s="33" t="str">
        <f t="shared" ref="AI14:AI56" si="5">IF(M14-AD14=0,"","FLAG")</f>
        <v/>
      </c>
      <c r="AJ14" s="33" t="str">
        <f t="shared" ref="AJ14:AJ56" si="6">IF(N14-AE14=0,"","FLAG")</f>
        <v/>
      </c>
      <c r="AK14" s="33" t="str">
        <f t="shared" ref="AK14:AK56" si="7">IF(O14-AF14=0,"","FLAG")</f>
        <v/>
      </c>
      <c r="AL14" s="33" t="str">
        <f t="shared" ref="AL14:AL56" si="8">IF(P14-AG14=0,"","FLAG")</f>
        <v/>
      </c>
      <c r="AM14" s="33" t="str">
        <f t="shared" ref="AM14:AM56" si="9">IF(Q14-AH14=0,"","FLAG")</f>
        <v/>
      </c>
      <c r="AN14" s="28">
        <v>0.9</v>
      </c>
      <c r="AO14" s="28">
        <v>0.1</v>
      </c>
      <c r="AP14" s="28">
        <v>0</v>
      </c>
      <c r="AQ14" s="28">
        <v>0</v>
      </c>
      <c r="AR14" s="33" t="str">
        <f t="shared" ref="AR14:AR56" si="10">IF(R14-AN14=0,"","FLAG")</f>
        <v/>
      </c>
      <c r="AS14" s="33" t="str">
        <f t="shared" ref="AS14:AS56" si="11">IF(S14-AO14=0,"","FLAG")</f>
        <v/>
      </c>
      <c r="AT14" s="33" t="str">
        <f t="shared" ref="AT14:AT56" si="12">IF(T14-AP14=0,"","FLAG")</f>
        <v/>
      </c>
      <c r="AU14" s="33" t="str">
        <f t="shared" ref="AU14:AU56" si="13">IF(U14-AQ14=0,"","FLAG")</f>
        <v/>
      </c>
    </row>
    <row r="15" spans="1:47" x14ac:dyDescent="0.25">
      <c r="A15" s="1"/>
      <c r="B15" s="24">
        <v>1298</v>
      </c>
      <c r="C15" s="24" t="s">
        <v>51</v>
      </c>
      <c r="D15" s="54" t="s">
        <v>29</v>
      </c>
      <c r="E15" s="55">
        <v>1949</v>
      </c>
      <c r="F15" s="55"/>
      <c r="G15" s="27">
        <v>132394</v>
      </c>
      <c r="H15" s="15" t="s">
        <v>177</v>
      </c>
      <c r="I15" s="50" t="s">
        <v>280</v>
      </c>
      <c r="J15" s="8" t="str">
        <f>VLOOKUP($G15,Inputs!$B$127:$F$129,3,TRUE)</f>
        <v>Packaged VAV, DX</v>
      </c>
      <c r="L15" s="46">
        <v>32</v>
      </c>
      <c r="M15" s="29">
        <f t="shared" ref="M15:M45" si="14">L15*G15</f>
        <v>4236608</v>
      </c>
      <c r="N15" s="29">
        <f t="shared" si="0"/>
        <v>3812947.2</v>
      </c>
      <c r="O15" s="29">
        <f t="shared" si="1"/>
        <v>423660.80000000005</v>
      </c>
      <c r="P15" s="29">
        <f t="shared" si="2"/>
        <v>0</v>
      </c>
      <c r="Q15" s="29">
        <f t="shared" si="3"/>
        <v>0</v>
      </c>
      <c r="R15" s="31">
        <f>LOOKUP($D15,Inputs!$B$78:$B$89,Inputs!C$78:C$89)</f>
        <v>0.9</v>
      </c>
      <c r="S15" s="31">
        <f>LOOKUP($D15,Inputs!$B$78:$B$89,Inputs!D$78:D$89)</f>
        <v>0.1</v>
      </c>
      <c r="T15" s="31">
        <f>LOOKUP($D15,Inputs!$B$78:$B$89,Inputs!E$78:E$89)</f>
        <v>0</v>
      </c>
      <c r="U15" s="31">
        <f>LOOKUP($D15,Inputs!$B$78:$B$89,Inputs!F$78:F$89)</f>
        <v>0</v>
      </c>
      <c r="V15" s="13" t="str">
        <f t="shared" si="4"/>
        <v/>
      </c>
      <c r="W15" s="72">
        <f>SUM(N15:O15)*Inputs!$C$22*(1-Inputs!$C$13)/Inputs!$C$15</f>
        <v>3421.0609599999993</v>
      </c>
      <c r="X15" s="15">
        <v>250</v>
      </c>
      <c r="Y15" s="71">
        <f>IF($X15&gt;0,$X15,$G15*LOOKUP($D15,Inputs!$B$63:$B$74,Inputs!$H$63:$H$74)/Inputs!$C$15)</f>
        <v>250</v>
      </c>
      <c r="Z15" s="71">
        <f t="shared" ref="Z15:Z78" si="15">Y15-X15</f>
        <v>0</v>
      </c>
      <c r="AA15" s="108">
        <f>VLOOKUP(J15,Inputs!$D$127:$H$129,5,FALSE)</f>
        <v>1.2371134020618557</v>
      </c>
      <c r="AB15" s="108">
        <f t="shared" ref="AB15:AB78" si="16">AA15*Z15</f>
        <v>0</v>
      </c>
      <c r="AC15" s="1"/>
      <c r="AD15" s="27">
        <v>4236608</v>
      </c>
      <c r="AE15" s="27">
        <v>3812947.2</v>
      </c>
      <c r="AF15" s="27">
        <v>423660.80000000005</v>
      </c>
      <c r="AG15" s="27">
        <v>0</v>
      </c>
      <c r="AH15" s="27">
        <v>0</v>
      </c>
      <c r="AI15" s="33" t="str">
        <f t="shared" si="5"/>
        <v/>
      </c>
      <c r="AJ15" s="33" t="str">
        <f t="shared" si="6"/>
        <v/>
      </c>
      <c r="AK15" s="33" t="str">
        <f t="shared" si="7"/>
        <v/>
      </c>
      <c r="AL15" s="33" t="str">
        <f t="shared" si="8"/>
        <v/>
      </c>
      <c r="AM15" s="33" t="str">
        <f t="shared" si="9"/>
        <v/>
      </c>
      <c r="AN15" s="28">
        <v>0.9</v>
      </c>
      <c r="AO15" s="28">
        <v>0.1</v>
      </c>
      <c r="AP15" s="28">
        <v>0</v>
      </c>
      <c r="AQ15" s="28">
        <v>0</v>
      </c>
      <c r="AR15" s="33" t="str">
        <f t="shared" si="10"/>
        <v/>
      </c>
      <c r="AS15" s="33" t="str">
        <f t="shared" si="11"/>
        <v/>
      </c>
      <c r="AT15" s="33" t="str">
        <f t="shared" si="12"/>
        <v/>
      </c>
      <c r="AU15" s="33" t="str">
        <f t="shared" si="13"/>
        <v/>
      </c>
    </row>
    <row r="16" spans="1:47" x14ac:dyDescent="0.25">
      <c r="A16" s="1"/>
      <c r="B16" s="24">
        <v>1793</v>
      </c>
      <c r="C16" s="24" t="s">
        <v>52</v>
      </c>
      <c r="D16" s="54" t="s">
        <v>24</v>
      </c>
      <c r="E16" s="55">
        <v>1964</v>
      </c>
      <c r="F16" s="55"/>
      <c r="G16" s="27">
        <v>86091</v>
      </c>
      <c r="H16" s="15" t="s">
        <v>175</v>
      </c>
      <c r="I16" s="50" t="s">
        <v>258</v>
      </c>
      <c r="J16" s="8" t="str">
        <f>VLOOKUP($G16,Inputs!$B$127:$F$129,3,TRUE)</f>
        <v>Packaged VAV, DX</v>
      </c>
      <c r="L16" s="46">
        <v>32</v>
      </c>
      <c r="M16" s="29">
        <f t="shared" si="14"/>
        <v>2754912</v>
      </c>
      <c r="N16" s="29">
        <f t="shared" si="0"/>
        <v>1542750.7199999997</v>
      </c>
      <c r="O16" s="29">
        <f t="shared" si="1"/>
        <v>385687.67999999993</v>
      </c>
      <c r="P16" s="29">
        <f t="shared" si="2"/>
        <v>0</v>
      </c>
      <c r="Q16" s="29">
        <f>$M16*U16</f>
        <v>826473.6</v>
      </c>
      <c r="R16" s="31">
        <f>LOOKUP($D16,Inputs!$B$78:$B$89,Inputs!C$78:C$89)*(1-$U16)</f>
        <v>0.55999999999999994</v>
      </c>
      <c r="S16" s="31">
        <f>LOOKUP($D16,Inputs!$B$78:$B$89,Inputs!D$78:D$89)*(1-$U16)</f>
        <v>0.13999999999999999</v>
      </c>
      <c r="T16" s="31">
        <f>LOOKUP($D16,Inputs!$B$78:$B$89,Inputs!E$78:E$89)*(1-$U16)</f>
        <v>0</v>
      </c>
      <c r="U16" s="48">
        <v>0.3</v>
      </c>
      <c r="V16" s="13" t="str">
        <f t="shared" si="4"/>
        <v/>
      </c>
      <c r="W16" s="72">
        <f>SUM(N16:O16)*Inputs!$C$22*(1-Inputs!$C$13)/Inputs!$C$15</f>
        <v>1557.2140079999995</v>
      </c>
      <c r="X16" s="15">
        <v>200</v>
      </c>
      <c r="Y16" s="71">
        <f>IF($X16&gt;0,$X16,$G16*LOOKUP($D16,Inputs!$B$63:$B$74,Inputs!$H$63:$H$74)/Inputs!$C$15)</f>
        <v>200</v>
      </c>
      <c r="Z16" s="71">
        <f t="shared" si="15"/>
        <v>0</v>
      </c>
      <c r="AA16" s="108">
        <f>VLOOKUP(J16,Inputs!$D$127:$H$129,5,FALSE)</f>
        <v>1.2371134020618557</v>
      </c>
      <c r="AB16" s="108">
        <f t="shared" si="16"/>
        <v>0</v>
      </c>
      <c r="AC16" s="1"/>
      <c r="AD16" s="27">
        <v>2754912</v>
      </c>
      <c r="AE16" s="27">
        <v>1542750.7199999997</v>
      </c>
      <c r="AF16" s="27">
        <v>385687.67999999993</v>
      </c>
      <c r="AG16" s="27">
        <v>0</v>
      </c>
      <c r="AH16" s="27">
        <v>826473.6</v>
      </c>
      <c r="AI16" s="33" t="str">
        <f t="shared" si="5"/>
        <v/>
      </c>
      <c r="AJ16" s="33" t="str">
        <f t="shared" si="6"/>
        <v/>
      </c>
      <c r="AK16" s="33" t="str">
        <f t="shared" si="7"/>
        <v/>
      </c>
      <c r="AL16" s="33" t="str">
        <f t="shared" si="8"/>
        <v/>
      </c>
      <c r="AM16" s="33" t="str">
        <f t="shared" si="9"/>
        <v/>
      </c>
      <c r="AN16" s="28">
        <v>0.55999999999999994</v>
      </c>
      <c r="AO16" s="28">
        <v>0.13999999999999999</v>
      </c>
      <c r="AP16" s="28">
        <v>0</v>
      </c>
      <c r="AQ16" s="28">
        <v>0.3</v>
      </c>
      <c r="AR16" s="33" t="str">
        <f t="shared" si="10"/>
        <v/>
      </c>
      <c r="AS16" s="33" t="str">
        <f t="shared" si="11"/>
        <v/>
      </c>
      <c r="AT16" s="33" t="str">
        <f t="shared" si="12"/>
        <v/>
      </c>
      <c r="AU16" s="33" t="str">
        <f t="shared" si="13"/>
        <v/>
      </c>
    </row>
    <row r="17" spans="1:47" x14ac:dyDescent="0.25">
      <c r="A17" s="1"/>
      <c r="B17" s="24">
        <v>1761</v>
      </c>
      <c r="C17" s="24" t="s">
        <v>53</v>
      </c>
      <c r="D17" s="54" t="s">
        <v>26</v>
      </c>
      <c r="E17" s="55">
        <v>1964</v>
      </c>
      <c r="F17" s="55"/>
      <c r="G17" s="27">
        <v>193202</v>
      </c>
      <c r="H17" s="15" t="s">
        <v>176</v>
      </c>
      <c r="I17" s="50" t="s">
        <v>259</v>
      </c>
      <c r="J17" s="8" t="str">
        <f>VLOOKUP($G17,Inputs!$B$127:$F$129,3,TRUE)</f>
        <v>Water-cooled chiller</v>
      </c>
      <c r="L17" s="46">
        <v>11.3</v>
      </c>
      <c r="M17" s="29">
        <f t="shared" si="14"/>
        <v>2183182.6</v>
      </c>
      <c r="N17" s="29">
        <f t="shared" si="0"/>
        <v>1964864.34</v>
      </c>
      <c r="O17" s="29">
        <f t="shared" si="1"/>
        <v>218318.26</v>
      </c>
      <c r="P17" s="29">
        <f t="shared" si="2"/>
        <v>0</v>
      </c>
      <c r="Q17" s="29">
        <f t="shared" si="3"/>
        <v>0</v>
      </c>
      <c r="R17" s="31">
        <f>LOOKUP($D17,Inputs!$B$78:$B$89,Inputs!C$78:C$89)</f>
        <v>0.9</v>
      </c>
      <c r="S17" s="31">
        <f>LOOKUP($D17,Inputs!$B$78:$B$89,Inputs!D$78:D$89)</f>
        <v>0.1</v>
      </c>
      <c r="T17" s="31">
        <f>LOOKUP($D17,Inputs!$B$78:$B$89,Inputs!E$78:E$89)</f>
        <v>0</v>
      </c>
      <c r="U17" s="31">
        <f>LOOKUP($D17,Inputs!$B$78:$B$89,Inputs!F$78:F$89)</f>
        <v>0</v>
      </c>
      <c r="V17" s="13" t="str">
        <f t="shared" si="4"/>
        <v/>
      </c>
      <c r="W17" s="72">
        <f>SUM(N17:O17)*Inputs!$C$22*(1-Inputs!$C$13)/Inputs!$C$15</f>
        <v>1762.9199494999998</v>
      </c>
      <c r="X17" s="15">
        <v>0</v>
      </c>
      <c r="Y17" s="71">
        <f>IF($X17&gt;0,$X17,$G17*LOOKUP($D17,Inputs!$B$63:$B$74,Inputs!$H$63:$H$74)/Inputs!$C$15)</f>
        <v>193.202</v>
      </c>
      <c r="Z17" s="71">
        <f t="shared" si="15"/>
        <v>193.202</v>
      </c>
      <c r="AA17" s="108">
        <f>VLOOKUP(J17,Inputs!$D$127:$H$129,5,FALSE)</f>
        <v>0.58499999999999996</v>
      </c>
      <c r="AB17" s="108">
        <f t="shared" si="16"/>
        <v>113.02316999999999</v>
      </c>
      <c r="AC17" s="1"/>
      <c r="AD17" s="27">
        <v>2183182.6</v>
      </c>
      <c r="AE17" s="27">
        <v>1964864.34</v>
      </c>
      <c r="AF17" s="27">
        <v>218318.26</v>
      </c>
      <c r="AG17" s="27">
        <v>0</v>
      </c>
      <c r="AH17" s="27">
        <v>0</v>
      </c>
      <c r="AI17" s="33" t="str">
        <f t="shared" si="5"/>
        <v/>
      </c>
      <c r="AJ17" s="33" t="str">
        <f t="shared" si="6"/>
        <v/>
      </c>
      <c r="AK17" s="33" t="str">
        <f t="shared" si="7"/>
        <v/>
      </c>
      <c r="AL17" s="33" t="str">
        <f t="shared" si="8"/>
        <v/>
      </c>
      <c r="AM17" s="33" t="str">
        <f t="shared" si="9"/>
        <v/>
      </c>
      <c r="AN17" s="28">
        <v>0.9</v>
      </c>
      <c r="AO17" s="28">
        <v>0.1</v>
      </c>
      <c r="AP17" s="28">
        <v>0</v>
      </c>
      <c r="AQ17" s="28">
        <v>0</v>
      </c>
      <c r="AR17" s="33" t="str">
        <f t="shared" si="10"/>
        <v/>
      </c>
      <c r="AS17" s="33" t="str">
        <f t="shared" si="11"/>
        <v/>
      </c>
      <c r="AT17" s="33" t="str">
        <f t="shared" si="12"/>
        <v/>
      </c>
      <c r="AU17" s="33" t="str">
        <f t="shared" si="13"/>
        <v/>
      </c>
    </row>
    <row r="18" spans="1:47" x14ac:dyDescent="0.25">
      <c r="A18" s="1"/>
      <c r="B18" s="24">
        <v>1788</v>
      </c>
      <c r="C18" s="24" t="s">
        <v>54</v>
      </c>
      <c r="D18" s="54" t="s">
        <v>26</v>
      </c>
      <c r="E18" s="55">
        <v>1980</v>
      </c>
      <c r="F18" s="55"/>
      <c r="G18" s="27">
        <v>47954</v>
      </c>
      <c r="H18" s="15" t="s">
        <v>177</v>
      </c>
      <c r="I18" s="15" t="s">
        <v>260</v>
      </c>
      <c r="J18" s="8" t="str">
        <f>VLOOKUP($G18,Inputs!$B$127:$F$129,3,TRUE)</f>
        <v>Packaged VAV, DX</v>
      </c>
      <c r="L18" s="46">
        <v>32</v>
      </c>
      <c r="M18" s="29">
        <f t="shared" si="14"/>
        <v>1534528</v>
      </c>
      <c r="N18" s="29">
        <f t="shared" si="0"/>
        <v>1381075.2</v>
      </c>
      <c r="O18" s="29">
        <f t="shared" si="1"/>
        <v>153452.80000000002</v>
      </c>
      <c r="P18" s="29">
        <f t="shared" si="2"/>
        <v>0</v>
      </c>
      <c r="Q18" s="29">
        <f t="shared" si="3"/>
        <v>0</v>
      </c>
      <c r="R18" s="31">
        <f>LOOKUP($D18,Inputs!$B$78:$B$89,Inputs!C$78:C$89)</f>
        <v>0.9</v>
      </c>
      <c r="S18" s="31">
        <f>LOOKUP($D18,Inputs!$B$78:$B$89,Inputs!D$78:D$89)</f>
        <v>0.1</v>
      </c>
      <c r="T18" s="31">
        <f>LOOKUP($D18,Inputs!$B$78:$B$89,Inputs!E$78:E$89)</f>
        <v>0</v>
      </c>
      <c r="U18" s="31">
        <f>LOOKUP($D18,Inputs!$B$78:$B$89,Inputs!F$78:F$89)</f>
        <v>0</v>
      </c>
      <c r="V18" s="13" t="str">
        <f t="shared" si="4"/>
        <v/>
      </c>
      <c r="W18" s="72">
        <f>SUM(N18:O18)*Inputs!$C$22*(1-Inputs!$C$13)/Inputs!$C$15</f>
        <v>1239.1313599999999</v>
      </c>
      <c r="X18" s="15">
        <v>0</v>
      </c>
      <c r="Y18" s="71">
        <f>IF($X18&gt;0,$X18,$G18*LOOKUP($D18,Inputs!$B$63:$B$74,Inputs!$H$63:$H$74)/Inputs!$C$15)</f>
        <v>47.954000000000001</v>
      </c>
      <c r="Z18" s="71">
        <f t="shared" si="15"/>
        <v>47.954000000000001</v>
      </c>
      <c r="AA18" s="108">
        <f>VLOOKUP(J18,Inputs!$D$127:$H$129,5,FALSE)</f>
        <v>1.2371134020618557</v>
      </c>
      <c r="AB18" s="108">
        <f t="shared" si="16"/>
        <v>59.324536082474232</v>
      </c>
      <c r="AC18" s="1"/>
      <c r="AD18" s="27">
        <v>1534528</v>
      </c>
      <c r="AE18" s="27">
        <v>1381075.2</v>
      </c>
      <c r="AF18" s="27">
        <v>153452.80000000002</v>
      </c>
      <c r="AG18" s="27">
        <v>0</v>
      </c>
      <c r="AH18" s="27">
        <v>0</v>
      </c>
      <c r="AI18" s="33" t="str">
        <f t="shared" si="5"/>
        <v/>
      </c>
      <c r="AJ18" s="33" t="str">
        <f t="shared" si="6"/>
        <v/>
      </c>
      <c r="AK18" s="33" t="str">
        <f t="shared" si="7"/>
        <v/>
      </c>
      <c r="AL18" s="33" t="str">
        <f t="shared" si="8"/>
        <v/>
      </c>
      <c r="AM18" s="33" t="str">
        <f t="shared" si="9"/>
        <v/>
      </c>
      <c r="AN18" s="28">
        <v>0.9</v>
      </c>
      <c r="AO18" s="28">
        <v>0.1</v>
      </c>
      <c r="AP18" s="28">
        <v>0</v>
      </c>
      <c r="AQ18" s="28">
        <v>0</v>
      </c>
      <c r="AR18" s="33" t="str">
        <f t="shared" si="10"/>
        <v/>
      </c>
      <c r="AS18" s="33" t="str">
        <f t="shared" si="11"/>
        <v/>
      </c>
      <c r="AT18" s="33" t="str">
        <f t="shared" si="12"/>
        <v/>
      </c>
      <c r="AU18" s="33" t="str">
        <f t="shared" si="13"/>
        <v/>
      </c>
    </row>
    <row r="19" spans="1:47" x14ac:dyDescent="0.25">
      <c r="A19" s="1"/>
      <c r="B19" s="24">
        <v>1220</v>
      </c>
      <c r="C19" s="24" t="s">
        <v>55</v>
      </c>
      <c r="D19" s="54" t="s">
        <v>31</v>
      </c>
      <c r="E19" s="55">
        <v>1964</v>
      </c>
      <c r="F19" s="55"/>
      <c r="G19" s="27">
        <v>94175</v>
      </c>
      <c r="H19" s="15" t="s">
        <v>177</v>
      </c>
      <c r="I19" s="50" t="s">
        <v>261</v>
      </c>
      <c r="J19" s="8" t="str">
        <f>VLOOKUP($G19,Inputs!$B$127:$F$129,3,TRUE)</f>
        <v>Packaged VAV, DX</v>
      </c>
      <c r="L19" s="46">
        <v>32</v>
      </c>
      <c r="M19" s="29">
        <f t="shared" si="14"/>
        <v>3013600</v>
      </c>
      <c r="N19" s="29">
        <f t="shared" si="0"/>
        <v>2410880</v>
      </c>
      <c r="O19" s="29">
        <f t="shared" si="1"/>
        <v>602720</v>
      </c>
      <c r="P19" s="29">
        <f t="shared" si="2"/>
        <v>0</v>
      </c>
      <c r="Q19" s="29">
        <f t="shared" si="3"/>
        <v>0</v>
      </c>
      <c r="R19" s="31">
        <f>LOOKUP($D19,Inputs!$B$78:$B$89,Inputs!C$78:C$89)</f>
        <v>0.8</v>
      </c>
      <c r="S19" s="31">
        <f>LOOKUP($D19,Inputs!$B$78:$B$89,Inputs!D$78:D$89)</f>
        <v>0.2</v>
      </c>
      <c r="T19" s="31">
        <f>LOOKUP($D19,Inputs!$B$78:$B$89,Inputs!E$78:E$89)</f>
        <v>0</v>
      </c>
      <c r="U19" s="31">
        <f>LOOKUP($D19,Inputs!$B$78:$B$89,Inputs!F$78:F$89)</f>
        <v>0</v>
      </c>
      <c r="V19" s="13" t="str">
        <f t="shared" si="4"/>
        <v/>
      </c>
      <c r="W19" s="72">
        <f>SUM(N19:O19)*Inputs!$C$22*(1-Inputs!$C$13)/Inputs!$C$15</f>
        <v>2433.482</v>
      </c>
      <c r="X19" s="15">
        <v>125</v>
      </c>
      <c r="Y19" s="71">
        <f>IF($X19&gt;0,$X19,$G19*LOOKUP($D19,Inputs!$B$63:$B$74,Inputs!$H$63:$H$74)/Inputs!$C$15)</f>
        <v>125</v>
      </c>
      <c r="Z19" s="71">
        <f t="shared" si="15"/>
        <v>0</v>
      </c>
      <c r="AA19" s="108">
        <f>VLOOKUP(J19,Inputs!$D$127:$H$129,5,FALSE)</f>
        <v>1.2371134020618557</v>
      </c>
      <c r="AB19" s="108">
        <f t="shared" si="16"/>
        <v>0</v>
      </c>
      <c r="AC19" s="1"/>
      <c r="AD19" s="27">
        <v>3013600</v>
      </c>
      <c r="AE19" s="27">
        <v>2410880</v>
      </c>
      <c r="AF19" s="27">
        <v>602720</v>
      </c>
      <c r="AG19" s="27">
        <v>0</v>
      </c>
      <c r="AH19" s="27">
        <v>0</v>
      </c>
      <c r="AI19" s="33" t="str">
        <f t="shared" si="5"/>
        <v/>
      </c>
      <c r="AJ19" s="33" t="str">
        <f t="shared" si="6"/>
        <v/>
      </c>
      <c r="AK19" s="33" t="str">
        <f t="shared" si="7"/>
        <v/>
      </c>
      <c r="AL19" s="33" t="str">
        <f t="shared" si="8"/>
        <v/>
      </c>
      <c r="AM19" s="33" t="str">
        <f t="shared" si="9"/>
        <v/>
      </c>
      <c r="AN19" s="28">
        <v>0.8</v>
      </c>
      <c r="AO19" s="28">
        <v>0.2</v>
      </c>
      <c r="AP19" s="28">
        <v>0</v>
      </c>
      <c r="AQ19" s="28">
        <v>0</v>
      </c>
      <c r="AR19" s="33" t="str">
        <f t="shared" si="10"/>
        <v/>
      </c>
      <c r="AS19" s="33" t="str">
        <f t="shared" si="11"/>
        <v/>
      </c>
      <c r="AT19" s="33" t="str">
        <f t="shared" si="12"/>
        <v/>
      </c>
      <c r="AU19" s="33" t="str">
        <f t="shared" si="13"/>
        <v/>
      </c>
    </row>
    <row r="20" spans="1:47" x14ac:dyDescent="0.25">
      <c r="A20" s="1"/>
      <c r="B20" s="24">
        <v>1322</v>
      </c>
      <c r="C20" s="24" t="s">
        <v>56</v>
      </c>
      <c r="D20" s="54" t="s">
        <v>30</v>
      </c>
      <c r="E20" s="55">
        <v>1914</v>
      </c>
      <c r="F20" s="56"/>
      <c r="G20" s="27">
        <v>23815</v>
      </c>
      <c r="H20" s="15" t="s">
        <v>177</v>
      </c>
      <c r="I20" s="15" t="s">
        <v>260</v>
      </c>
      <c r="J20" s="8" t="str">
        <f>VLOOKUP($G20,Inputs!$B$127:$F$129,3,TRUE)</f>
        <v>Packaged VAV, DX</v>
      </c>
      <c r="L20" s="46">
        <v>29.6</v>
      </c>
      <c r="M20" s="29">
        <f t="shared" si="14"/>
        <v>704924</v>
      </c>
      <c r="N20" s="29">
        <f t="shared" si="0"/>
        <v>610934.1333333333</v>
      </c>
      <c r="O20" s="29">
        <f t="shared" si="1"/>
        <v>93989.866666666669</v>
      </c>
      <c r="P20" s="29">
        <f t="shared" si="2"/>
        <v>0</v>
      </c>
      <c r="Q20" s="29">
        <f t="shared" si="3"/>
        <v>0</v>
      </c>
      <c r="R20" s="31">
        <f>LOOKUP($D20,Inputs!$B$78:$B$89,Inputs!C$78:C$89)</f>
        <v>0.8666666666666667</v>
      </c>
      <c r="S20" s="31">
        <f>LOOKUP($D20,Inputs!$B$78:$B$89,Inputs!D$78:D$89)</f>
        <v>0.13333333333333333</v>
      </c>
      <c r="T20" s="31">
        <f>LOOKUP($D20,Inputs!$B$78:$B$89,Inputs!E$78:E$89)</f>
        <v>0</v>
      </c>
      <c r="U20" s="31">
        <f>LOOKUP($D20,Inputs!$B$78:$B$89,Inputs!F$78:F$89)</f>
        <v>0</v>
      </c>
      <c r="V20" s="13" t="str">
        <f t="shared" si="4"/>
        <v/>
      </c>
      <c r="W20" s="72">
        <f>SUM(N20:O20)*Inputs!$C$22*(1-Inputs!$C$13)/Inputs!$C$15</f>
        <v>569.2261299999999</v>
      </c>
      <c r="X20" s="15">
        <v>0</v>
      </c>
      <c r="Y20" s="71">
        <f>IF($X20&gt;0,$X20,$G20*LOOKUP($D20,Inputs!$B$63:$B$74,Inputs!$H$63:$H$74)/Inputs!$C$15)</f>
        <v>35.722499999999997</v>
      </c>
      <c r="Z20" s="71">
        <f t="shared" si="15"/>
        <v>35.722499999999997</v>
      </c>
      <c r="AA20" s="108">
        <f>VLOOKUP(J20,Inputs!$D$127:$H$129,5,FALSE)</f>
        <v>1.2371134020618557</v>
      </c>
      <c r="AB20" s="108">
        <f t="shared" si="16"/>
        <v>44.192783505154637</v>
      </c>
      <c r="AC20" s="1"/>
      <c r="AD20" s="27">
        <v>704924</v>
      </c>
      <c r="AE20" s="27">
        <v>563939.20000000007</v>
      </c>
      <c r="AF20" s="27">
        <v>140984.80000000002</v>
      </c>
      <c r="AG20" s="27">
        <v>0</v>
      </c>
      <c r="AH20" s="27">
        <v>0</v>
      </c>
      <c r="AI20" s="33" t="str">
        <f t="shared" si="5"/>
        <v/>
      </c>
      <c r="AJ20" s="33" t="str">
        <f t="shared" si="6"/>
        <v>FLAG</v>
      </c>
      <c r="AK20" s="33" t="str">
        <f t="shared" si="7"/>
        <v>FLAG</v>
      </c>
      <c r="AL20" s="33" t="str">
        <f t="shared" si="8"/>
        <v/>
      </c>
      <c r="AM20" s="33" t="str">
        <f t="shared" si="9"/>
        <v/>
      </c>
      <c r="AN20" s="28">
        <v>0.8</v>
      </c>
      <c r="AO20" s="28">
        <v>0.2</v>
      </c>
      <c r="AP20" s="28">
        <v>0</v>
      </c>
      <c r="AQ20" s="28">
        <v>0</v>
      </c>
      <c r="AR20" s="33" t="str">
        <f t="shared" si="10"/>
        <v>FLAG</v>
      </c>
      <c r="AS20" s="33" t="str">
        <f t="shared" si="11"/>
        <v>FLAG</v>
      </c>
      <c r="AT20" s="33" t="str">
        <f t="shared" si="12"/>
        <v/>
      </c>
      <c r="AU20" s="33" t="str">
        <f t="shared" si="13"/>
        <v/>
      </c>
    </row>
    <row r="21" spans="1:47" x14ac:dyDescent="0.25">
      <c r="A21" s="1"/>
      <c r="B21" s="24">
        <v>1231</v>
      </c>
      <c r="C21" s="24" t="s">
        <v>57</v>
      </c>
      <c r="D21" s="54" t="s">
        <v>26</v>
      </c>
      <c r="E21" s="55">
        <v>1966</v>
      </c>
      <c r="F21" s="55"/>
      <c r="G21" s="27">
        <v>277521</v>
      </c>
      <c r="H21" s="15" t="s">
        <v>176</v>
      </c>
      <c r="I21" s="50" t="s">
        <v>262</v>
      </c>
      <c r="J21" s="8" t="str">
        <f>VLOOKUP($G21,Inputs!$B$127:$F$129,3,TRUE)</f>
        <v>Water-cooled chiller</v>
      </c>
      <c r="L21" s="46">
        <v>15.3</v>
      </c>
      <c r="M21" s="29">
        <f t="shared" si="14"/>
        <v>4246071.3</v>
      </c>
      <c r="N21" s="29">
        <f t="shared" si="0"/>
        <v>3821464.17</v>
      </c>
      <c r="O21" s="29">
        <f t="shared" si="1"/>
        <v>424607.13</v>
      </c>
      <c r="P21" s="29">
        <f t="shared" si="2"/>
        <v>0</v>
      </c>
      <c r="Q21" s="29">
        <f t="shared" si="3"/>
        <v>0</v>
      </c>
      <c r="R21" s="31">
        <f>LOOKUP($D21,Inputs!$B$78:$B$89,Inputs!C$78:C$89)</f>
        <v>0.9</v>
      </c>
      <c r="S21" s="31">
        <f>LOOKUP($D21,Inputs!$B$78:$B$89,Inputs!D$78:D$89)</f>
        <v>0.1</v>
      </c>
      <c r="T21" s="31">
        <f>LOOKUP($D21,Inputs!$B$78:$B$89,Inputs!E$78:E$89)</f>
        <v>0</v>
      </c>
      <c r="U21" s="31">
        <f>LOOKUP($D21,Inputs!$B$78:$B$89,Inputs!F$78:F$89)</f>
        <v>0</v>
      </c>
      <c r="V21" s="13" t="str">
        <f t="shared" si="4"/>
        <v/>
      </c>
      <c r="W21" s="72">
        <f>SUM(N21:O21)*Inputs!$C$22*(1-Inputs!$C$13)/Inputs!$C$15</f>
        <v>3428.7025747499993</v>
      </c>
      <c r="X21" s="15">
        <v>0</v>
      </c>
      <c r="Y21" s="71">
        <f>IF($X21&gt;0,$X21,$G21*LOOKUP($D21,Inputs!$B$63:$B$74,Inputs!$H$63:$H$74)/Inputs!$C$15)</f>
        <v>277.52100000000002</v>
      </c>
      <c r="Z21" s="71">
        <f t="shared" si="15"/>
        <v>277.52100000000002</v>
      </c>
      <c r="AA21" s="108">
        <f>VLOOKUP(J21,Inputs!$D$127:$H$129,5,FALSE)</f>
        <v>0.58499999999999996</v>
      </c>
      <c r="AB21" s="108">
        <f t="shared" si="16"/>
        <v>162.349785</v>
      </c>
      <c r="AC21" s="1"/>
      <c r="AD21" s="27">
        <v>4246071.3</v>
      </c>
      <c r="AE21" s="27">
        <v>3821464.17</v>
      </c>
      <c r="AF21" s="27">
        <v>424607.13</v>
      </c>
      <c r="AG21" s="27">
        <v>0</v>
      </c>
      <c r="AH21" s="27">
        <v>0</v>
      </c>
      <c r="AI21" s="33" t="str">
        <f t="shared" si="5"/>
        <v/>
      </c>
      <c r="AJ21" s="33" t="str">
        <f t="shared" si="6"/>
        <v/>
      </c>
      <c r="AK21" s="33" t="str">
        <f t="shared" si="7"/>
        <v/>
      </c>
      <c r="AL21" s="33" t="str">
        <f t="shared" si="8"/>
        <v/>
      </c>
      <c r="AM21" s="33" t="str">
        <f t="shared" si="9"/>
        <v/>
      </c>
      <c r="AN21" s="28">
        <v>0.9</v>
      </c>
      <c r="AO21" s="28">
        <v>0.1</v>
      </c>
      <c r="AP21" s="28">
        <v>0</v>
      </c>
      <c r="AQ21" s="28">
        <v>0</v>
      </c>
      <c r="AR21" s="33" t="str">
        <f t="shared" si="10"/>
        <v/>
      </c>
      <c r="AS21" s="33" t="str">
        <f t="shared" si="11"/>
        <v/>
      </c>
      <c r="AT21" s="33" t="str">
        <f t="shared" si="12"/>
        <v/>
      </c>
      <c r="AU21" s="33" t="str">
        <f t="shared" si="13"/>
        <v/>
      </c>
    </row>
    <row r="22" spans="1:47" x14ac:dyDescent="0.25">
      <c r="A22" s="1"/>
      <c r="B22" s="24">
        <v>1230</v>
      </c>
      <c r="C22" s="24" t="s">
        <v>58</v>
      </c>
      <c r="D22" s="54" t="s">
        <v>32</v>
      </c>
      <c r="E22" s="55">
        <v>1929</v>
      </c>
      <c r="F22" s="55"/>
      <c r="G22" s="27">
        <v>73700</v>
      </c>
      <c r="H22" s="15" t="s">
        <v>177</v>
      </c>
      <c r="I22" s="50" t="s">
        <v>263</v>
      </c>
      <c r="J22" s="8" t="str">
        <f>VLOOKUP($G22,Inputs!$B$127:$F$129,3,TRUE)</f>
        <v>Packaged VAV, DX</v>
      </c>
      <c r="L22" s="46">
        <v>13.6</v>
      </c>
      <c r="M22" s="29">
        <f t="shared" si="14"/>
        <v>1002320</v>
      </c>
      <c r="N22" s="29">
        <f t="shared" si="0"/>
        <v>501160</v>
      </c>
      <c r="O22" s="29">
        <f t="shared" si="1"/>
        <v>501160</v>
      </c>
      <c r="P22" s="29">
        <f t="shared" si="2"/>
        <v>0</v>
      </c>
      <c r="Q22" s="29">
        <f t="shared" si="3"/>
        <v>0</v>
      </c>
      <c r="R22" s="31">
        <f>LOOKUP($D22,Inputs!$B$78:$B$89,Inputs!C$78:C$89)</f>
        <v>0.5</v>
      </c>
      <c r="S22" s="31">
        <f>LOOKUP($D22,Inputs!$B$78:$B$89,Inputs!D$78:D$89)</f>
        <v>0.5</v>
      </c>
      <c r="T22" s="31">
        <f>LOOKUP($D22,Inputs!$B$78:$B$89,Inputs!E$78:E$89)</f>
        <v>0</v>
      </c>
      <c r="U22" s="31">
        <f>LOOKUP($D22,Inputs!$B$78:$B$89,Inputs!F$78:F$89)</f>
        <v>0</v>
      </c>
      <c r="V22" s="13" t="str">
        <f t="shared" si="4"/>
        <v/>
      </c>
      <c r="W22" s="72">
        <f>SUM(N22:O22)*Inputs!$C$22*(1-Inputs!$C$13)/Inputs!$C$15</f>
        <v>809.37340000000006</v>
      </c>
      <c r="X22" s="15">
        <v>0</v>
      </c>
      <c r="Y22" s="71">
        <f>IF($X22&gt;0,$X22,$G22*LOOKUP($D22,Inputs!$B$63:$B$74,Inputs!$H$63:$H$74)/Inputs!$C$15)</f>
        <v>51.59</v>
      </c>
      <c r="Z22" s="71">
        <f t="shared" si="15"/>
        <v>51.59</v>
      </c>
      <c r="AA22" s="108">
        <f>VLOOKUP(J22,Inputs!$D$127:$H$129,5,FALSE)</f>
        <v>1.2371134020618557</v>
      </c>
      <c r="AB22" s="108">
        <f t="shared" si="16"/>
        <v>63.822680412371142</v>
      </c>
      <c r="AC22" s="1"/>
      <c r="AD22" s="27">
        <v>1002320</v>
      </c>
      <c r="AE22" s="27">
        <v>501160</v>
      </c>
      <c r="AF22" s="27">
        <v>501160</v>
      </c>
      <c r="AG22" s="27">
        <v>0</v>
      </c>
      <c r="AH22" s="27">
        <v>0</v>
      </c>
      <c r="AI22" s="33" t="str">
        <f t="shared" si="5"/>
        <v/>
      </c>
      <c r="AJ22" s="33" t="str">
        <f t="shared" si="6"/>
        <v/>
      </c>
      <c r="AK22" s="33" t="str">
        <f t="shared" si="7"/>
        <v/>
      </c>
      <c r="AL22" s="33" t="str">
        <f t="shared" si="8"/>
        <v/>
      </c>
      <c r="AM22" s="33" t="str">
        <f t="shared" si="9"/>
        <v/>
      </c>
      <c r="AN22" s="28">
        <v>0.5</v>
      </c>
      <c r="AO22" s="28">
        <v>0.5</v>
      </c>
      <c r="AP22" s="28">
        <v>0</v>
      </c>
      <c r="AQ22" s="28">
        <v>0</v>
      </c>
      <c r="AR22" s="33" t="str">
        <f t="shared" si="10"/>
        <v/>
      </c>
      <c r="AS22" s="33" t="str">
        <f t="shared" si="11"/>
        <v/>
      </c>
      <c r="AT22" s="33" t="str">
        <f t="shared" si="12"/>
        <v/>
      </c>
      <c r="AU22" s="33" t="str">
        <f t="shared" si="13"/>
        <v/>
      </c>
    </row>
    <row r="23" spans="1:47" x14ac:dyDescent="0.25">
      <c r="A23" s="1"/>
      <c r="B23" s="24">
        <v>1270</v>
      </c>
      <c r="C23" s="24" t="s">
        <v>59</v>
      </c>
      <c r="D23" s="54" t="s">
        <v>21</v>
      </c>
      <c r="E23" s="55">
        <v>1905</v>
      </c>
      <c r="F23" s="55"/>
      <c r="G23" s="27">
        <v>56343</v>
      </c>
      <c r="H23" s="15" t="s">
        <v>177</v>
      </c>
      <c r="I23" s="50" t="s">
        <v>281</v>
      </c>
      <c r="J23" s="8" t="str">
        <f>VLOOKUP($G23,Inputs!$B$127:$F$129,3,TRUE)</f>
        <v>Packaged VAV, DX</v>
      </c>
      <c r="L23" s="46">
        <v>22.2</v>
      </c>
      <c r="M23" s="29">
        <f t="shared" si="14"/>
        <v>1250814.5999999999</v>
      </c>
      <c r="N23" s="29">
        <f t="shared" si="0"/>
        <v>1125733.1399999999</v>
      </c>
      <c r="O23" s="29">
        <f t="shared" si="1"/>
        <v>125081.45999999999</v>
      </c>
      <c r="P23" s="29">
        <f t="shared" si="2"/>
        <v>0</v>
      </c>
      <c r="Q23" s="29">
        <f t="shared" si="3"/>
        <v>0</v>
      </c>
      <c r="R23" s="31">
        <f>LOOKUP($D23,Inputs!$B$78:$B$89,Inputs!C$78:C$89)</f>
        <v>0.9</v>
      </c>
      <c r="S23" s="31">
        <f>LOOKUP($D23,Inputs!$B$78:$B$89,Inputs!D$78:D$89)</f>
        <v>0.1</v>
      </c>
      <c r="T23" s="31">
        <f>LOOKUP($D23,Inputs!$B$78:$B$89,Inputs!E$78:E$89)</f>
        <v>0</v>
      </c>
      <c r="U23" s="31">
        <f>LOOKUP($D23,Inputs!$B$78:$B$89,Inputs!F$78:F$89)</f>
        <v>0</v>
      </c>
      <c r="V23" s="13" t="str">
        <f t="shared" si="4"/>
        <v/>
      </c>
      <c r="W23" s="72">
        <f>SUM(N23:O23)*Inputs!$C$22*(1-Inputs!$C$13)/Inputs!$C$15</f>
        <v>1010.0327894999998</v>
      </c>
      <c r="X23" s="15">
        <v>0</v>
      </c>
      <c r="Y23" s="71">
        <f>IF($X23&gt;0,$X23,$G23*LOOKUP($D23,Inputs!$B$63:$B$74,Inputs!$H$63:$H$74)/Inputs!$C$15)</f>
        <v>56.343000000000004</v>
      </c>
      <c r="Z23" s="71">
        <f t="shared" si="15"/>
        <v>56.343000000000004</v>
      </c>
      <c r="AA23" s="108">
        <f>VLOOKUP(J23,Inputs!$D$127:$H$129,5,FALSE)</f>
        <v>1.2371134020618557</v>
      </c>
      <c r="AB23" s="108">
        <f t="shared" si="16"/>
        <v>69.702680412371137</v>
      </c>
      <c r="AC23" s="1"/>
      <c r="AD23" s="27">
        <v>1250814.5999999999</v>
      </c>
      <c r="AE23" s="27">
        <v>1125733.1399999999</v>
      </c>
      <c r="AF23" s="27">
        <v>125081.45999999999</v>
      </c>
      <c r="AG23" s="27">
        <v>0</v>
      </c>
      <c r="AH23" s="27">
        <v>0</v>
      </c>
      <c r="AI23" s="33" t="str">
        <f t="shared" si="5"/>
        <v/>
      </c>
      <c r="AJ23" s="33" t="str">
        <f t="shared" si="6"/>
        <v/>
      </c>
      <c r="AK23" s="33" t="str">
        <f t="shared" si="7"/>
        <v/>
      </c>
      <c r="AL23" s="33" t="str">
        <f t="shared" si="8"/>
        <v/>
      </c>
      <c r="AM23" s="33" t="str">
        <f t="shared" si="9"/>
        <v/>
      </c>
      <c r="AN23" s="28">
        <v>0.9</v>
      </c>
      <c r="AO23" s="28">
        <v>0.1</v>
      </c>
      <c r="AP23" s="28">
        <v>0</v>
      </c>
      <c r="AQ23" s="28">
        <v>0</v>
      </c>
      <c r="AR23" s="33" t="str">
        <f t="shared" si="10"/>
        <v/>
      </c>
      <c r="AS23" s="33" t="str">
        <f t="shared" si="11"/>
        <v/>
      </c>
      <c r="AT23" s="33" t="str">
        <f t="shared" si="12"/>
        <v/>
      </c>
      <c r="AU23" s="33" t="str">
        <f t="shared" si="13"/>
        <v/>
      </c>
    </row>
    <row r="24" spans="1:47" x14ac:dyDescent="0.25">
      <c r="A24" s="1"/>
      <c r="B24" s="24">
        <v>1271</v>
      </c>
      <c r="C24" s="24" t="s">
        <v>60</v>
      </c>
      <c r="D24" s="54" t="s">
        <v>22</v>
      </c>
      <c r="E24" s="55">
        <v>1923</v>
      </c>
      <c r="F24" s="55"/>
      <c r="G24" s="27">
        <v>261091</v>
      </c>
      <c r="H24" s="15" t="s">
        <v>176</v>
      </c>
      <c r="I24" s="50" t="s">
        <v>262</v>
      </c>
      <c r="J24" s="8" t="str">
        <f>VLOOKUP($G24,Inputs!$B$127:$F$129,3,TRUE)</f>
        <v>Water-cooled chiller</v>
      </c>
      <c r="L24" s="46">
        <v>25.6</v>
      </c>
      <c r="M24" s="29">
        <f t="shared" si="14"/>
        <v>6683929.6000000006</v>
      </c>
      <c r="N24" s="29">
        <f t="shared" si="0"/>
        <v>4010357.7600000002</v>
      </c>
      <c r="O24" s="29">
        <f t="shared" si="1"/>
        <v>2673571.8400000003</v>
      </c>
      <c r="P24" s="29">
        <f t="shared" si="2"/>
        <v>0</v>
      </c>
      <c r="Q24" s="29">
        <f t="shared" si="3"/>
        <v>0</v>
      </c>
      <c r="R24" s="31">
        <f>LOOKUP($D24,Inputs!$B$78:$B$89,Inputs!C$78:C$89)</f>
        <v>0.6</v>
      </c>
      <c r="S24" s="31">
        <f>LOOKUP($D24,Inputs!$B$78:$B$89,Inputs!D$78:D$89)</f>
        <v>0.4</v>
      </c>
      <c r="T24" s="31">
        <f>LOOKUP($D24,Inputs!$B$78:$B$89,Inputs!E$78:E$89)</f>
        <v>0</v>
      </c>
      <c r="U24" s="31">
        <f>LOOKUP($D24,Inputs!$B$78:$B$89,Inputs!F$78:F$89)</f>
        <v>0</v>
      </c>
      <c r="V24" s="13" t="str">
        <f t="shared" si="4"/>
        <v/>
      </c>
      <c r="W24" s="72">
        <f>SUM(N24:O24)*Inputs!$C$22*(1-Inputs!$C$13)/Inputs!$C$15</f>
        <v>5397.2731519999998</v>
      </c>
      <c r="X24" s="15">
        <v>0</v>
      </c>
      <c r="Y24" s="71">
        <f>IF($X24&gt;0,$X24,$G24*LOOKUP($D24,Inputs!$B$63:$B$74,Inputs!$H$63:$H$74)/Inputs!$C$15)</f>
        <v>261.09100000000001</v>
      </c>
      <c r="Z24" s="71">
        <f t="shared" si="15"/>
        <v>261.09100000000001</v>
      </c>
      <c r="AA24" s="108">
        <f>VLOOKUP(J24,Inputs!$D$127:$H$129,5,FALSE)</f>
        <v>0.58499999999999996</v>
      </c>
      <c r="AB24" s="108">
        <f t="shared" si="16"/>
        <v>152.738235</v>
      </c>
      <c r="AC24" s="1"/>
      <c r="AD24" s="27">
        <v>6683929.6000000006</v>
      </c>
      <c r="AE24" s="27">
        <v>4010357.7600000002</v>
      </c>
      <c r="AF24" s="27">
        <v>2673571.8400000003</v>
      </c>
      <c r="AG24" s="27">
        <v>0</v>
      </c>
      <c r="AH24" s="27">
        <v>0</v>
      </c>
      <c r="AI24" s="33" t="str">
        <f t="shared" si="5"/>
        <v/>
      </c>
      <c r="AJ24" s="33" t="str">
        <f t="shared" si="6"/>
        <v/>
      </c>
      <c r="AK24" s="33" t="str">
        <f t="shared" si="7"/>
        <v/>
      </c>
      <c r="AL24" s="33" t="str">
        <f t="shared" si="8"/>
        <v/>
      </c>
      <c r="AM24" s="33" t="str">
        <f t="shared" si="9"/>
        <v/>
      </c>
      <c r="AN24" s="28">
        <v>0.6</v>
      </c>
      <c r="AO24" s="28">
        <v>0.4</v>
      </c>
      <c r="AP24" s="28">
        <v>0</v>
      </c>
      <c r="AQ24" s="28">
        <v>0</v>
      </c>
      <c r="AR24" s="33" t="str">
        <f t="shared" si="10"/>
        <v/>
      </c>
      <c r="AS24" s="33" t="str">
        <f t="shared" si="11"/>
        <v/>
      </c>
      <c r="AT24" s="33" t="str">
        <f t="shared" si="12"/>
        <v/>
      </c>
      <c r="AU24" s="33" t="str">
        <f t="shared" si="13"/>
        <v/>
      </c>
    </row>
    <row r="25" spans="1:47" s="1" customFormat="1" x14ac:dyDescent="0.25">
      <c r="B25" s="24">
        <v>1799</v>
      </c>
      <c r="C25" s="24" t="s">
        <v>61</v>
      </c>
      <c r="D25" s="54" t="s">
        <v>24</v>
      </c>
      <c r="E25" s="55">
        <v>1963</v>
      </c>
      <c r="F25" s="55"/>
      <c r="G25" s="27">
        <v>33167</v>
      </c>
      <c r="H25" s="15" t="s">
        <v>176</v>
      </c>
      <c r="I25" s="50" t="s">
        <v>262</v>
      </c>
      <c r="J25" s="8" t="str">
        <f>VLOOKUP($G25,Inputs!$B$127:$F$129,3,TRUE)</f>
        <v>Packaged VAV, DX</v>
      </c>
      <c r="L25" s="46">
        <v>35</v>
      </c>
      <c r="M25" s="29">
        <f t="shared" si="14"/>
        <v>1160845</v>
      </c>
      <c r="N25" s="29">
        <f t="shared" si="0"/>
        <v>650073.19999999995</v>
      </c>
      <c r="O25" s="29">
        <f t="shared" si="1"/>
        <v>162518.29999999999</v>
      </c>
      <c r="P25" s="29">
        <f t="shared" si="2"/>
        <v>0</v>
      </c>
      <c r="Q25" s="29">
        <f t="shared" si="3"/>
        <v>348253.5</v>
      </c>
      <c r="R25" s="31">
        <f>LOOKUP($D25,Inputs!$B$78:$B$89,Inputs!C$78:C$89)*(1-$U25)</f>
        <v>0.55999999999999994</v>
      </c>
      <c r="S25" s="31">
        <f>LOOKUP($D25,Inputs!$B$78:$B$89,Inputs!D$78:D$89)*(1-$U25)</f>
        <v>0.13999999999999999</v>
      </c>
      <c r="T25" s="31">
        <f>LOOKUP($D25,Inputs!$B$78:$B$89,Inputs!E$78:E$89)*(1-$U25)</f>
        <v>0</v>
      </c>
      <c r="U25" s="48">
        <v>0.3</v>
      </c>
      <c r="V25" s="13" t="str">
        <f t="shared" si="4"/>
        <v/>
      </c>
      <c r="W25" s="72">
        <f>SUM(N25:O25)*Inputs!$C$22*(1-Inputs!$C$13)/Inputs!$C$15</f>
        <v>656.16763624999999</v>
      </c>
      <c r="X25" s="15">
        <v>85</v>
      </c>
      <c r="Y25" s="71">
        <f>IF($X25&gt;0,$X25,$G25*LOOKUP($D25,Inputs!$B$63:$B$74,Inputs!$H$63:$H$74)/Inputs!$C$15)</f>
        <v>85</v>
      </c>
      <c r="Z25" s="71">
        <f t="shared" si="15"/>
        <v>0</v>
      </c>
      <c r="AA25" s="108">
        <f>VLOOKUP(J25,Inputs!$D$127:$H$129,5,FALSE)</f>
        <v>1.2371134020618557</v>
      </c>
      <c r="AB25" s="108">
        <f t="shared" si="16"/>
        <v>0</v>
      </c>
      <c r="AD25" s="27">
        <v>1160845</v>
      </c>
      <c r="AE25" s="27">
        <v>650073.19999999995</v>
      </c>
      <c r="AF25" s="27">
        <v>162518.29999999999</v>
      </c>
      <c r="AG25" s="27">
        <v>0</v>
      </c>
      <c r="AH25" s="27">
        <v>348253.5</v>
      </c>
      <c r="AI25" s="33" t="str">
        <f t="shared" si="5"/>
        <v/>
      </c>
      <c r="AJ25" s="33" t="str">
        <f t="shared" si="6"/>
        <v/>
      </c>
      <c r="AK25" s="33" t="str">
        <f t="shared" si="7"/>
        <v/>
      </c>
      <c r="AL25" s="33" t="str">
        <f t="shared" si="8"/>
        <v/>
      </c>
      <c r="AM25" s="33" t="str">
        <f t="shared" si="9"/>
        <v/>
      </c>
      <c r="AN25" s="28">
        <v>0.55999999999999994</v>
      </c>
      <c r="AO25" s="28">
        <v>0.13999999999999999</v>
      </c>
      <c r="AP25" s="28">
        <v>0</v>
      </c>
      <c r="AQ25" s="28">
        <v>0.3</v>
      </c>
      <c r="AR25" s="33" t="str">
        <f t="shared" si="10"/>
        <v/>
      </c>
      <c r="AS25" s="33" t="str">
        <f t="shared" si="11"/>
        <v/>
      </c>
      <c r="AT25" s="33" t="str">
        <f t="shared" si="12"/>
        <v/>
      </c>
      <c r="AU25" s="33" t="str">
        <f t="shared" si="13"/>
        <v/>
      </c>
    </row>
    <row r="26" spans="1:47" s="1" customFormat="1" x14ac:dyDescent="0.25">
      <c r="B26" s="24">
        <v>1374</v>
      </c>
      <c r="C26" s="24" t="s">
        <v>62</v>
      </c>
      <c r="D26" s="54" t="s">
        <v>63</v>
      </c>
      <c r="E26" s="55">
        <v>1930</v>
      </c>
      <c r="F26" s="55"/>
      <c r="G26" s="27">
        <v>20385</v>
      </c>
      <c r="H26" s="15" t="s">
        <v>16</v>
      </c>
      <c r="I26" s="50" t="s">
        <v>264</v>
      </c>
      <c r="J26" s="8" t="str">
        <f>VLOOKUP($G26,Inputs!$B$127:$F$129,3,TRUE)</f>
        <v>Packaged VAV, DX</v>
      </c>
      <c r="L26" s="46">
        <v>0</v>
      </c>
      <c r="M26" s="29">
        <f t="shared" si="14"/>
        <v>0</v>
      </c>
      <c r="N26" s="29">
        <f t="shared" si="0"/>
        <v>0</v>
      </c>
      <c r="O26" s="29">
        <f t="shared" si="1"/>
        <v>0</v>
      </c>
      <c r="P26" s="29">
        <f t="shared" si="2"/>
        <v>0</v>
      </c>
      <c r="Q26" s="29">
        <f t="shared" si="3"/>
        <v>0</v>
      </c>
      <c r="R26" s="48">
        <v>0</v>
      </c>
      <c r="S26" s="48">
        <v>0</v>
      </c>
      <c r="T26" s="48">
        <v>0</v>
      </c>
      <c r="U26" s="48">
        <v>0</v>
      </c>
      <c r="V26" s="13" t="str">
        <f t="shared" si="4"/>
        <v>FLAG</v>
      </c>
      <c r="W26" s="72">
        <f>SUM(N26:O26)*Inputs!$C$22*(1-Inputs!$C$13)/Inputs!$C$15</f>
        <v>0</v>
      </c>
      <c r="X26" s="15">
        <v>0</v>
      </c>
      <c r="Y26" s="71">
        <f>IF($X26&gt;0,$X26,$G26*LOOKUP($D26,Inputs!$B$63:$B$74,Inputs!$H$63:$H$74)/Inputs!$C$15)</f>
        <v>20.385000000000002</v>
      </c>
      <c r="Z26" s="71">
        <f t="shared" si="15"/>
        <v>20.385000000000002</v>
      </c>
      <c r="AA26" s="108">
        <f>VLOOKUP(J26,Inputs!$D$127:$H$129,5,FALSE)</f>
        <v>1.2371134020618557</v>
      </c>
      <c r="AB26" s="108">
        <f t="shared" si="16"/>
        <v>25.218556701030931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33" t="str">
        <f t="shared" si="5"/>
        <v/>
      </c>
      <c r="AJ26" s="33" t="str">
        <f t="shared" si="6"/>
        <v/>
      </c>
      <c r="AK26" s="33" t="str">
        <f t="shared" si="7"/>
        <v/>
      </c>
      <c r="AL26" s="33" t="str">
        <f t="shared" si="8"/>
        <v/>
      </c>
      <c r="AM26" s="33" t="str">
        <f t="shared" si="9"/>
        <v/>
      </c>
      <c r="AN26" s="28">
        <v>0</v>
      </c>
      <c r="AO26" s="28">
        <v>0</v>
      </c>
      <c r="AP26" s="28">
        <v>0</v>
      </c>
      <c r="AQ26" s="28">
        <v>0</v>
      </c>
      <c r="AR26" s="33" t="str">
        <f t="shared" si="10"/>
        <v/>
      </c>
      <c r="AS26" s="33" t="str">
        <f t="shared" si="11"/>
        <v/>
      </c>
      <c r="AT26" s="33" t="str">
        <f t="shared" si="12"/>
        <v/>
      </c>
      <c r="AU26" s="33" t="str">
        <f t="shared" si="13"/>
        <v/>
      </c>
    </row>
    <row r="27" spans="1:47" s="1" customFormat="1" x14ac:dyDescent="0.25">
      <c r="B27" s="24">
        <v>1784</v>
      </c>
      <c r="C27" s="24" t="s">
        <v>64</v>
      </c>
      <c r="D27" s="54" t="s">
        <v>21</v>
      </c>
      <c r="E27" s="55">
        <v>1960</v>
      </c>
      <c r="F27" s="55"/>
      <c r="G27" s="27">
        <v>104016</v>
      </c>
      <c r="H27" s="15" t="s">
        <v>173</v>
      </c>
      <c r="I27" s="50" t="s">
        <v>257</v>
      </c>
      <c r="J27" s="8" t="str">
        <f>VLOOKUP($G27,Inputs!$B$127:$F$129,3,TRUE)</f>
        <v>Packaged VAV, DX</v>
      </c>
      <c r="L27" s="46">
        <v>18.8</v>
      </c>
      <c r="M27" s="29">
        <f t="shared" si="14"/>
        <v>1955500.8</v>
      </c>
      <c r="N27" s="29">
        <f t="shared" si="0"/>
        <v>1759950.72</v>
      </c>
      <c r="O27" s="29">
        <f t="shared" si="1"/>
        <v>195550.08000000002</v>
      </c>
      <c r="P27" s="29">
        <f t="shared" si="2"/>
        <v>0</v>
      </c>
      <c r="Q27" s="29">
        <f t="shared" si="3"/>
        <v>0</v>
      </c>
      <c r="R27" s="31">
        <f>LOOKUP($D27,Inputs!$B$78:$B$89,Inputs!C$78:C$89)</f>
        <v>0.9</v>
      </c>
      <c r="S27" s="31">
        <f>LOOKUP($D27,Inputs!$B$78:$B$89,Inputs!D$78:D$89)</f>
        <v>0.1</v>
      </c>
      <c r="T27" s="31">
        <f>LOOKUP($D27,Inputs!$B$78:$B$89,Inputs!E$78:E$89)</f>
        <v>0</v>
      </c>
      <c r="U27" s="31">
        <f>LOOKUP($D27,Inputs!$B$78:$B$89,Inputs!F$78:F$89)</f>
        <v>0</v>
      </c>
      <c r="V27" s="13" t="str">
        <f t="shared" si="4"/>
        <v/>
      </c>
      <c r="W27" s="72">
        <f>SUM(N27:O27)*Inputs!$C$22*(1-Inputs!$C$13)/Inputs!$C$15</f>
        <v>1579.066896</v>
      </c>
      <c r="X27" s="15">
        <v>0</v>
      </c>
      <c r="Y27" s="71">
        <f>IF($X27&gt;0,$X27,$G27*LOOKUP($D27,Inputs!$B$63:$B$74,Inputs!$H$63:$H$74)/Inputs!$C$15)</f>
        <v>104.01600000000001</v>
      </c>
      <c r="Z27" s="71">
        <f t="shared" si="15"/>
        <v>104.01600000000001</v>
      </c>
      <c r="AA27" s="108">
        <f>VLOOKUP(J27,Inputs!$D$127:$H$129,5,FALSE)</f>
        <v>1.2371134020618557</v>
      </c>
      <c r="AB27" s="108">
        <f t="shared" si="16"/>
        <v>128.67958762886599</v>
      </c>
      <c r="AD27" s="27">
        <v>1955500.8</v>
      </c>
      <c r="AE27" s="27">
        <v>1759950.72</v>
      </c>
      <c r="AF27" s="27">
        <v>195550.08000000002</v>
      </c>
      <c r="AG27" s="27">
        <v>0</v>
      </c>
      <c r="AH27" s="27">
        <v>0</v>
      </c>
      <c r="AI27" s="33" t="str">
        <f t="shared" si="5"/>
        <v/>
      </c>
      <c r="AJ27" s="33" t="str">
        <f t="shared" si="6"/>
        <v/>
      </c>
      <c r="AK27" s="33" t="str">
        <f t="shared" si="7"/>
        <v/>
      </c>
      <c r="AL27" s="33" t="str">
        <f t="shared" si="8"/>
        <v/>
      </c>
      <c r="AM27" s="33" t="str">
        <f t="shared" si="9"/>
        <v/>
      </c>
      <c r="AN27" s="28">
        <v>0.9</v>
      </c>
      <c r="AO27" s="28">
        <v>0.1</v>
      </c>
      <c r="AP27" s="28">
        <v>0</v>
      </c>
      <c r="AQ27" s="28">
        <v>0</v>
      </c>
      <c r="AR27" s="33" t="str">
        <f t="shared" si="10"/>
        <v/>
      </c>
      <c r="AS27" s="33" t="str">
        <f t="shared" si="11"/>
        <v/>
      </c>
      <c r="AT27" s="33" t="str">
        <f t="shared" si="12"/>
        <v/>
      </c>
      <c r="AU27" s="33" t="str">
        <f t="shared" si="13"/>
        <v/>
      </c>
    </row>
    <row r="28" spans="1:47" x14ac:dyDescent="0.25">
      <c r="A28" s="1"/>
      <c r="B28" s="24">
        <v>1233</v>
      </c>
      <c r="C28" s="24" t="s">
        <v>65</v>
      </c>
      <c r="D28" s="54" t="s">
        <v>26</v>
      </c>
      <c r="E28" s="55">
        <v>1995</v>
      </c>
      <c r="F28" s="55"/>
      <c r="G28" s="27">
        <v>32120</v>
      </c>
      <c r="H28" s="15" t="s">
        <v>176</v>
      </c>
      <c r="I28" s="50" t="s">
        <v>265</v>
      </c>
      <c r="J28" s="8" t="str">
        <f>VLOOKUP($G28,Inputs!$B$127:$F$129,3,TRUE)</f>
        <v>Packaged VAV, DX</v>
      </c>
      <c r="L28" s="46">
        <v>33.299999999999997</v>
      </c>
      <c r="M28" s="29">
        <f t="shared" si="14"/>
        <v>1069596</v>
      </c>
      <c r="N28" s="29">
        <f t="shared" si="0"/>
        <v>962636.4</v>
      </c>
      <c r="O28" s="29">
        <f t="shared" si="1"/>
        <v>106959.6</v>
      </c>
      <c r="P28" s="29">
        <f t="shared" si="2"/>
        <v>0</v>
      </c>
      <c r="Q28" s="29">
        <f t="shared" si="3"/>
        <v>0</v>
      </c>
      <c r="R28" s="31">
        <f>LOOKUP($D28,Inputs!$B$78:$B$89,Inputs!C$78:C$89)</f>
        <v>0.9</v>
      </c>
      <c r="S28" s="31">
        <f>LOOKUP($D28,Inputs!$B$78:$B$89,Inputs!D$78:D$89)</f>
        <v>0.1</v>
      </c>
      <c r="T28" s="31">
        <f>LOOKUP($D28,Inputs!$B$78:$B$89,Inputs!E$78:E$89)</f>
        <v>0</v>
      </c>
      <c r="U28" s="31">
        <f>LOOKUP($D28,Inputs!$B$78:$B$89,Inputs!F$78:F$89)</f>
        <v>0</v>
      </c>
      <c r="V28" s="13" t="str">
        <f t="shared" si="4"/>
        <v/>
      </c>
      <c r="W28" s="72">
        <f>SUM(N28:O28)*Inputs!$C$22*(1-Inputs!$C$13)/Inputs!$C$15</f>
        <v>863.69876999999985</v>
      </c>
      <c r="X28" s="15">
        <v>0</v>
      </c>
      <c r="Y28" s="71">
        <f>IF($X28&gt;0,$X28,$G28*LOOKUP($D28,Inputs!$B$63:$B$74,Inputs!$H$63:$H$74)/Inputs!$C$15)</f>
        <v>32.119999999999997</v>
      </c>
      <c r="Z28" s="71">
        <f t="shared" si="15"/>
        <v>32.119999999999997</v>
      </c>
      <c r="AA28" s="108">
        <f>VLOOKUP(J28,Inputs!$D$127:$H$129,5,FALSE)</f>
        <v>1.2371134020618557</v>
      </c>
      <c r="AB28" s="108">
        <f t="shared" si="16"/>
        <v>39.736082474226805</v>
      </c>
      <c r="AC28" s="1"/>
      <c r="AD28" s="27">
        <v>1069596</v>
      </c>
      <c r="AE28" s="27">
        <v>962636.4</v>
      </c>
      <c r="AF28" s="27">
        <v>106959.6</v>
      </c>
      <c r="AG28" s="27">
        <v>0</v>
      </c>
      <c r="AH28" s="27">
        <v>0</v>
      </c>
      <c r="AI28" s="33" t="str">
        <f t="shared" si="5"/>
        <v/>
      </c>
      <c r="AJ28" s="33" t="str">
        <f t="shared" si="6"/>
        <v/>
      </c>
      <c r="AK28" s="33" t="str">
        <f t="shared" si="7"/>
        <v/>
      </c>
      <c r="AL28" s="33" t="str">
        <f t="shared" si="8"/>
        <v/>
      </c>
      <c r="AM28" s="33" t="str">
        <f t="shared" si="9"/>
        <v/>
      </c>
      <c r="AN28" s="28">
        <v>0.9</v>
      </c>
      <c r="AO28" s="28">
        <v>0.1</v>
      </c>
      <c r="AP28" s="28">
        <v>0</v>
      </c>
      <c r="AQ28" s="28">
        <v>0</v>
      </c>
      <c r="AR28" s="33" t="str">
        <f t="shared" si="10"/>
        <v/>
      </c>
      <c r="AS28" s="33" t="str">
        <f t="shared" si="11"/>
        <v/>
      </c>
      <c r="AT28" s="33" t="str">
        <f t="shared" si="12"/>
        <v/>
      </c>
      <c r="AU28" s="33" t="str">
        <f t="shared" si="13"/>
        <v/>
      </c>
    </row>
    <row r="29" spans="1:47" s="1" customFormat="1" x14ac:dyDescent="0.25">
      <c r="B29" s="24">
        <v>1325</v>
      </c>
      <c r="C29" s="24" t="s">
        <v>66</v>
      </c>
      <c r="D29" s="54" t="s">
        <v>28</v>
      </c>
      <c r="E29" s="55">
        <v>1950</v>
      </c>
      <c r="F29" s="55"/>
      <c r="G29" s="27">
        <v>206054</v>
      </c>
      <c r="H29" s="15" t="s">
        <v>177</v>
      </c>
      <c r="I29" s="15" t="s">
        <v>260</v>
      </c>
      <c r="J29" s="8" t="str">
        <f>VLOOKUP($G29,Inputs!$B$127:$F$129,3,TRUE)</f>
        <v>Water-cooled chiller</v>
      </c>
      <c r="L29" s="46">
        <v>12.3</v>
      </c>
      <c r="M29" s="29">
        <f t="shared" si="14"/>
        <v>2534464.2000000002</v>
      </c>
      <c r="N29" s="29">
        <f t="shared" si="0"/>
        <v>2027571.3600000003</v>
      </c>
      <c r="O29" s="29">
        <f t="shared" si="1"/>
        <v>506892.84000000008</v>
      </c>
      <c r="P29" s="29">
        <f t="shared" si="2"/>
        <v>0</v>
      </c>
      <c r="Q29" s="29">
        <f t="shared" si="3"/>
        <v>0</v>
      </c>
      <c r="R29" s="31">
        <f>LOOKUP($D29,Inputs!$B$78:$B$89,Inputs!C$78:C$89)</f>
        <v>0.8</v>
      </c>
      <c r="S29" s="31">
        <f>LOOKUP($D29,Inputs!$B$78:$B$89,Inputs!D$78:D$89)</f>
        <v>0.2</v>
      </c>
      <c r="T29" s="31">
        <f>LOOKUP($D29,Inputs!$B$78:$B$89,Inputs!E$78:E$89)</f>
        <v>0</v>
      </c>
      <c r="U29" s="31">
        <f>LOOKUP($D29,Inputs!$B$78:$B$89,Inputs!F$78:F$89)</f>
        <v>0</v>
      </c>
      <c r="V29" s="13" t="str">
        <f t="shared" si="4"/>
        <v/>
      </c>
      <c r="W29" s="72">
        <f>SUM(N29:O29)*Inputs!$C$22*(1-Inputs!$C$13)/Inputs!$C$15</f>
        <v>2046.5798415000002</v>
      </c>
      <c r="X29" s="15">
        <v>150</v>
      </c>
      <c r="Y29" s="71">
        <f>IF($X29&gt;0,$X29,$G29*LOOKUP($D29,Inputs!$B$63:$B$74,Inputs!$H$63:$H$74)/Inputs!$C$15)</f>
        <v>150</v>
      </c>
      <c r="Z29" s="71">
        <f t="shared" si="15"/>
        <v>0</v>
      </c>
      <c r="AA29" s="108">
        <f>VLOOKUP(J29,Inputs!$D$127:$H$129,5,FALSE)</f>
        <v>0.58499999999999996</v>
      </c>
      <c r="AB29" s="108">
        <f t="shared" si="16"/>
        <v>0</v>
      </c>
      <c r="AD29" s="27">
        <v>2534464.2000000002</v>
      </c>
      <c r="AE29" s="27">
        <v>2027571.3600000003</v>
      </c>
      <c r="AF29" s="27">
        <v>506892.84000000008</v>
      </c>
      <c r="AG29" s="27">
        <v>0</v>
      </c>
      <c r="AH29" s="27">
        <v>0</v>
      </c>
      <c r="AI29" s="33" t="str">
        <f t="shared" si="5"/>
        <v/>
      </c>
      <c r="AJ29" s="33" t="str">
        <f t="shared" si="6"/>
        <v/>
      </c>
      <c r="AK29" s="33" t="str">
        <f t="shared" si="7"/>
        <v/>
      </c>
      <c r="AL29" s="33" t="str">
        <f t="shared" si="8"/>
        <v/>
      </c>
      <c r="AM29" s="33" t="str">
        <f t="shared" si="9"/>
        <v/>
      </c>
      <c r="AN29" s="28">
        <v>0.8</v>
      </c>
      <c r="AO29" s="28">
        <v>0.2</v>
      </c>
      <c r="AP29" s="28">
        <v>0</v>
      </c>
      <c r="AQ29" s="28">
        <v>0</v>
      </c>
      <c r="AR29" s="33" t="str">
        <f t="shared" si="10"/>
        <v/>
      </c>
      <c r="AS29" s="33" t="str">
        <f t="shared" si="11"/>
        <v/>
      </c>
      <c r="AT29" s="33" t="str">
        <f t="shared" si="12"/>
        <v/>
      </c>
      <c r="AU29" s="33" t="str">
        <f t="shared" si="13"/>
        <v/>
      </c>
    </row>
    <row r="30" spans="1:47" s="1" customFormat="1" x14ac:dyDescent="0.25">
      <c r="B30" s="24">
        <v>1297</v>
      </c>
      <c r="C30" s="24" t="s">
        <v>67</v>
      </c>
      <c r="D30" s="54" t="s">
        <v>29</v>
      </c>
      <c r="E30" s="55">
        <v>1994</v>
      </c>
      <c r="F30" s="55"/>
      <c r="G30" s="27">
        <v>189425</v>
      </c>
      <c r="H30" s="15" t="s">
        <v>177</v>
      </c>
      <c r="I30" s="50" t="s">
        <v>280</v>
      </c>
      <c r="J30" s="8" t="str">
        <f>VLOOKUP($G30,Inputs!$B$127:$F$129,3,TRUE)</f>
        <v>Water-cooled chiller</v>
      </c>
      <c r="L30" s="46">
        <v>32</v>
      </c>
      <c r="M30" s="29">
        <f t="shared" si="14"/>
        <v>6061600</v>
      </c>
      <c r="N30" s="29">
        <f t="shared" si="0"/>
        <v>5455440</v>
      </c>
      <c r="O30" s="29">
        <f t="shared" si="1"/>
        <v>606160</v>
      </c>
      <c r="P30" s="29">
        <f t="shared" si="2"/>
        <v>0</v>
      </c>
      <c r="Q30" s="29">
        <f t="shared" si="3"/>
        <v>0</v>
      </c>
      <c r="R30" s="31">
        <f>LOOKUP($D30,Inputs!$B$78:$B$89,Inputs!C$78:C$89)</f>
        <v>0.9</v>
      </c>
      <c r="S30" s="31">
        <f>LOOKUP($D30,Inputs!$B$78:$B$89,Inputs!D$78:D$89)</f>
        <v>0.1</v>
      </c>
      <c r="T30" s="31">
        <f>LOOKUP($D30,Inputs!$B$78:$B$89,Inputs!E$78:E$89)</f>
        <v>0</v>
      </c>
      <c r="U30" s="31">
        <f>LOOKUP($D30,Inputs!$B$78:$B$89,Inputs!F$78:F$89)</f>
        <v>0</v>
      </c>
      <c r="V30" s="13" t="str">
        <f t="shared" si="4"/>
        <v/>
      </c>
      <c r="W30" s="72">
        <f>SUM(N30:O30)*Inputs!$C$22*(1-Inputs!$C$13)/Inputs!$C$15</f>
        <v>4894.7420000000002</v>
      </c>
      <c r="X30" s="15">
        <v>150</v>
      </c>
      <c r="Y30" s="71">
        <f>IF($X30&gt;0,$X30,$G30*LOOKUP($D30,Inputs!$B$63:$B$74,Inputs!$H$63:$H$74)/Inputs!$C$15)</f>
        <v>150</v>
      </c>
      <c r="Z30" s="71">
        <f t="shared" si="15"/>
        <v>0</v>
      </c>
      <c r="AA30" s="108">
        <f>VLOOKUP(J30,Inputs!$D$127:$H$129,5,FALSE)</f>
        <v>0.58499999999999996</v>
      </c>
      <c r="AB30" s="108">
        <f t="shared" si="16"/>
        <v>0</v>
      </c>
      <c r="AD30" s="27">
        <v>6061600</v>
      </c>
      <c r="AE30" s="27">
        <v>5455440</v>
      </c>
      <c r="AF30" s="27">
        <v>606160</v>
      </c>
      <c r="AG30" s="27">
        <v>0</v>
      </c>
      <c r="AH30" s="27">
        <v>0</v>
      </c>
      <c r="AI30" s="33" t="str">
        <f t="shared" si="5"/>
        <v/>
      </c>
      <c r="AJ30" s="33" t="str">
        <f t="shared" si="6"/>
        <v/>
      </c>
      <c r="AK30" s="33" t="str">
        <f t="shared" si="7"/>
        <v/>
      </c>
      <c r="AL30" s="33" t="str">
        <f t="shared" si="8"/>
        <v/>
      </c>
      <c r="AM30" s="33" t="str">
        <f t="shared" si="9"/>
        <v/>
      </c>
      <c r="AN30" s="28">
        <v>0.9</v>
      </c>
      <c r="AO30" s="28">
        <v>0.1</v>
      </c>
      <c r="AP30" s="28">
        <v>0</v>
      </c>
      <c r="AQ30" s="28">
        <v>0</v>
      </c>
      <c r="AR30" s="33" t="str">
        <f t="shared" si="10"/>
        <v/>
      </c>
      <c r="AS30" s="33" t="str">
        <f t="shared" si="11"/>
        <v/>
      </c>
      <c r="AT30" s="33" t="str">
        <f t="shared" si="12"/>
        <v/>
      </c>
      <c r="AU30" s="33" t="str">
        <f t="shared" si="13"/>
        <v/>
      </c>
    </row>
    <row r="31" spans="1:47" s="1" customFormat="1" x14ac:dyDescent="0.25">
      <c r="B31" s="24">
        <v>1323</v>
      </c>
      <c r="C31" s="24" t="s">
        <v>68</v>
      </c>
      <c r="D31" s="54" t="s">
        <v>28</v>
      </c>
      <c r="E31" s="55">
        <v>1967</v>
      </c>
      <c r="F31" s="55"/>
      <c r="G31" s="27">
        <v>137806</v>
      </c>
      <c r="H31" s="15" t="s">
        <v>177</v>
      </c>
      <c r="I31" s="15" t="s">
        <v>260</v>
      </c>
      <c r="J31" s="8" t="str">
        <f>VLOOKUP($G31,Inputs!$B$127:$F$129,3,TRUE)</f>
        <v>Packaged VAV, DX</v>
      </c>
      <c r="L31" s="46">
        <v>32</v>
      </c>
      <c r="M31" s="29">
        <f t="shared" si="14"/>
        <v>4409792</v>
      </c>
      <c r="N31" s="29">
        <f t="shared" si="0"/>
        <v>3527833.6000000001</v>
      </c>
      <c r="O31" s="29">
        <f t="shared" si="1"/>
        <v>881958.40000000002</v>
      </c>
      <c r="P31" s="29">
        <f t="shared" si="2"/>
        <v>0</v>
      </c>
      <c r="Q31" s="29">
        <f t="shared" si="3"/>
        <v>0</v>
      </c>
      <c r="R31" s="31">
        <f>LOOKUP($D31,Inputs!$B$78:$B$89,Inputs!C$78:C$89)</f>
        <v>0.8</v>
      </c>
      <c r="S31" s="31">
        <f>LOOKUP($D31,Inputs!$B$78:$B$89,Inputs!D$78:D$89)</f>
        <v>0.2</v>
      </c>
      <c r="T31" s="31">
        <f>LOOKUP($D31,Inputs!$B$78:$B$89,Inputs!E$78:E$89)</f>
        <v>0</v>
      </c>
      <c r="U31" s="31">
        <f>LOOKUP($D31,Inputs!$B$78:$B$89,Inputs!F$78:F$89)</f>
        <v>0</v>
      </c>
      <c r="V31" s="13" t="str">
        <f t="shared" si="4"/>
        <v/>
      </c>
      <c r="W31" s="72">
        <f>SUM(N31:O31)*Inputs!$C$22*(1-Inputs!$C$13)/Inputs!$C$15</f>
        <v>3560.9070400000001</v>
      </c>
      <c r="X31" s="15">
        <v>75</v>
      </c>
      <c r="Y31" s="71">
        <f>IF($X31&gt;0,$X31,$G31*LOOKUP($D31,Inputs!$B$63:$B$74,Inputs!$H$63:$H$74)/Inputs!$C$15)</f>
        <v>75</v>
      </c>
      <c r="Z31" s="71">
        <f t="shared" si="15"/>
        <v>0</v>
      </c>
      <c r="AA31" s="108">
        <f>VLOOKUP(J31,Inputs!$D$127:$H$129,5,FALSE)</f>
        <v>1.2371134020618557</v>
      </c>
      <c r="AB31" s="108">
        <f t="shared" si="16"/>
        <v>0</v>
      </c>
      <c r="AD31" s="27">
        <v>4409792</v>
      </c>
      <c r="AE31" s="27">
        <v>3527833.6000000001</v>
      </c>
      <c r="AF31" s="27">
        <v>881958.40000000002</v>
      </c>
      <c r="AG31" s="27">
        <v>0</v>
      </c>
      <c r="AH31" s="27">
        <v>0</v>
      </c>
      <c r="AI31" s="33" t="str">
        <f t="shared" si="5"/>
        <v/>
      </c>
      <c r="AJ31" s="33" t="str">
        <f t="shared" si="6"/>
        <v/>
      </c>
      <c r="AK31" s="33" t="str">
        <f t="shared" si="7"/>
        <v/>
      </c>
      <c r="AL31" s="33" t="str">
        <f t="shared" si="8"/>
        <v/>
      </c>
      <c r="AM31" s="33" t="str">
        <f t="shared" si="9"/>
        <v/>
      </c>
      <c r="AN31" s="28">
        <v>0.8</v>
      </c>
      <c r="AO31" s="28">
        <v>0.2</v>
      </c>
      <c r="AP31" s="28">
        <v>0</v>
      </c>
      <c r="AQ31" s="28">
        <v>0</v>
      </c>
      <c r="AR31" s="33" t="str">
        <f t="shared" si="10"/>
        <v/>
      </c>
      <c r="AS31" s="33" t="str">
        <f t="shared" si="11"/>
        <v/>
      </c>
      <c r="AT31" s="33" t="str">
        <f t="shared" si="12"/>
        <v/>
      </c>
      <c r="AU31" s="33" t="str">
        <f t="shared" si="13"/>
        <v/>
      </c>
    </row>
    <row r="32" spans="1:47" x14ac:dyDescent="0.25">
      <c r="A32" s="1"/>
      <c r="B32" s="24">
        <v>1301</v>
      </c>
      <c r="C32" s="24" t="s">
        <v>69</v>
      </c>
      <c r="D32" s="54" t="s">
        <v>29</v>
      </c>
      <c r="E32" s="55">
        <v>1917</v>
      </c>
      <c r="F32" s="55"/>
      <c r="G32" s="27">
        <v>166514</v>
      </c>
      <c r="H32" s="15" t="s">
        <v>177</v>
      </c>
      <c r="I32" s="50" t="s">
        <v>280</v>
      </c>
      <c r="J32" s="8" t="str">
        <f>VLOOKUP($G32,Inputs!$B$127:$F$129,3,TRUE)</f>
        <v>Water-cooled chiller</v>
      </c>
      <c r="L32" s="46">
        <v>32</v>
      </c>
      <c r="M32" s="29">
        <f t="shared" si="14"/>
        <v>5328448</v>
      </c>
      <c r="N32" s="29">
        <f t="shared" si="0"/>
        <v>4795603.2</v>
      </c>
      <c r="O32" s="29">
        <f t="shared" si="1"/>
        <v>532844.80000000005</v>
      </c>
      <c r="P32" s="29">
        <f t="shared" si="2"/>
        <v>0</v>
      </c>
      <c r="Q32" s="29">
        <f t="shared" si="3"/>
        <v>0</v>
      </c>
      <c r="R32" s="31">
        <f>LOOKUP($D32,Inputs!$B$78:$B$89,Inputs!C$78:C$89)</f>
        <v>0.9</v>
      </c>
      <c r="S32" s="31">
        <f>LOOKUP($D32,Inputs!$B$78:$B$89,Inputs!D$78:D$89)</f>
        <v>0.1</v>
      </c>
      <c r="T32" s="31">
        <f>LOOKUP($D32,Inputs!$B$78:$B$89,Inputs!E$78:E$89)</f>
        <v>0</v>
      </c>
      <c r="U32" s="31">
        <f>LOOKUP($D32,Inputs!$B$78:$B$89,Inputs!F$78:F$89)</f>
        <v>0</v>
      </c>
      <c r="V32" s="13" t="str">
        <f t="shared" si="4"/>
        <v/>
      </c>
      <c r="W32" s="72">
        <f>SUM(N32:O32)*Inputs!$C$22*(1-Inputs!$C$13)/Inputs!$C$15</f>
        <v>4302.7217599999994</v>
      </c>
      <c r="X32" s="15">
        <v>0</v>
      </c>
      <c r="Y32" s="71">
        <f>IF($X32&gt;0,$X32,$G32*LOOKUP($D32,Inputs!$B$63:$B$74,Inputs!$H$63:$H$74)/Inputs!$C$15)</f>
        <v>166.51400000000001</v>
      </c>
      <c r="Z32" s="71">
        <f t="shared" si="15"/>
        <v>166.51400000000001</v>
      </c>
      <c r="AA32" s="108">
        <f>VLOOKUP(J32,Inputs!$D$127:$H$129,5,FALSE)</f>
        <v>0.58499999999999996</v>
      </c>
      <c r="AB32" s="108">
        <f t="shared" si="16"/>
        <v>97.410690000000002</v>
      </c>
      <c r="AC32" s="1"/>
      <c r="AD32" s="27">
        <v>5328448</v>
      </c>
      <c r="AE32" s="27">
        <v>4795603.2</v>
      </c>
      <c r="AF32" s="27">
        <v>532844.80000000005</v>
      </c>
      <c r="AG32" s="27">
        <v>0</v>
      </c>
      <c r="AH32" s="27">
        <v>0</v>
      </c>
      <c r="AI32" s="33" t="str">
        <f t="shared" si="5"/>
        <v/>
      </c>
      <c r="AJ32" s="33" t="str">
        <f t="shared" si="6"/>
        <v/>
      </c>
      <c r="AK32" s="33" t="str">
        <f t="shared" si="7"/>
        <v/>
      </c>
      <c r="AL32" s="33" t="str">
        <f t="shared" si="8"/>
        <v/>
      </c>
      <c r="AM32" s="33" t="str">
        <f t="shared" si="9"/>
        <v/>
      </c>
      <c r="AN32" s="28">
        <v>0.9</v>
      </c>
      <c r="AO32" s="28">
        <v>0.1</v>
      </c>
      <c r="AP32" s="28">
        <v>0</v>
      </c>
      <c r="AQ32" s="28">
        <v>0</v>
      </c>
      <c r="AR32" s="33" t="str">
        <f t="shared" si="10"/>
        <v/>
      </c>
      <c r="AS32" s="33" t="str">
        <f t="shared" si="11"/>
        <v/>
      </c>
      <c r="AT32" s="33" t="str">
        <f t="shared" si="12"/>
        <v/>
      </c>
      <c r="AU32" s="33" t="str">
        <f t="shared" si="13"/>
        <v/>
      </c>
    </row>
    <row r="33" spans="1:47" s="1" customFormat="1" x14ac:dyDescent="0.25">
      <c r="B33" s="24">
        <v>1419</v>
      </c>
      <c r="C33" s="24" t="s">
        <v>70</v>
      </c>
      <c r="D33" s="54" t="s">
        <v>25</v>
      </c>
      <c r="E33" s="55">
        <v>1942</v>
      </c>
      <c r="F33" s="55">
        <v>2030</v>
      </c>
      <c r="G33" s="27">
        <v>53234</v>
      </c>
      <c r="H33" s="15" t="s">
        <v>177</v>
      </c>
      <c r="I33" s="15" t="s">
        <v>260</v>
      </c>
      <c r="J33" s="8" t="str">
        <f>VLOOKUP($G33,Inputs!$B$127:$F$129,3,TRUE)</f>
        <v>Packaged VAV, DX</v>
      </c>
      <c r="L33" s="46">
        <v>40</v>
      </c>
      <c r="M33" s="29">
        <f t="shared" si="14"/>
        <v>2129360</v>
      </c>
      <c r="N33" s="29">
        <f t="shared" si="0"/>
        <v>1341496.8</v>
      </c>
      <c r="O33" s="29">
        <f t="shared" si="1"/>
        <v>149055.19999999998</v>
      </c>
      <c r="P33" s="29">
        <f t="shared" si="2"/>
        <v>0</v>
      </c>
      <c r="Q33" s="29">
        <f t="shared" si="3"/>
        <v>638808</v>
      </c>
      <c r="R33" s="31">
        <f>LOOKUP($D33,Inputs!$B$78:$B$89,Inputs!C$78:C$89)*(1-$U33)</f>
        <v>0.63</v>
      </c>
      <c r="S33" s="31">
        <f>LOOKUP($D33,Inputs!$B$78:$B$89,Inputs!D$78:D$89)*(1-$U33)</f>
        <v>6.9999999999999993E-2</v>
      </c>
      <c r="T33" s="31">
        <f>LOOKUP($D33,Inputs!$B$78:$B$89,Inputs!E$78:E$89)*(1-$U33)</f>
        <v>0</v>
      </c>
      <c r="U33" s="48">
        <v>0.3</v>
      </c>
      <c r="V33" s="13" t="str">
        <f t="shared" si="4"/>
        <v/>
      </c>
      <c r="W33" s="72">
        <f>SUM(N33:O33)*Inputs!$C$22*(1-Inputs!$C$13)/Inputs!$C$15</f>
        <v>1203.6207400000001</v>
      </c>
      <c r="X33" s="15">
        <v>0</v>
      </c>
      <c r="Y33" s="71">
        <f>IF($X33&gt;0,$X33,$G33*LOOKUP($D33,Inputs!$B$63:$B$74,Inputs!$H$63:$H$74)/Inputs!$C$15)</f>
        <v>133.08500000000001</v>
      </c>
      <c r="Z33" s="71">
        <f t="shared" si="15"/>
        <v>133.08500000000001</v>
      </c>
      <c r="AA33" s="108">
        <f>VLOOKUP(J33,Inputs!$D$127:$H$129,5,FALSE)</f>
        <v>1.2371134020618557</v>
      </c>
      <c r="AB33" s="108">
        <f t="shared" si="16"/>
        <v>164.64123711340207</v>
      </c>
      <c r="AD33" s="27">
        <v>2129360</v>
      </c>
      <c r="AE33" s="27">
        <v>1341496.8</v>
      </c>
      <c r="AF33" s="27">
        <v>149055.19999999998</v>
      </c>
      <c r="AG33" s="27">
        <v>0</v>
      </c>
      <c r="AH33" s="27">
        <v>638808</v>
      </c>
      <c r="AI33" s="33" t="str">
        <f t="shared" si="5"/>
        <v/>
      </c>
      <c r="AJ33" s="33" t="str">
        <f t="shared" si="6"/>
        <v/>
      </c>
      <c r="AK33" s="33" t="str">
        <f t="shared" si="7"/>
        <v/>
      </c>
      <c r="AL33" s="33" t="str">
        <f t="shared" si="8"/>
        <v/>
      </c>
      <c r="AM33" s="33" t="str">
        <f t="shared" si="9"/>
        <v/>
      </c>
      <c r="AN33" s="28">
        <v>0.63</v>
      </c>
      <c r="AO33" s="28">
        <v>6.9999999999999993E-2</v>
      </c>
      <c r="AP33" s="28">
        <v>0</v>
      </c>
      <c r="AQ33" s="28">
        <v>0.3</v>
      </c>
      <c r="AR33" s="33" t="str">
        <f t="shared" si="10"/>
        <v/>
      </c>
      <c r="AS33" s="33" t="str">
        <f t="shared" si="11"/>
        <v/>
      </c>
      <c r="AT33" s="33" t="str">
        <f t="shared" si="12"/>
        <v/>
      </c>
      <c r="AU33" s="33" t="str">
        <f t="shared" si="13"/>
        <v/>
      </c>
    </row>
    <row r="34" spans="1:47" s="1" customFormat="1" x14ac:dyDescent="0.25">
      <c r="B34" s="24">
        <v>1227</v>
      </c>
      <c r="C34" s="24" t="s">
        <v>71</v>
      </c>
      <c r="D34" s="54" t="s">
        <v>21</v>
      </c>
      <c r="E34" s="55">
        <v>1911</v>
      </c>
      <c r="F34" s="55"/>
      <c r="G34" s="27">
        <v>21866</v>
      </c>
      <c r="H34" s="15" t="s">
        <v>177</v>
      </c>
      <c r="I34" s="50" t="s">
        <v>281</v>
      </c>
      <c r="J34" s="8" t="str">
        <f>VLOOKUP($G34,Inputs!$B$127:$F$129,3,TRUE)</f>
        <v>Packaged VAV, DX</v>
      </c>
      <c r="L34" s="46">
        <v>16.100000000000001</v>
      </c>
      <c r="M34" s="29">
        <f t="shared" si="14"/>
        <v>352042.60000000003</v>
      </c>
      <c r="N34" s="29">
        <f t="shared" si="0"/>
        <v>316838.34000000003</v>
      </c>
      <c r="O34" s="29">
        <f t="shared" si="1"/>
        <v>35204.26</v>
      </c>
      <c r="P34" s="29">
        <f t="shared" si="2"/>
        <v>0</v>
      </c>
      <c r="Q34" s="29">
        <f t="shared" si="3"/>
        <v>0</v>
      </c>
      <c r="R34" s="31">
        <f>LOOKUP($D34,Inputs!$B$78:$B$89,Inputs!C$78:C$89)</f>
        <v>0.9</v>
      </c>
      <c r="S34" s="31">
        <f>LOOKUP($D34,Inputs!$B$78:$B$89,Inputs!D$78:D$89)</f>
        <v>0.1</v>
      </c>
      <c r="T34" s="31">
        <f>LOOKUP($D34,Inputs!$B$78:$B$89,Inputs!E$78:E$89)</f>
        <v>0</v>
      </c>
      <c r="U34" s="31">
        <f>LOOKUP($D34,Inputs!$B$78:$B$89,Inputs!F$78:F$89)</f>
        <v>0</v>
      </c>
      <c r="V34" s="13" t="str">
        <f t="shared" si="4"/>
        <v/>
      </c>
      <c r="W34" s="72">
        <f>SUM(N34:O34)*Inputs!$C$22*(1-Inputs!$C$13)/Inputs!$C$15</f>
        <v>284.27439950000002</v>
      </c>
      <c r="X34" s="15">
        <v>0</v>
      </c>
      <c r="Y34" s="71">
        <f>IF($X34&gt;0,$X34,$G34*LOOKUP($D34,Inputs!$B$63:$B$74,Inputs!$H$63:$H$74)/Inputs!$C$15)</f>
        <v>21.866</v>
      </c>
      <c r="Z34" s="71">
        <f t="shared" si="15"/>
        <v>21.866</v>
      </c>
      <c r="AA34" s="108">
        <f>VLOOKUP(J34,Inputs!$D$127:$H$129,5,FALSE)</f>
        <v>1.2371134020618557</v>
      </c>
      <c r="AB34" s="108">
        <f t="shared" si="16"/>
        <v>27.050721649484537</v>
      </c>
      <c r="AD34" s="27">
        <v>352042.60000000003</v>
      </c>
      <c r="AE34" s="27">
        <v>316838.34000000003</v>
      </c>
      <c r="AF34" s="27">
        <v>35204.26</v>
      </c>
      <c r="AG34" s="27">
        <v>0</v>
      </c>
      <c r="AH34" s="27">
        <v>0</v>
      </c>
      <c r="AI34" s="33" t="str">
        <f t="shared" si="5"/>
        <v/>
      </c>
      <c r="AJ34" s="33" t="str">
        <f t="shared" si="6"/>
        <v/>
      </c>
      <c r="AK34" s="33" t="str">
        <f t="shared" si="7"/>
        <v/>
      </c>
      <c r="AL34" s="33" t="str">
        <f t="shared" si="8"/>
        <v/>
      </c>
      <c r="AM34" s="33" t="str">
        <f t="shared" si="9"/>
        <v/>
      </c>
      <c r="AN34" s="28">
        <v>0.9</v>
      </c>
      <c r="AO34" s="28">
        <v>0.1</v>
      </c>
      <c r="AP34" s="28">
        <v>0</v>
      </c>
      <c r="AQ34" s="28">
        <v>0</v>
      </c>
      <c r="AR34" s="33" t="str">
        <f t="shared" si="10"/>
        <v/>
      </c>
      <c r="AS34" s="33" t="str">
        <f t="shared" si="11"/>
        <v/>
      </c>
      <c r="AT34" s="33" t="str">
        <f t="shared" si="12"/>
        <v/>
      </c>
      <c r="AU34" s="33" t="str">
        <f t="shared" si="13"/>
        <v/>
      </c>
    </row>
    <row r="35" spans="1:47" s="1" customFormat="1" x14ac:dyDescent="0.25">
      <c r="B35" s="24">
        <v>1295</v>
      </c>
      <c r="C35" s="24" t="s">
        <v>72</v>
      </c>
      <c r="D35" s="54" t="s">
        <v>26</v>
      </c>
      <c r="E35" s="55">
        <v>1952</v>
      </c>
      <c r="F35" s="55"/>
      <c r="G35" s="27">
        <v>305268</v>
      </c>
      <c r="H35" s="15" t="s">
        <v>177</v>
      </c>
      <c r="I35" s="50" t="s">
        <v>281</v>
      </c>
      <c r="J35" s="8" t="str">
        <f>VLOOKUP($G35,Inputs!$B$127:$F$129,3,TRUE)</f>
        <v>Water-cooled chiller</v>
      </c>
      <c r="L35" s="46">
        <v>32</v>
      </c>
      <c r="M35" s="29">
        <f t="shared" si="14"/>
        <v>9768576</v>
      </c>
      <c r="N35" s="29">
        <f t="shared" si="0"/>
        <v>8791718.4000000004</v>
      </c>
      <c r="O35" s="29">
        <f t="shared" si="1"/>
        <v>976857.60000000009</v>
      </c>
      <c r="P35" s="29">
        <f t="shared" si="2"/>
        <v>0</v>
      </c>
      <c r="Q35" s="29">
        <f t="shared" si="3"/>
        <v>0</v>
      </c>
      <c r="R35" s="31">
        <f>LOOKUP($D35,Inputs!$B$78:$B$89,Inputs!C$78:C$89)</f>
        <v>0.9</v>
      </c>
      <c r="S35" s="31">
        <f>LOOKUP($D35,Inputs!$B$78:$B$89,Inputs!D$78:D$89)</f>
        <v>0.1</v>
      </c>
      <c r="T35" s="31">
        <f>LOOKUP($D35,Inputs!$B$78:$B$89,Inputs!E$78:E$89)</f>
        <v>0</v>
      </c>
      <c r="U35" s="31">
        <f>LOOKUP($D35,Inputs!$B$78:$B$89,Inputs!F$78:F$89)</f>
        <v>0</v>
      </c>
      <c r="V35" s="13" t="str">
        <f t="shared" si="4"/>
        <v/>
      </c>
      <c r="W35" s="72">
        <f>SUM(N35:O35)*Inputs!$C$22*(1-Inputs!$C$13)/Inputs!$C$15</f>
        <v>7888.1251199999988</v>
      </c>
      <c r="X35" s="15"/>
      <c r="Y35" s="71">
        <f>IF($X35&gt;0,$X35,$G35*LOOKUP($D35,Inputs!$B$63:$B$74,Inputs!$H$63:$H$74)/Inputs!$C$15)</f>
        <v>305.26799999999997</v>
      </c>
      <c r="Z35" s="71">
        <f t="shared" si="15"/>
        <v>305.26799999999997</v>
      </c>
      <c r="AA35" s="108">
        <f>VLOOKUP(J35,Inputs!$D$127:$H$129,5,FALSE)</f>
        <v>0.58499999999999996</v>
      </c>
      <c r="AB35" s="108">
        <f t="shared" si="16"/>
        <v>178.58177999999998</v>
      </c>
      <c r="AD35" s="27">
        <v>9768576</v>
      </c>
      <c r="AE35" s="27">
        <v>8791718.4000000004</v>
      </c>
      <c r="AF35" s="27">
        <v>976857.60000000009</v>
      </c>
      <c r="AG35" s="27">
        <v>0</v>
      </c>
      <c r="AH35" s="27">
        <v>0</v>
      </c>
      <c r="AI35" s="33" t="str">
        <f t="shared" si="5"/>
        <v/>
      </c>
      <c r="AJ35" s="33" t="str">
        <f t="shared" si="6"/>
        <v/>
      </c>
      <c r="AK35" s="33" t="str">
        <f t="shared" si="7"/>
        <v/>
      </c>
      <c r="AL35" s="33" t="str">
        <f t="shared" si="8"/>
        <v/>
      </c>
      <c r="AM35" s="33" t="str">
        <f t="shared" si="9"/>
        <v/>
      </c>
      <c r="AN35" s="28">
        <v>0.9</v>
      </c>
      <c r="AO35" s="28">
        <v>0.1</v>
      </c>
      <c r="AP35" s="28">
        <v>0</v>
      </c>
      <c r="AQ35" s="28">
        <v>0</v>
      </c>
      <c r="AR35" s="33" t="str">
        <f t="shared" si="10"/>
        <v/>
      </c>
      <c r="AS35" s="33" t="str">
        <f t="shared" si="11"/>
        <v/>
      </c>
      <c r="AT35" s="33" t="str">
        <f t="shared" si="12"/>
        <v/>
      </c>
      <c r="AU35" s="33" t="str">
        <f t="shared" si="13"/>
        <v/>
      </c>
    </row>
    <row r="36" spans="1:47" s="1" customFormat="1" x14ac:dyDescent="0.25">
      <c r="B36" s="24">
        <v>1095</v>
      </c>
      <c r="C36" s="24" t="s">
        <v>73</v>
      </c>
      <c r="D36" s="54" t="s">
        <v>27</v>
      </c>
      <c r="E36" s="55">
        <v>2003</v>
      </c>
      <c r="F36" s="55"/>
      <c r="G36" s="27">
        <v>69032</v>
      </c>
      <c r="H36" s="15" t="s">
        <v>175</v>
      </c>
      <c r="I36" s="50" t="s">
        <v>258</v>
      </c>
      <c r="J36" s="8" t="str">
        <f>VLOOKUP($G36,Inputs!$B$127:$F$129,3,TRUE)</f>
        <v>Packaged VAV, DX</v>
      </c>
      <c r="L36" s="46">
        <v>32</v>
      </c>
      <c r="M36" s="29">
        <f t="shared" si="14"/>
        <v>2209024</v>
      </c>
      <c r="N36" s="29">
        <f t="shared" si="0"/>
        <v>1325414.3999999999</v>
      </c>
      <c r="O36" s="29">
        <f t="shared" si="1"/>
        <v>883609.60000000009</v>
      </c>
      <c r="P36" s="29">
        <f t="shared" si="2"/>
        <v>0</v>
      </c>
      <c r="Q36" s="29">
        <f t="shared" si="3"/>
        <v>0</v>
      </c>
      <c r="R36" s="31">
        <f>LOOKUP($D36,Inputs!$B$78:$B$89,Inputs!C$78:C$89)</f>
        <v>0.6</v>
      </c>
      <c r="S36" s="31">
        <f>LOOKUP($D36,Inputs!$B$78:$B$89,Inputs!D$78:D$89)</f>
        <v>0.4</v>
      </c>
      <c r="T36" s="31">
        <f>LOOKUP($D36,Inputs!$B$78:$B$89,Inputs!E$78:E$89)</f>
        <v>0</v>
      </c>
      <c r="U36" s="31">
        <f>LOOKUP($D36,Inputs!$B$78:$B$89,Inputs!F$78:F$89)</f>
        <v>0</v>
      </c>
      <c r="V36" s="13" t="str">
        <f t="shared" si="4"/>
        <v/>
      </c>
      <c r="W36" s="72">
        <f>SUM(N36:O36)*Inputs!$C$22*(1-Inputs!$C$13)/Inputs!$C$15</f>
        <v>1783.7868799999999</v>
      </c>
      <c r="X36" s="15">
        <v>200</v>
      </c>
      <c r="Y36" s="71">
        <f>IF($X36&gt;0,$X36,$G36*LOOKUP($D36,Inputs!$B$63:$B$74,Inputs!$H$63:$H$74)/Inputs!$C$15)</f>
        <v>200</v>
      </c>
      <c r="Z36" s="71">
        <f t="shared" si="15"/>
        <v>0</v>
      </c>
      <c r="AA36" s="108">
        <f>VLOOKUP(J36,Inputs!$D$127:$H$129,5,FALSE)</f>
        <v>1.2371134020618557</v>
      </c>
      <c r="AB36" s="108">
        <f t="shared" si="16"/>
        <v>0</v>
      </c>
      <c r="AD36" s="27">
        <v>2209024</v>
      </c>
      <c r="AE36" s="27">
        <v>1325414.3999999999</v>
      </c>
      <c r="AF36" s="27">
        <v>883609.60000000009</v>
      </c>
      <c r="AG36" s="27">
        <v>0</v>
      </c>
      <c r="AH36" s="27">
        <v>0</v>
      </c>
      <c r="AI36" s="33" t="str">
        <f t="shared" si="5"/>
        <v/>
      </c>
      <c r="AJ36" s="33" t="str">
        <f t="shared" si="6"/>
        <v/>
      </c>
      <c r="AK36" s="33" t="str">
        <f t="shared" si="7"/>
        <v/>
      </c>
      <c r="AL36" s="33" t="str">
        <f t="shared" si="8"/>
        <v/>
      </c>
      <c r="AM36" s="33" t="str">
        <f t="shared" si="9"/>
        <v/>
      </c>
      <c r="AN36" s="28">
        <v>0.6</v>
      </c>
      <c r="AO36" s="28">
        <v>0.4</v>
      </c>
      <c r="AP36" s="28">
        <v>0</v>
      </c>
      <c r="AQ36" s="28">
        <v>0</v>
      </c>
      <c r="AR36" s="33" t="str">
        <f t="shared" si="10"/>
        <v/>
      </c>
      <c r="AS36" s="33" t="str">
        <f t="shared" si="11"/>
        <v/>
      </c>
      <c r="AT36" s="33" t="str">
        <f t="shared" si="12"/>
        <v/>
      </c>
      <c r="AU36" s="33" t="str">
        <f t="shared" si="13"/>
        <v/>
      </c>
    </row>
    <row r="37" spans="1:47" s="1" customFormat="1" x14ac:dyDescent="0.25">
      <c r="B37" s="24">
        <v>1318</v>
      </c>
      <c r="C37" s="24" t="s">
        <v>74</v>
      </c>
      <c r="D37" s="54" t="s">
        <v>22</v>
      </c>
      <c r="E37" s="55">
        <v>1932</v>
      </c>
      <c r="F37" s="55">
        <v>2040</v>
      </c>
      <c r="G37" s="27">
        <v>59326</v>
      </c>
      <c r="H37" s="15" t="s">
        <v>173</v>
      </c>
      <c r="I37" s="15" t="s">
        <v>266</v>
      </c>
      <c r="J37" s="8" t="str">
        <f>VLOOKUP($G37,Inputs!$B$127:$F$129,3,TRUE)</f>
        <v>Packaged VAV, DX</v>
      </c>
      <c r="L37" s="46">
        <v>0</v>
      </c>
      <c r="M37" s="29">
        <f t="shared" si="14"/>
        <v>0</v>
      </c>
      <c r="N37" s="29">
        <f t="shared" si="0"/>
        <v>0</v>
      </c>
      <c r="O37" s="29">
        <f t="shared" si="1"/>
        <v>0</v>
      </c>
      <c r="P37" s="29">
        <f t="shared" si="2"/>
        <v>0</v>
      </c>
      <c r="Q37" s="29">
        <f t="shared" si="3"/>
        <v>0</v>
      </c>
      <c r="R37" s="31">
        <f>LOOKUP($D37,Inputs!$B$78:$B$89,Inputs!C$78:C$89)</f>
        <v>0.6</v>
      </c>
      <c r="S37" s="31">
        <f>LOOKUP($D37,Inputs!$B$78:$B$89,Inputs!D$78:D$89)</f>
        <v>0.4</v>
      </c>
      <c r="T37" s="31">
        <f>LOOKUP($D37,Inputs!$B$78:$B$89,Inputs!E$78:E$89)</f>
        <v>0</v>
      </c>
      <c r="U37" s="31">
        <f>LOOKUP($D37,Inputs!$B$78:$B$89,Inputs!F$78:F$89)</f>
        <v>0</v>
      </c>
      <c r="V37" s="13" t="str">
        <f t="shared" si="4"/>
        <v/>
      </c>
      <c r="W37" s="72">
        <f>SUM(N37:O37)*Inputs!$C$22*(1-Inputs!$C$13)/Inputs!$C$15</f>
        <v>0</v>
      </c>
      <c r="X37" s="15">
        <v>0</v>
      </c>
      <c r="Y37" s="71">
        <f>IF($X37&gt;0,$X37,$G37*LOOKUP($D37,Inputs!$B$63:$B$74,Inputs!$H$63:$H$74)/Inputs!$C$15)</f>
        <v>59.326000000000001</v>
      </c>
      <c r="Z37" s="71">
        <f t="shared" si="15"/>
        <v>59.326000000000001</v>
      </c>
      <c r="AA37" s="108">
        <f>VLOOKUP(J37,Inputs!$D$127:$H$129,5,FALSE)</f>
        <v>1.2371134020618557</v>
      </c>
      <c r="AB37" s="108">
        <f t="shared" si="16"/>
        <v>73.392989690721649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33" t="str">
        <f t="shared" si="5"/>
        <v/>
      </c>
      <c r="AJ37" s="33" t="str">
        <f t="shared" si="6"/>
        <v/>
      </c>
      <c r="AK37" s="33" t="str">
        <f t="shared" si="7"/>
        <v/>
      </c>
      <c r="AL37" s="33" t="str">
        <f t="shared" si="8"/>
        <v/>
      </c>
      <c r="AM37" s="33" t="str">
        <f t="shared" si="9"/>
        <v/>
      </c>
      <c r="AN37" s="28">
        <v>0.6</v>
      </c>
      <c r="AO37" s="28">
        <v>0.4</v>
      </c>
      <c r="AP37" s="28">
        <v>0</v>
      </c>
      <c r="AQ37" s="28">
        <v>0</v>
      </c>
      <c r="AR37" s="33" t="str">
        <f t="shared" si="10"/>
        <v/>
      </c>
      <c r="AS37" s="33" t="str">
        <f t="shared" si="11"/>
        <v/>
      </c>
      <c r="AT37" s="33" t="str">
        <f t="shared" si="12"/>
        <v/>
      </c>
      <c r="AU37" s="33" t="str">
        <f t="shared" si="13"/>
        <v/>
      </c>
    </row>
    <row r="38" spans="1:47" x14ac:dyDescent="0.25">
      <c r="A38" s="1"/>
      <c r="B38" s="24">
        <v>1783</v>
      </c>
      <c r="C38" s="24" t="s">
        <v>75</v>
      </c>
      <c r="D38" s="54" t="s">
        <v>28</v>
      </c>
      <c r="E38" s="55">
        <v>1964</v>
      </c>
      <c r="F38" s="55"/>
      <c r="G38" s="27">
        <v>177281</v>
      </c>
      <c r="H38" s="15" t="s">
        <v>177</v>
      </c>
      <c r="I38" s="50" t="s">
        <v>267</v>
      </c>
      <c r="J38" s="8" t="str">
        <f>VLOOKUP($G38,Inputs!$B$127:$F$129,3,TRUE)</f>
        <v>Water-cooled chiller</v>
      </c>
      <c r="K38" s="1"/>
      <c r="L38" s="46">
        <v>32</v>
      </c>
      <c r="M38" s="29">
        <f t="shared" si="14"/>
        <v>5672992</v>
      </c>
      <c r="N38" s="29">
        <f t="shared" si="0"/>
        <v>4538393.6000000006</v>
      </c>
      <c r="O38" s="29">
        <f t="shared" si="1"/>
        <v>1134598.4000000001</v>
      </c>
      <c r="P38" s="29">
        <f t="shared" si="2"/>
        <v>0</v>
      </c>
      <c r="Q38" s="29">
        <f t="shared" si="3"/>
        <v>0</v>
      </c>
      <c r="R38" s="31">
        <f>LOOKUP($D38,Inputs!$B$78:$B$89,Inputs!C$78:C$89)</f>
        <v>0.8</v>
      </c>
      <c r="S38" s="31">
        <f>LOOKUP($D38,Inputs!$B$78:$B$89,Inputs!D$78:D$89)</f>
        <v>0.2</v>
      </c>
      <c r="T38" s="31">
        <f>LOOKUP($D38,Inputs!$B$78:$B$89,Inputs!E$78:E$89)</f>
        <v>0</v>
      </c>
      <c r="U38" s="31">
        <f>LOOKUP($D38,Inputs!$B$78:$B$89,Inputs!F$78:F$89)</f>
        <v>0</v>
      </c>
      <c r="V38" s="13" t="str">
        <f t="shared" si="4"/>
        <v/>
      </c>
      <c r="W38" s="72">
        <f>SUM(N38:O38)*Inputs!$C$22*(1-Inputs!$C$13)/Inputs!$C$15</f>
        <v>4580.9410399999997</v>
      </c>
      <c r="X38" s="15">
        <v>0</v>
      </c>
      <c r="Y38" s="71">
        <f>IF($X38&gt;0,$X38,$G38*LOOKUP($D38,Inputs!$B$63:$B$74,Inputs!$H$63:$H$74)/Inputs!$C$15)</f>
        <v>443.20249999999999</v>
      </c>
      <c r="Z38" s="71">
        <f t="shared" si="15"/>
        <v>443.20249999999999</v>
      </c>
      <c r="AA38" s="108">
        <f>VLOOKUP(J38,Inputs!$D$127:$H$129,5,FALSE)</f>
        <v>0.58499999999999996</v>
      </c>
      <c r="AB38" s="108">
        <f t="shared" si="16"/>
        <v>259.27346249999999</v>
      </c>
      <c r="AC38" s="1"/>
      <c r="AD38" s="27">
        <v>5672992</v>
      </c>
      <c r="AE38" s="27">
        <v>4538393.6000000006</v>
      </c>
      <c r="AF38" s="27">
        <v>1134598.4000000001</v>
      </c>
      <c r="AG38" s="27">
        <v>0</v>
      </c>
      <c r="AH38" s="27">
        <v>0</v>
      </c>
      <c r="AI38" s="33" t="str">
        <f t="shared" si="5"/>
        <v/>
      </c>
      <c r="AJ38" s="33" t="str">
        <f t="shared" si="6"/>
        <v/>
      </c>
      <c r="AK38" s="33" t="str">
        <f t="shared" si="7"/>
        <v/>
      </c>
      <c r="AL38" s="33" t="str">
        <f t="shared" si="8"/>
        <v/>
      </c>
      <c r="AM38" s="33" t="str">
        <f t="shared" si="9"/>
        <v/>
      </c>
      <c r="AN38" s="28">
        <v>0.8</v>
      </c>
      <c r="AO38" s="28">
        <v>0.2</v>
      </c>
      <c r="AP38" s="28">
        <v>0</v>
      </c>
      <c r="AQ38" s="28">
        <v>0</v>
      </c>
      <c r="AR38" s="33" t="str">
        <f t="shared" si="10"/>
        <v/>
      </c>
      <c r="AS38" s="33" t="str">
        <f t="shared" si="11"/>
        <v/>
      </c>
      <c r="AT38" s="33" t="str">
        <f t="shared" si="12"/>
        <v/>
      </c>
      <c r="AU38" s="33" t="str">
        <f t="shared" si="13"/>
        <v/>
      </c>
    </row>
    <row r="39" spans="1:47" s="1" customFormat="1" x14ac:dyDescent="0.25">
      <c r="B39" s="24">
        <v>1790</v>
      </c>
      <c r="C39" s="24" t="s">
        <v>76</v>
      </c>
      <c r="D39" s="54" t="s">
        <v>30</v>
      </c>
      <c r="E39" s="55">
        <v>1971</v>
      </c>
      <c r="F39" s="56">
        <v>2025</v>
      </c>
      <c r="G39" s="27">
        <v>270413</v>
      </c>
      <c r="H39" s="15" t="s">
        <v>177</v>
      </c>
      <c r="I39" s="50" t="s">
        <v>268</v>
      </c>
      <c r="J39" s="8" t="str">
        <f>VLOOKUP($G39,Inputs!$B$127:$F$129,3,TRUE)</f>
        <v>Water-cooled chiller</v>
      </c>
      <c r="L39" s="46">
        <v>35</v>
      </c>
      <c r="M39" s="29">
        <f t="shared" si="14"/>
        <v>9464455</v>
      </c>
      <c r="N39" s="29">
        <f t="shared" si="0"/>
        <v>8202527.666666667</v>
      </c>
      <c r="O39" s="29">
        <f t="shared" si="1"/>
        <v>1261927.3333333333</v>
      </c>
      <c r="P39" s="29">
        <f t="shared" si="2"/>
        <v>0</v>
      </c>
      <c r="Q39" s="29">
        <f t="shared" si="3"/>
        <v>0</v>
      </c>
      <c r="R39" s="31">
        <f>LOOKUP($D39,Inputs!$B$78:$B$89,Inputs!C$78:C$89)</f>
        <v>0.8666666666666667</v>
      </c>
      <c r="S39" s="31">
        <f>LOOKUP($D39,Inputs!$B$78:$B$89,Inputs!D$78:D$89)</f>
        <v>0.13333333333333333</v>
      </c>
      <c r="T39" s="31">
        <f>LOOKUP($D39,Inputs!$B$78:$B$89,Inputs!E$78:E$89)</f>
        <v>0</v>
      </c>
      <c r="U39" s="31">
        <f>LOOKUP($D39,Inputs!$B$78:$B$89,Inputs!F$78:F$89)</f>
        <v>0</v>
      </c>
      <c r="V39" s="13" t="str">
        <f t="shared" si="4"/>
        <v/>
      </c>
      <c r="W39" s="72">
        <f>SUM(N39:O39)*Inputs!$C$22*(1-Inputs!$C$13)/Inputs!$C$15</f>
        <v>7642.5474125000001</v>
      </c>
      <c r="X39" s="15">
        <v>0</v>
      </c>
      <c r="Y39" s="71">
        <f>IF($X39&gt;0,$X39,$G39*LOOKUP($D39,Inputs!$B$63:$B$74,Inputs!$H$63:$H$74)/Inputs!$C$15)</f>
        <v>405.61950000000002</v>
      </c>
      <c r="Z39" s="71">
        <f t="shared" si="15"/>
        <v>405.61950000000002</v>
      </c>
      <c r="AA39" s="108">
        <f>VLOOKUP(J39,Inputs!$D$127:$H$129,5,FALSE)</f>
        <v>0.58499999999999996</v>
      </c>
      <c r="AB39" s="108">
        <f t="shared" si="16"/>
        <v>237.2874075</v>
      </c>
      <c r="AD39" s="27">
        <v>9464455</v>
      </c>
      <c r="AE39" s="27">
        <v>7571564</v>
      </c>
      <c r="AF39" s="27">
        <v>1892891</v>
      </c>
      <c r="AG39" s="27">
        <v>0</v>
      </c>
      <c r="AH39" s="27">
        <v>0</v>
      </c>
      <c r="AI39" s="33" t="str">
        <f t="shared" si="5"/>
        <v/>
      </c>
      <c r="AJ39" s="33" t="str">
        <f t="shared" si="6"/>
        <v>FLAG</v>
      </c>
      <c r="AK39" s="33" t="str">
        <f t="shared" si="7"/>
        <v>FLAG</v>
      </c>
      <c r="AL39" s="33" t="str">
        <f t="shared" si="8"/>
        <v/>
      </c>
      <c r="AM39" s="33" t="str">
        <f t="shared" si="9"/>
        <v/>
      </c>
      <c r="AN39" s="28">
        <v>0.8</v>
      </c>
      <c r="AO39" s="28">
        <v>0.2</v>
      </c>
      <c r="AP39" s="28">
        <v>0</v>
      </c>
      <c r="AQ39" s="28">
        <v>0</v>
      </c>
      <c r="AR39" s="33" t="str">
        <f t="shared" si="10"/>
        <v>FLAG</v>
      </c>
      <c r="AS39" s="33" t="str">
        <f t="shared" si="11"/>
        <v>FLAG</v>
      </c>
      <c r="AT39" s="33" t="str">
        <f t="shared" si="12"/>
        <v/>
      </c>
      <c r="AU39" s="33" t="str">
        <f t="shared" si="13"/>
        <v/>
      </c>
    </row>
    <row r="40" spans="1:47" s="1" customFormat="1" x14ac:dyDescent="0.25">
      <c r="B40" s="24">
        <v>1340</v>
      </c>
      <c r="C40" s="24" t="s">
        <v>77</v>
      </c>
      <c r="D40" s="54" t="s">
        <v>21</v>
      </c>
      <c r="E40" s="55">
        <v>1903</v>
      </c>
      <c r="F40" s="55"/>
      <c r="G40" s="27">
        <v>35483</v>
      </c>
      <c r="H40" s="15" t="s">
        <v>176</v>
      </c>
      <c r="I40" s="50" t="s">
        <v>265</v>
      </c>
      <c r="J40" s="8" t="str">
        <f>VLOOKUP($G40,Inputs!$B$127:$F$129,3,TRUE)</f>
        <v>Packaged VAV, DX</v>
      </c>
      <c r="L40" s="46">
        <v>28</v>
      </c>
      <c r="M40" s="29">
        <f t="shared" si="14"/>
        <v>993524</v>
      </c>
      <c r="N40" s="29">
        <f t="shared" si="0"/>
        <v>596114.4</v>
      </c>
      <c r="O40" s="29">
        <f t="shared" si="1"/>
        <v>397409.60000000003</v>
      </c>
      <c r="P40" s="29">
        <f t="shared" si="2"/>
        <v>0</v>
      </c>
      <c r="Q40" s="29">
        <f t="shared" si="3"/>
        <v>0</v>
      </c>
      <c r="R40" s="48">
        <v>0.6</v>
      </c>
      <c r="S40" s="48">
        <v>0.4</v>
      </c>
      <c r="T40" s="31">
        <f>LOOKUP($D40,Inputs!$B$78:$B$89,Inputs!E$78:E$89)*(1-$R40-$S40)</f>
        <v>0</v>
      </c>
      <c r="U40" s="31">
        <f>LOOKUP($D40,Inputs!$B$78:$B$89,Inputs!F$78:F$89)*(1-$R40-$S40)</f>
        <v>0</v>
      </c>
      <c r="V40" s="13" t="str">
        <f t="shared" si="4"/>
        <v/>
      </c>
      <c r="W40" s="72">
        <f>SUM(N40:O40)*Inputs!$C$22*(1-Inputs!$C$13)/Inputs!$C$15</f>
        <v>802.27062999999987</v>
      </c>
      <c r="X40" s="15">
        <v>0</v>
      </c>
      <c r="Y40" s="71">
        <f>IF($X40&gt;0,$X40,$G40*LOOKUP($D40,Inputs!$B$63:$B$74,Inputs!$H$63:$H$74)/Inputs!$C$15)</f>
        <v>35.482999999999997</v>
      </c>
      <c r="Z40" s="71">
        <f t="shared" si="15"/>
        <v>35.482999999999997</v>
      </c>
      <c r="AA40" s="108">
        <f>VLOOKUP(J40,Inputs!$D$127:$H$129,5,FALSE)</f>
        <v>1.2371134020618557</v>
      </c>
      <c r="AB40" s="108">
        <f t="shared" si="16"/>
        <v>43.89649484536082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33" t="str">
        <f t="shared" si="5"/>
        <v>FLAG</v>
      </c>
      <c r="AJ40" s="33" t="str">
        <f t="shared" si="6"/>
        <v>FLAG</v>
      </c>
      <c r="AK40" s="33" t="str">
        <f t="shared" si="7"/>
        <v>FLAG</v>
      </c>
      <c r="AL40" s="33" t="str">
        <f t="shared" si="8"/>
        <v/>
      </c>
      <c r="AM40" s="33" t="str">
        <f t="shared" si="9"/>
        <v/>
      </c>
      <c r="AN40" s="28">
        <v>0.6</v>
      </c>
      <c r="AO40" s="28">
        <v>0.4</v>
      </c>
      <c r="AP40" s="28">
        <v>0</v>
      </c>
      <c r="AQ40" s="28">
        <v>0</v>
      </c>
      <c r="AR40" s="33" t="str">
        <f t="shared" si="10"/>
        <v/>
      </c>
      <c r="AS40" s="33" t="str">
        <f t="shared" si="11"/>
        <v/>
      </c>
      <c r="AT40" s="33" t="str">
        <f t="shared" si="12"/>
        <v/>
      </c>
      <c r="AU40" s="33" t="str">
        <f t="shared" si="13"/>
        <v/>
      </c>
    </row>
    <row r="41" spans="1:47" s="1" customFormat="1" x14ac:dyDescent="0.25">
      <c r="B41" s="24">
        <v>1789</v>
      </c>
      <c r="C41" s="24" t="s">
        <v>78</v>
      </c>
      <c r="D41" s="54" t="s">
        <v>24</v>
      </c>
      <c r="E41" s="55">
        <v>1990</v>
      </c>
      <c r="F41" s="55"/>
      <c r="G41" s="27">
        <v>26321</v>
      </c>
      <c r="H41" s="15" t="s">
        <v>175</v>
      </c>
      <c r="I41" s="50" t="s">
        <v>269</v>
      </c>
      <c r="J41" s="8" t="str">
        <f>VLOOKUP($G41,Inputs!$B$127:$F$129,3,TRUE)</f>
        <v>Packaged VAV, DX</v>
      </c>
      <c r="L41" s="46">
        <v>35</v>
      </c>
      <c r="M41" s="29">
        <f t="shared" si="14"/>
        <v>921235</v>
      </c>
      <c r="N41" s="29">
        <f t="shared" si="0"/>
        <v>515891.59999999992</v>
      </c>
      <c r="O41" s="29">
        <f t="shared" si="1"/>
        <v>128972.89999999998</v>
      </c>
      <c r="P41" s="29">
        <f t="shared" si="2"/>
        <v>0</v>
      </c>
      <c r="Q41" s="29">
        <f t="shared" si="3"/>
        <v>276370.5</v>
      </c>
      <c r="R41" s="31">
        <f>LOOKUP($D41,Inputs!$B$78:$B$89,Inputs!C$78:C$89)*(1-$U41)</f>
        <v>0.55999999999999994</v>
      </c>
      <c r="S41" s="31">
        <f>LOOKUP($D41,Inputs!$B$78:$B$89,Inputs!D$78:D$89)*(1-$U41)</f>
        <v>0.13999999999999999</v>
      </c>
      <c r="T41" s="31">
        <f>LOOKUP($D41,Inputs!$B$78:$B$89,Inputs!E$78:E$89)*(1-$U41)</f>
        <v>0</v>
      </c>
      <c r="U41" s="48">
        <v>0.3</v>
      </c>
      <c r="V41" s="13" t="str">
        <f t="shared" si="4"/>
        <v/>
      </c>
      <c r="W41" s="72">
        <f>SUM(N41:O41)*Inputs!$C$22*(1-Inputs!$C$13)/Inputs!$C$15</f>
        <v>520.72808374999988</v>
      </c>
      <c r="X41" s="15">
        <v>0</v>
      </c>
      <c r="Y41" s="71">
        <f>IF($X41&gt;0,$X41,$G41*LOOKUP($D41,Inputs!$B$63:$B$74,Inputs!$H$63:$H$74)/Inputs!$C$15)</f>
        <v>65.802499999999995</v>
      </c>
      <c r="Z41" s="71">
        <f t="shared" si="15"/>
        <v>65.802499999999995</v>
      </c>
      <c r="AA41" s="108">
        <f>VLOOKUP(J41,Inputs!$D$127:$H$129,5,FALSE)</f>
        <v>1.2371134020618557</v>
      </c>
      <c r="AB41" s="108">
        <f t="shared" si="16"/>
        <v>81.405154639175251</v>
      </c>
      <c r="AD41" s="27">
        <v>921235</v>
      </c>
      <c r="AE41" s="27">
        <v>515891.59999999992</v>
      </c>
      <c r="AF41" s="27">
        <v>128972.89999999998</v>
      </c>
      <c r="AG41" s="27">
        <v>0</v>
      </c>
      <c r="AH41" s="27">
        <v>276370.5</v>
      </c>
      <c r="AI41" s="33" t="str">
        <f t="shared" si="5"/>
        <v/>
      </c>
      <c r="AJ41" s="33" t="str">
        <f t="shared" si="6"/>
        <v/>
      </c>
      <c r="AK41" s="33" t="str">
        <f t="shared" si="7"/>
        <v/>
      </c>
      <c r="AL41" s="33" t="str">
        <f t="shared" si="8"/>
        <v/>
      </c>
      <c r="AM41" s="33" t="str">
        <f t="shared" si="9"/>
        <v/>
      </c>
      <c r="AN41" s="28">
        <v>0.55999999999999994</v>
      </c>
      <c r="AO41" s="28">
        <v>0.13999999999999999</v>
      </c>
      <c r="AP41" s="28">
        <v>0</v>
      </c>
      <c r="AQ41" s="28">
        <v>0.3</v>
      </c>
      <c r="AR41" s="33" t="str">
        <f t="shared" si="10"/>
        <v/>
      </c>
      <c r="AS41" s="33" t="str">
        <f t="shared" si="11"/>
        <v/>
      </c>
      <c r="AT41" s="33" t="str">
        <f t="shared" si="12"/>
        <v/>
      </c>
      <c r="AU41" s="33" t="str">
        <f t="shared" si="13"/>
        <v/>
      </c>
    </row>
    <row r="42" spans="1:47" s="1" customFormat="1" x14ac:dyDescent="0.25">
      <c r="B42" s="24">
        <v>1236</v>
      </c>
      <c r="C42" s="24" t="s">
        <v>79</v>
      </c>
      <c r="D42" s="53" t="s">
        <v>21</v>
      </c>
      <c r="E42" s="55">
        <v>1995</v>
      </c>
      <c r="F42" s="55"/>
      <c r="G42" s="27">
        <v>106295</v>
      </c>
      <c r="H42" s="15" t="s">
        <v>176</v>
      </c>
      <c r="I42" s="50" t="s">
        <v>265</v>
      </c>
      <c r="J42" s="8" t="str">
        <f>VLOOKUP($G42,Inputs!$B$127:$F$129,3,TRUE)</f>
        <v>Packaged VAV, DX</v>
      </c>
      <c r="L42" s="46">
        <v>32</v>
      </c>
      <c r="M42" s="29">
        <f t="shared" si="14"/>
        <v>3401440</v>
      </c>
      <c r="N42" s="29">
        <f t="shared" si="0"/>
        <v>3061296</v>
      </c>
      <c r="O42" s="29">
        <f t="shared" si="1"/>
        <v>340144</v>
      </c>
      <c r="P42" s="29">
        <f t="shared" si="2"/>
        <v>0</v>
      </c>
      <c r="Q42" s="29">
        <f t="shared" si="3"/>
        <v>0</v>
      </c>
      <c r="R42" s="31">
        <f>LOOKUP($D42,Inputs!$B$78:$B$89,Inputs!C$78:C$89)</f>
        <v>0.9</v>
      </c>
      <c r="S42" s="31">
        <f>LOOKUP($D42,Inputs!$B$78:$B$89,Inputs!D$78:D$89)</f>
        <v>0.1</v>
      </c>
      <c r="T42" s="31">
        <f>LOOKUP($D42,Inputs!$B$78:$B$89,Inputs!E$78:E$89)</f>
        <v>0</v>
      </c>
      <c r="U42" s="31">
        <f>LOOKUP($D42,Inputs!$B$78:$B$89,Inputs!F$78:F$89)</f>
        <v>0</v>
      </c>
      <c r="V42" s="13" t="str">
        <f t="shared" si="4"/>
        <v/>
      </c>
      <c r="W42" s="72">
        <f>SUM(N42:O42)*Inputs!$C$22*(1-Inputs!$C$13)/Inputs!$C$15</f>
        <v>2746.6627999999996</v>
      </c>
      <c r="X42" s="15">
        <v>0</v>
      </c>
      <c r="Y42" s="71">
        <f>IF($X42&gt;0,$X42,$G42*LOOKUP($D42,Inputs!$B$63:$B$74,Inputs!$H$63:$H$74)/Inputs!$C$15)</f>
        <v>106.295</v>
      </c>
      <c r="Z42" s="71">
        <f t="shared" si="15"/>
        <v>106.295</v>
      </c>
      <c r="AA42" s="108">
        <f>VLOOKUP(J42,Inputs!$D$127:$H$129,5,FALSE)</f>
        <v>1.2371134020618557</v>
      </c>
      <c r="AB42" s="108">
        <f t="shared" si="16"/>
        <v>131.49896907216495</v>
      </c>
      <c r="AD42" s="27">
        <v>3401440</v>
      </c>
      <c r="AE42" s="27">
        <v>3061296</v>
      </c>
      <c r="AF42" s="27">
        <v>340144</v>
      </c>
      <c r="AG42" s="27">
        <v>0</v>
      </c>
      <c r="AH42" s="27">
        <v>0</v>
      </c>
      <c r="AI42" s="33" t="str">
        <f t="shared" si="5"/>
        <v/>
      </c>
      <c r="AJ42" s="33" t="str">
        <f t="shared" si="6"/>
        <v/>
      </c>
      <c r="AK42" s="33" t="str">
        <f t="shared" si="7"/>
        <v/>
      </c>
      <c r="AL42" s="33" t="str">
        <f t="shared" si="8"/>
        <v/>
      </c>
      <c r="AM42" s="33" t="str">
        <f t="shared" si="9"/>
        <v/>
      </c>
      <c r="AN42" s="28">
        <v>0.9</v>
      </c>
      <c r="AO42" s="28">
        <v>0.1</v>
      </c>
      <c r="AP42" s="28">
        <v>0</v>
      </c>
      <c r="AQ42" s="28">
        <v>0</v>
      </c>
      <c r="AR42" s="33" t="str">
        <f t="shared" si="10"/>
        <v/>
      </c>
      <c r="AS42" s="33" t="str">
        <f t="shared" si="11"/>
        <v/>
      </c>
      <c r="AT42" s="33" t="str">
        <f t="shared" si="12"/>
        <v/>
      </c>
      <c r="AU42" s="33" t="str">
        <f t="shared" si="13"/>
        <v/>
      </c>
    </row>
    <row r="43" spans="1:47" s="1" customFormat="1" x14ac:dyDescent="0.25">
      <c r="B43" s="24">
        <v>1355</v>
      </c>
      <c r="C43" s="24" t="s">
        <v>80</v>
      </c>
      <c r="D43" s="54" t="s">
        <v>26</v>
      </c>
      <c r="E43" s="55">
        <v>1930</v>
      </c>
      <c r="F43" s="55"/>
      <c r="G43" s="27">
        <v>68701</v>
      </c>
      <c r="H43" s="15" t="s">
        <v>175</v>
      </c>
      <c r="I43" s="50" t="s">
        <v>269</v>
      </c>
      <c r="J43" s="8" t="str">
        <f>VLOOKUP($G43,Inputs!$B$127:$F$129,3,TRUE)</f>
        <v>Packaged VAV, DX</v>
      </c>
      <c r="L43" s="46">
        <v>20.399999999999999</v>
      </c>
      <c r="M43" s="29">
        <f t="shared" si="14"/>
        <v>1401500.4</v>
      </c>
      <c r="N43" s="29">
        <f t="shared" si="0"/>
        <v>1261350.3599999999</v>
      </c>
      <c r="O43" s="29">
        <f t="shared" si="1"/>
        <v>140150.04</v>
      </c>
      <c r="P43" s="29">
        <f t="shared" si="2"/>
        <v>0</v>
      </c>
      <c r="Q43" s="29">
        <f t="shared" si="3"/>
        <v>0</v>
      </c>
      <c r="R43" s="31">
        <f>LOOKUP($D43,Inputs!$B$78:$B$89,Inputs!C$78:C$89)</f>
        <v>0.9</v>
      </c>
      <c r="S43" s="31">
        <f>LOOKUP($D43,Inputs!$B$78:$B$89,Inputs!D$78:D$89)</f>
        <v>0.1</v>
      </c>
      <c r="T43" s="31">
        <f>LOOKUP($D43,Inputs!$B$78:$B$89,Inputs!E$78:E$89)</f>
        <v>0</v>
      </c>
      <c r="U43" s="31">
        <f>LOOKUP($D43,Inputs!$B$78:$B$89,Inputs!F$78:F$89)</f>
        <v>0</v>
      </c>
      <c r="V43" s="13" t="str">
        <f t="shared" si="4"/>
        <v/>
      </c>
      <c r="W43" s="72">
        <f>SUM(N43:O43)*Inputs!$C$22*(1-Inputs!$C$13)/Inputs!$C$15</f>
        <v>1131.7115729999998</v>
      </c>
      <c r="X43" s="15">
        <v>0</v>
      </c>
      <c r="Y43" s="71">
        <f>IF($X43&gt;0,$X43,$G43*LOOKUP($D43,Inputs!$B$63:$B$74,Inputs!$H$63:$H$74)/Inputs!$C$15)</f>
        <v>68.700999999999993</v>
      </c>
      <c r="Z43" s="71">
        <f t="shared" si="15"/>
        <v>68.700999999999993</v>
      </c>
      <c r="AA43" s="108">
        <f>VLOOKUP(J43,Inputs!$D$127:$H$129,5,FALSE)</f>
        <v>1.2371134020618557</v>
      </c>
      <c r="AB43" s="108">
        <f t="shared" si="16"/>
        <v>84.990927835051536</v>
      </c>
      <c r="AD43" s="27">
        <v>1401500.4</v>
      </c>
      <c r="AE43" s="27">
        <v>1261350.3599999999</v>
      </c>
      <c r="AF43" s="27">
        <v>140150.04</v>
      </c>
      <c r="AG43" s="27">
        <v>0</v>
      </c>
      <c r="AH43" s="27">
        <v>0</v>
      </c>
      <c r="AI43" s="33" t="str">
        <f t="shared" si="5"/>
        <v/>
      </c>
      <c r="AJ43" s="33" t="str">
        <f t="shared" si="6"/>
        <v/>
      </c>
      <c r="AK43" s="33" t="str">
        <f t="shared" si="7"/>
        <v/>
      </c>
      <c r="AL43" s="33" t="str">
        <f t="shared" si="8"/>
        <v/>
      </c>
      <c r="AM43" s="33" t="str">
        <f t="shared" si="9"/>
        <v/>
      </c>
      <c r="AN43" s="28">
        <v>0.9</v>
      </c>
      <c r="AO43" s="28">
        <v>0.1</v>
      </c>
      <c r="AP43" s="28">
        <v>0</v>
      </c>
      <c r="AQ43" s="28">
        <v>0</v>
      </c>
      <c r="AR43" s="33" t="str">
        <f t="shared" si="10"/>
        <v/>
      </c>
      <c r="AS43" s="33" t="str">
        <f t="shared" si="11"/>
        <v/>
      </c>
      <c r="AT43" s="33" t="str">
        <f t="shared" si="12"/>
        <v/>
      </c>
      <c r="AU43" s="33" t="str">
        <f t="shared" si="13"/>
        <v/>
      </c>
    </row>
    <row r="44" spans="1:47" s="1" customFormat="1" x14ac:dyDescent="0.25">
      <c r="B44" s="24">
        <v>1410</v>
      </c>
      <c r="C44" s="24" t="s">
        <v>81</v>
      </c>
      <c r="D44" s="54" t="s">
        <v>25</v>
      </c>
      <c r="E44" s="55">
        <v>1954</v>
      </c>
      <c r="F44" s="55"/>
      <c r="G44" s="27">
        <v>25996</v>
      </c>
      <c r="H44" s="15" t="s">
        <v>177</v>
      </c>
      <c r="I44" s="50" t="s">
        <v>270</v>
      </c>
      <c r="J44" s="8" t="str">
        <f>VLOOKUP($G44,Inputs!$B$127:$F$129,3,TRUE)</f>
        <v>Packaged VAV, DX</v>
      </c>
      <c r="L44" s="46">
        <v>32</v>
      </c>
      <c r="M44" s="29">
        <f t="shared" si="14"/>
        <v>831872</v>
      </c>
      <c r="N44" s="29">
        <f t="shared" si="0"/>
        <v>748684.80000000005</v>
      </c>
      <c r="O44" s="29">
        <f t="shared" si="1"/>
        <v>83187.200000000012</v>
      </c>
      <c r="P44" s="29">
        <f t="shared" si="2"/>
        <v>0</v>
      </c>
      <c r="Q44" s="29">
        <f t="shared" si="3"/>
        <v>0</v>
      </c>
      <c r="R44" s="31">
        <f>LOOKUP($D44,Inputs!$B$78:$B$89,Inputs!C$78:C$89)</f>
        <v>0.9</v>
      </c>
      <c r="S44" s="31">
        <f>LOOKUP($D44,Inputs!$B$78:$B$89,Inputs!D$78:D$89)</f>
        <v>0.1</v>
      </c>
      <c r="T44" s="31">
        <f>LOOKUP($D44,Inputs!$B$78:$B$89,Inputs!E$78:E$89)</f>
        <v>0</v>
      </c>
      <c r="U44" s="48">
        <v>0</v>
      </c>
      <c r="V44" s="13" t="str">
        <f t="shared" si="4"/>
        <v/>
      </c>
      <c r="W44" s="72">
        <f>SUM(N44:O44)*Inputs!$C$22*(1-Inputs!$C$13)/Inputs!$C$15</f>
        <v>671.73663999999985</v>
      </c>
      <c r="X44" s="15"/>
      <c r="Y44" s="71">
        <f>IF($X44&gt;0,$X44,$G44*LOOKUP($D44,Inputs!$B$63:$B$74,Inputs!$H$63:$H$74)/Inputs!$C$15)</f>
        <v>64.989999999999995</v>
      </c>
      <c r="Z44" s="71">
        <f t="shared" si="15"/>
        <v>64.989999999999995</v>
      </c>
      <c r="AA44" s="108">
        <f>VLOOKUP(J44,Inputs!$D$127:$H$129,5,FALSE)</f>
        <v>1.2371134020618557</v>
      </c>
      <c r="AB44" s="108">
        <f t="shared" si="16"/>
        <v>80.399999999999991</v>
      </c>
      <c r="AD44" s="27">
        <v>831872</v>
      </c>
      <c r="AE44" s="27">
        <v>748684.80000000005</v>
      </c>
      <c r="AF44" s="27">
        <v>83187.200000000012</v>
      </c>
      <c r="AG44" s="27">
        <v>0</v>
      </c>
      <c r="AH44" s="27">
        <v>0</v>
      </c>
      <c r="AI44" s="33" t="str">
        <f t="shared" si="5"/>
        <v/>
      </c>
      <c r="AJ44" s="33" t="str">
        <f t="shared" si="6"/>
        <v/>
      </c>
      <c r="AK44" s="33" t="str">
        <f t="shared" si="7"/>
        <v/>
      </c>
      <c r="AL44" s="33" t="str">
        <f t="shared" si="8"/>
        <v/>
      </c>
      <c r="AM44" s="33" t="str">
        <f t="shared" si="9"/>
        <v/>
      </c>
      <c r="AN44" s="28">
        <v>0.9</v>
      </c>
      <c r="AO44" s="28">
        <v>0.1</v>
      </c>
      <c r="AP44" s="28">
        <v>0</v>
      </c>
      <c r="AQ44" s="28">
        <v>0</v>
      </c>
      <c r="AR44" s="33" t="str">
        <f t="shared" si="10"/>
        <v/>
      </c>
      <c r="AS44" s="33" t="str">
        <f t="shared" si="11"/>
        <v/>
      </c>
      <c r="AT44" s="33" t="str">
        <f t="shared" si="12"/>
        <v/>
      </c>
      <c r="AU44" s="33" t="str">
        <f t="shared" si="13"/>
        <v/>
      </c>
    </row>
    <row r="45" spans="1:47" x14ac:dyDescent="0.25">
      <c r="A45" s="1"/>
      <c r="B45" s="24">
        <v>1356</v>
      </c>
      <c r="C45" s="24" t="s">
        <v>82</v>
      </c>
      <c r="D45" s="54" t="s">
        <v>25</v>
      </c>
      <c r="E45" s="55">
        <v>1917</v>
      </c>
      <c r="F45" s="55"/>
      <c r="G45" s="27">
        <v>44182</v>
      </c>
      <c r="H45" s="15" t="s">
        <v>177</v>
      </c>
      <c r="I45" s="50" t="s">
        <v>270</v>
      </c>
      <c r="J45" s="8" t="str">
        <f>VLOOKUP($G45,Inputs!$B$127:$F$129,3,TRUE)</f>
        <v>Packaged VAV, DX</v>
      </c>
      <c r="K45" s="1"/>
      <c r="L45" s="46">
        <v>20.9</v>
      </c>
      <c r="M45" s="29">
        <f t="shared" si="14"/>
        <v>923403.79999999993</v>
      </c>
      <c r="N45" s="29">
        <f t="shared" si="0"/>
        <v>831063.41999999993</v>
      </c>
      <c r="O45" s="29">
        <f t="shared" si="1"/>
        <v>92340.38</v>
      </c>
      <c r="P45" s="29">
        <f t="shared" si="2"/>
        <v>0</v>
      </c>
      <c r="Q45" s="29">
        <f t="shared" si="3"/>
        <v>0</v>
      </c>
      <c r="R45" s="31">
        <f>LOOKUP($D45,Inputs!$B$78:$B$89,Inputs!C$78:C$89)</f>
        <v>0.9</v>
      </c>
      <c r="S45" s="31">
        <f>LOOKUP($D45,Inputs!$B$78:$B$89,Inputs!D$78:D$89)</f>
        <v>0.1</v>
      </c>
      <c r="T45" s="31">
        <f>LOOKUP($D45,Inputs!$B$78:$B$89,Inputs!E$78:E$89)</f>
        <v>0</v>
      </c>
      <c r="U45" s="48">
        <v>0</v>
      </c>
      <c r="V45" s="13" t="str">
        <f t="shared" si="4"/>
        <v/>
      </c>
      <c r="W45" s="72">
        <f>SUM(N45:O45)*Inputs!$C$22*(1-Inputs!$C$13)/Inputs!$C$15</f>
        <v>745.64856849999978</v>
      </c>
      <c r="X45" s="15">
        <v>180</v>
      </c>
      <c r="Y45" s="71">
        <f>IF($X45&gt;0,$X45,$G45*LOOKUP($D45,Inputs!$B$63:$B$74,Inputs!$H$63:$H$74)/Inputs!$C$15)</f>
        <v>180</v>
      </c>
      <c r="Z45" s="71">
        <f t="shared" si="15"/>
        <v>0</v>
      </c>
      <c r="AA45" s="108">
        <f>VLOOKUP(J45,Inputs!$D$127:$H$129,5,FALSE)</f>
        <v>1.2371134020618557</v>
      </c>
      <c r="AB45" s="108">
        <f t="shared" si="16"/>
        <v>0</v>
      </c>
      <c r="AC45" s="1"/>
      <c r="AD45" s="27">
        <v>923403.79999999993</v>
      </c>
      <c r="AE45" s="27">
        <v>831063.41999999993</v>
      </c>
      <c r="AF45" s="27">
        <v>92340.38</v>
      </c>
      <c r="AG45" s="27">
        <v>0</v>
      </c>
      <c r="AH45" s="27">
        <v>0</v>
      </c>
      <c r="AI45" s="33" t="str">
        <f t="shared" si="5"/>
        <v/>
      </c>
      <c r="AJ45" s="33" t="str">
        <f t="shared" si="6"/>
        <v/>
      </c>
      <c r="AK45" s="33" t="str">
        <f t="shared" si="7"/>
        <v/>
      </c>
      <c r="AL45" s="33" t="str">
        <f t="shared" si="8"/>
        <v/>
      </c>
      <c r="AM45" s="33" t="str">
        <f t="shared" si="9"/>
        <v/>
      </c>
      <c r="AN45" s="28">
        <v>0.9</v>
      </c>
      <c r="AO45" s="28">
        <v>0.1</v>
      </c>
      <c r="AP45" s="28">
        <v>0</v>
      </c>
      <c r="AQ45" s="28">
        <v>0</v>
      </c>
      <c r="AR45" s="33" t="str">
        <f t="shared" si="10"/>
        <v/>
      </c>
      <c r="AS45" s="33" t="str">
        <f t="shared" si="11"/>
        <v/>
      </c>
      <c r="AT45" s="33" t="str">
        <f t="shared" si="12"/>
        <v/>
      </c>
      <c r="AU45" s="33" t="str">
        <f t="shared" si="13"/>
        <v/>
      </c>
    </row>
    <row r="46" spans="1:47" s="1" customFormat="1" x14ac:dyDescent="0.25">
      <c r="B46" s="24">
        <v>1424</v>
      </c>
      <c r="C46" s="24" t="s">
        <v>83</v>
      </c>
      <c r="D46" s="54" t="s">
        <v>29</v>
      </c>
      <c r="E46" s="55">
        <v>2004</v>
      </c>
      <c r="F46" s="55"/>
      <c r="G46" s="27">
        <v>29063</v>
      </c>
      <c r="H46" s="15" t="s">
        <v>176</v>
      </c>
      <c r="I46" s="50" t="s">
        <v>259</v>
      </c>
      <c r="J46" s="8" t="str">
        <f>VLOOKUP($G46,Inputs!$B$127:$F$129,3,TRUE)</f>
        <v>Packaged VAV, DX</v>
      </c>
      <c r="L46" s="46">
        <v>24</v>
      </c>
      <c r="M46" s="29">
        <f t="shared" ref="M46:M77" si="17">L46*G46</f>
        <v>697512</v>
      </c>
      <c r="N46" s="29">
        <f t="shared" si="0"/>
        <v>627760.80000000005</v>
      </c>
      <c r="O46" s="29">
        <f t="shared" si="1"/>
        <v>69751.199999999997</v>
      </c>
      <c r="P46" s="29">
        <f t="shared" si="2"/>
        <v>0</v>
      </c>
      <c r="Q46" s="29">
        <f t="shared" si="3"/>
        <v>0</v>
      </c>
      <c r="R46" s="31">
        <f>LOOKUP($D46,Inputs!$B$78:$B$89,Inputs!C$78:C$89)</f>
        <v>0.9</v>
      </c>
      <c r="S46" s="31">
        <f>LOOKUP($D46,Inputs!$B$78:$B$89,Inputs!D$78:D$89)</f>
        <v>0.1</v>
      </c>
      <c r="T46" s="31">
        <f>LOOKUP($D46,Inputs!$B$78:$B$89,Inputs!E$78:E$89)</f>
        <v>0</v>
      </c>
      <c r="U46" s="31">
        <f>LOOKUP($D46,Inputs!$B$78:$B$89,Inputs!F$78:F$89)</f>
        <v>0</v>
      </c>
      <c r="V46" s="13" t="str">
        <f t="shared" si="4"/>
        <v/>
      </c>
      <c r="W46" s="72">
        <f>SUM(N46:O46)*Inputs!$C$22*(1-Inputs!$C$13)/Inputs!$C$15</f>
        <v>563.24094000000002</v>
      </c>
      <c r="X46" s="15">
        <v>0</v>
      </c>
      <c r="Y46" s="71">
        <f>IF($X46&gt;0,$X46,$G46*LOOKUP($D46,Inputs!$B$63:$B$74,Inputs!$H$63:$H$74)/Inputs!$C$15)</f>
        <v>29.062999999999999</v>
      </c>
      <c r="Z46" s="71">
        <f t="shared" si="15"/>
        <v>29.062999999999999</v>
      </c>
      <c r="AA46" s="108">
        <f>VLOOKUP(J46,Inputs!$D$127:$H$129,5,FALSE)</f>
        <v>1.2371134020618557</v>
      </c>
      <c r="AB46" s="108">
        <f t="shared" si="16"/>
        <v>35.954226804123714</v>
      </c>
      <c r="AD46" s="27">
        <v>697512</v>
      </c>
      <c r="AE46" s="27">
        <v>627760.80000000005</v>
      </c>
      <c r="AF46" s="27">
        <v>69751.199999999997</v>
      </c>
      <c r="AG46" s="27">
        <v>0</v>
      </c>
      <c r="AH46" s="27">
        <v>0</v>
      </c>
      <c r="AI46" s="33" t="str">
        <f t="shared" si="5"/>
        <v/>
      </c>
      <c r="AJ46" s="33" t="str">
        <f t="shared" si="6"/>
        <v/>
      </c>
      <c r="AK46" s="33" t="str">
        <f t="shared" si="7"/>
        <v/>
      </c>
      <c r="AL46" s="33" t="str">
        <f t="shared" si="8"/>
        <v/>
      </c>
      <c r="AM46" s="33" t="str">
        <f t="shared" si="9"/>
        <v/>
      </c>
      <c r="AN46" s="28">
        <v>0.9</v>
      </c>
      <c r="AO46" s="28">
        <v>0.1</v>
      </c>
      <c r="AP46" s="28">
        <v>0</v>
      </c>
      <c r="AQ46" s="28">
        <v>0</v>
      </c>
      <c r="AR46" s="33" t="str">
        <f t="shared" si="10"/>
        <v/>
      </c>
      <c r="AS46" s="33" t="str">
        <f t="shared" si="11"/>
        <v/>
      </c>
      <c r="AT46" s="33" t="str">
        <f t="shared" si="12"/>
        <v/>
      </c>
      <c r="AU46" s="33" t="str">
        <f t="shared" si="13"/>
        <v/>
      </c>
    </row>
    <row r="47" spans="1:47" s="1" customFormat="1" x14ac:dyDescent="0.25">
      <c r="B47" s="24">
        <v>1371</v>
      </c>
      <c r="C47" s="24" t="s">
        <v>84</v>
      </c>
      <c r="D47" s="54" t="s">
        <v>30</v>
      </c>
      <c r="E47" s="55">
        <v>1924</v>
      </c>
      <c r="F47" s="55"/>
      <c r="G47" s="27">
        <v>51020</v>
      </c>
      <c r="H47" s="15" t="s">
        <v>177</v>
      </c>
      <c r="I47" s="50" t="s">
        <v>268</v>
      </c>
      <c r="J47" s="8" t="str">
        <f>VLOOKUP($G47,Inputs!$B$127:$F$129,3,TRUE)</f>
        <v>Packaged VAV, DX</v>
      </c>
      <c r="L47" s="46">
        <v>24.1</v>
      </c>
      <c r="M47" s="29">
        <f t="shared" si="17"/>
        <v>1229582</v>
      </c>
      <c r="N47" s="29">
        <f t="shared" si="0"/>
        <v>1065637.7333333334</v>
      </c>
      <c r="O47" s="29">
        <f t="shared" si="1"/>
        <v>163944.26666666666</v>
      </c>
      <c r="P47" s="29">
        <f t="shared" si="2"/>
        <v>0</v>
      </c>
      <c r="Q47" s="29">
        <f t="shared" si="3"/>
        <v>0</v>
      </c>
      <c r="R47" s="31">
        <f>LOOKUP($D47,Inputs!$B$78:$B$89,Inputs!C$78:C$89)</f>
        <v>0.8666666666666667</v>
      </c>
      <c r="S47" s="31">
        <f>LOOKUP($D47,Inputs!$B$78:$B$89,Inputs!D$78:D$89)</f>
        <v>0.13333333333333333</v>
      </c>
      <c r="T47" s="31">
        <f>LOOKUP($D47,Inputs!$B$78:$B$89,Inputs!E$78:E$89)</f>
        <v>0</v>
      </c>
      <c r="U47" s="31">
        <f>LOOKUP($D47,Inputs!$B$78:$B$89,Inputs!F$78:F$89)</f>
        <v>0</v>
      </c>
      <c r="V47" s="13" t="str">
        <f t="shared" si="4"/>
        <v/>
      </c>
      <c r="W47" s="72">
        <f>SUM(N47:O47)*Inputs!$C$22*(1-Inputs!$C$13)/Inputs!$C$15</f>
        <v>992.88746499999991</v>
      </c>
      <c r="X47" s="15">
        <v>0</v>
      </c>
      <c r="Y47" s="71">
        <f>IF($X47&gt;0,$X47,$G47*LOOKUP($D47,Inputs!$B$63:$B$74,Inputs!$H$63:$H$74)/Inputs!$C$15)</f>
        <v>76.53</v>
      </c>
      <c r="Z47" s="71">
        <f t="shared" si="15"/>
        <v>76.53</v>
      </c>
      <c r="AA47" s="108">
        <f>VLOOKUP(J47,Inputs!$D$127:$H$129,5,FALSE)</f>
        <v>1.2371134020618557</v>
      </c>
      <c r="AB47" s="108">
        <f t="shared" si="16"/>
        <v>94.676288659793826</v>
      </c>
      <c r="AD47" s="27">
        <v>1229582</v>
      </c>
      <c r="AE47" s="27">
        <v>983665.60000000009</v>
      </c>
      <c r="AF47" s="27">
        <v>245916.40000000002</v>
      </c>
      <c r="AG47" s="27">
        <v>0</v>
      </c>
      <c r="AH47" s="27">
        <v>0</v>
      </c>
      <c r="AI47" s="33" t="str">
        <f t="shared" si="5"/>
        <v/>
      </c>
      <c r="AJ47" s="33" t="str">
        <f t="shared" si="6"/>
        <v>FLAG</v>
      </c>
      <c r="AK47" s="33" t="str">
        <f t="shared" si="7"/>
        <v>FLAG</v>
      </c>
      <c r="AL47" s="33" t="str">
        <f t="shared" si="8"/>
        <v/>
      </c>
      <c r="AM47" s="33" t="str">
        <f t="shared" si="9"/>
        <v/>
      </c>
      <c r="AN47" s="28">
        <v>0.8</v>
      </c>
      <c r="AO47" s="28">
        <v>0.2</v>
      </c>
      <c r="AP47" s="28">
        <v>0</v>
      </c>
      <c r="AQ47" s="28">
        <v>0</v>
      </c>
      <c r="AR47" s="33" t="str">
        <f t="shared" si="10"/>
        <v>FLAG</v>
      </c>
      <c r="AS47" s="33" t="str">
        <f t="shared" si="11"/>
        <v>FLAG</v>
      </c>
      <c r="AT47" s="33" t="str">
        <f t="shared" si="12"/>
        <v/>
      </c>
      <c r="AU47" s="33" t="str">
        <f t="shared" si="13"/>
        <v/>
      </c>
    </row>
    <row r="48" spans="1:47" s="1" customFormat="1" x14ac:dyDescent="0.25">
      <c r="B48" s="24">
        <v>1267</v>
      </c>
      <c r="C48" s="24" t="s">
        <v>85</v>
      </c>
      <c r="D48" s="54" t="s">
        <v>63</v>
      </c>
      <c r="E48" s="55">
        <v>1999</v>
      </c>
      <c r="F48" s="55"/>
      <c r="G48" s="27">
        <v>23432</v>
      </c>
      <c r="H48" s="15" t="s">
        <v>16</v>
      </c>
      <c r="I48" s="15" t="s">
        <v>264</v>
      </c>
      <c r="J48" s="8" t="str">
        <f>VLOOKUP($G48,Inputs!$B$127:$F$129,3,TRUE)</f>
        <v>Packaged VAV, DX</v>
      </c>
      <c r="L48" s="46">
        <v>0</v>
      </c>
      <c r="M48" s="29">
        <f t="shared" si="17"/>
        <v>0</v>
      </c>
      <c r="N48" s="29">
        <f t="shared" si="0"/>
        <v>0</v>
      </c>
      <c r="O48" s="29">
        <f t="shared" si="1"/>
        <v>0</v>
      </c>
      <c r="P48" s="29">
        <f t="shared" si="2"/>
        <v>0</v>
      </c>
      <c r="Q48" s="29">
        <f t="shared" si="3"/>
        <v>0</v>
      </c>
      <c r="R48" s="48">
        <v>0</v>
      </c>
      <c r="S48" s="48">
        <v>0</v>
      </c>
      <c r="T48" s="48">
        <v>0</v>
      </c>
      <c r="U48" s="48">
        <v>0</v>
      </c>
      <c r="V48" s="13" t="str">
        <f t="shared" si="4"/>
        <v>FLAG</v>
      </c>
      <c r="W48" s="72">
        <f>SUM(N48:O48)*Inputs!$C$22*(1-Inputs!$C$13)/Inputs!$C$15</f>
        <v>0</v>
      </c>
      <c r="X48" s="15">
        <v>0</v>
      </c>
      <c r="Y48" s="71">
        <f>IF($X48&gt;0,$X48,$G48*LOOKUP($D48,Inputs!$B$63:$B$74,Inputs!$H$63:$H$74)/Inputs!$C$15)</f>
        <v>23.431999999999999</v>
      </c>
      <c r="Z48" s="71">
        <f t="shared" si="15"/>
        <v>23.431999999999999</v>
      </c>
      <c r="AA48" s="108">
        <f>VLOOKUP(J48,Inputs!$D$127:$H$129,5,FALSE)</f>
        <v>1.2371134020618557</v>
      </c>
      <c r="AB48" s="108">
        <f t="shared" si="16"/>
        <v>28.9880412371134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33" t="str">
        <f t="shared" si="5"/>
        <v/>
      </c>
      <c r="AJ48" s="33" t="str">
        <f t="shared" si="6"/>
        <v/>
      </c>
      <c r="AK48" s="33" t="str">
        <f t="shared" si="7"/>
        <v/>
      </c>
      <c r="AL48" s="33" t="str">
        <f t="shared" si="8"/>
        <v/>
      </c>
      <c r="AM48" s="33" t="str">
        <f t="shared" si="9"/>
        <v/>
      </c>
      <c r="AN48" s="28">
        <v>0</v>
      </c>
      <c r="AO48" s="28">
        <v>0</v>
      </c>
      <c r="AP48" s="28">
        <v>0</v>
      </c>
      <c r="AQ48" s="28">
        <v>0</v>
      </c>
      <c r="AR48" s="33" t="str">
        <f t="shared" si="10"/>
        <v/>
      </c>
      <c r="AS48" s="33" t="str">
        <f t="shared" si="11"/>
        <v/>
      </c>
      <c r="AT48" s="33" t="str">
        <f t="shared" si="12"/>
        <v/>
      </c>
      <c r="AU48" s="33" t="str">
        <f t="shared" si="13"/>
        <v/>
      </c>
    </row>
    <row r="49" spans="1:47" s="1" customFormat="1" x14ac:dyDescent="0.25">
      <c r="B49" s="24">
        <v>1097</v>
      </c>
      <c r="C49" s="24" t="s">
        <v>86</v>
      </c>
      <c r="D49" s="54" t="s">
        <v>30</v>
      </c>
      <c r="E49" s="55">
        <v>1999</v>
      </c>
      <c r="F49" s="55"/>
      <c r="G49" s="27">
        <v>34825</v>
      </c>
      <c r="H49" s="15" t="s">
        <v>176</v>
      </c>
      <c r="I49" s="50" t="s">
        <v>259</v>
      </c>
      <c r="J49" s="8" t="str">
        <f>VLOOKUP($G49,Inputs!$B$127:$F$129,3,TRUE)</f>
        <v>Packaged VAV, DX</v>
      </c>
      <c r="L49" s="46">
        <v>0</v>
      </c>
      <c r="M49" s="29">
        <f t="shared" si="17"/>
        <v>0</v>
      </c>
      <c r="N49" s="29">
        <f t="shared" si="0"/>
        <v>0</v>
      </c>
      <c r="O49" s="29">
        <f t="shared" si="1"/>
        <v>0</v>
      </c>
      <c r="P49" s="29">
        <f t="shared" si="2"/>
        <v>0</v>
      </c>
      <c r="Q49" s="29">
        <f t="shared" si="3"/>
        <v>0</v>
      </c>
      <c r="R49" s="31">
        <f>LOOKUP($D49,Inputs!$B$78:$B$89,Inputs!C$78:C$89)</f>
        <v>0.8666666666666667</v>
      </c>
      <c r="S49" s="31">
        <f>LOOKUP($D49,Inputs!$B$78:$B$89,Inputs!D$78:D$89)</f>
        <v>0.13333333333333333</v>
      </c>
      <c r="T49" s="31">
        <f>LOOKUP($D49,Inputs!$B$78:$B$89,Inputs!E$78:E$89)</f>
        <v>0</v>
      </c>
      <c r="U49" s="31">
        <f>LOOKUP($D49,Inputs!$B$78:$B$89,Inputs!F$78:F$89)</f>
        <v>0</v>
      </c>
      <c r="V49" s="13" t="str">
        <f t="shared" si="4"/>
        <v/>
      </c>
      <c r="W49" s="72">
        <f>SUM(N49:O49)*Inputs!$C$22*(1-Inputs!$C$13)/Inputs!$C$15</f>
        <v>0</v>
      </c>
      <c r="X49" s="15">
        <v>0</v>
      </c>
      <c r="Y49" s="71">
        <f>IF($X49&gt;0,$X49,$G49*LOOKUP($D49,Inputs!$B$63:$B$74,Inputs!$H$63:$H$74)/Inputs!$C$15)</f>
        <v>52.237499999999997</v>
      </c>
      <c r="Z49" s="71">
        <f t="shared" si="15"/>
        <v>52.237499999999997</v>
      </c>
      <c r="AA49" s="108">
        <f>VLOOKUP(J49,Inputs!$D$127:$H$129,5,FALSE)</f>
        <v>1.2371134020618557</v>
      </c>
      <c r="AB49" s="108">
        <f t="shared" si="16"/>
        <v>64.623711340206185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33" t="str">
        <f t="shared" si="5"/>
        <v/>
      </c>
      <c r="AJ49" s="33" t="str">
        <f t="shared" si="6"/>
        <v/>
      </c>
      <c r="AK49" s="33" t="str">
        <f t="shared" si="7"/>
        <v/>
      </c>
      <c r="AL49" s="33" t="str">
        <f t="shared" si="8"/>
        <v/>
      </c>
      <c r="AM49" s="33" t="str">
        <f t="shared" si="9"/>
        <v/>
      </c>
      <c r="AN49" s="28">
        <v>0.8</v>
      </c>
      <c r="AO49" s="28">
        <v>0.2</v>
      </c>
      <c r="AP49" s="28">
        <v>0</v>
      </c>
      <c r="AQ49" s="28">
        <v>0</v>
      </c>
      <c r="AR49" s="33" t="str">
        <f t="shared" si="10"/>
        <v>FLAG</v>
      </c>
      <c r="AS49" s="33" t="str">
        <f t="shared" si="11"/>
        <v>FLAG</v>
      </c>
      <c r="AT49" s="33" t="str">
        <f t="shared" si="12"/>
        <v/>
      </c>
      <c r="AU49" s="33" t="str">
        <f t="shared" si="13"/>
        <v/>
      </c>
    </row>
    <row r="50" spans="1:47" s="1" customFormat="1" x14ac:dyDescent="0.25">
      <c r="B50" s="24">
        <v>1372</v>
      </c>
      <c r="C50" s="24" t="s">
        <v>87</v>
      </c>
      <c r="D50" s="54" t="s">
        <v>22</v>
      </c>
      <c r="E50" s="55">
        <v>1927</v>
      </c>
      <c r="F50" s="55"/>
      <c r="G50" s="27">
        <v>124197</v>
      </c>
      <c r="H50" s="15" t="s">
        <v>176</v>
      </c>
      <c r="I50" s="50" t="s">
        <v>259</v>
      </c>
      <c r="J50" s="8" t="str">
        <f>VLOOKUP($G50,Inputs!$B$127:$F$129,3,TRUE)</f>
        <v>Packaged VAV, DX</v>
      </c>
      <c r="L50" s="46">
        <v>32</v>
      </c>
      <c r="M50" s="29">
        <f t="shared" si="17"/>
        <v>3974304</v>
      </c>
      <c r="N50" s="29">
        <f t="shared" si="0"/>
        <v>2026895.04</v>
      </c>
      <c r="O50" s="29">
        <f t="shared" si="1"/>
        <v>1351263.36</v>
      </c>
      <c r="P50" s="29">
        <f t="shared" si="2"/>
        <v>0</v>
      </c>
      <c r="Q50" s="29">
        <f t="shared" si="3"/>
        <v>596145.6</v>
      </c>
      <c r="R50" s="31">
        <f>LOOKUP($D50,Inputs!$B$78:$B$89,Inputs!C$78:C$89)*(1-$U50)</f>
        <v>0.51</v>
      </c>
      <c r="S50" s="31">
        <f>LOOKUP($D50,Inputs!$B$78:$B$89,Inputs!D$78:D$89)*(1-$U50)</f>
        <v>0.34</v>
      </c>
      <c r="T50" s="31">
        <f>LOOKUP($D50,Inputs!$B$78:$B$89,Inputs!E$78:E$89)*(1-$U50)</f>
        <v>0</v>
      </c>
      <c r="U50" s="48">
        <v>0.15</v>
      </c>
      <c r="V50" s="13" t="str">
        <f t="shared" si="4"/>
        <v/>
      </c>
      <c r="W50" s="72">
        <f>SUM(N50:O50)*Inputs!$C$22*(1-Inputs!$C$13)/Inputs!$C$15</f>
        <v>2727.8629079999996</v>
      </c>
      <c r="X50" s="15">
        <v>0</v>
      </c>
      <c r="Y50" s="71">
        <f>IF($X50&gt;0,$X50,$G50*LOOKUP($D50,Inputs!$B$63:$B$74,Inputs!$H$63:$H$74)/Inputs!$C$15)</f>
        <v>124.197</v>
      </c>
      <c r="Z50" s="71">
        <f t="shared" si="15"/>
        <v>124.197</v>
      </c>
      <c r="AA50" s="108">
        <f>VLOOKUP(J50,Inputs!$D$127:$H$129,5,FALSE)</f>
        <v>1.2371134020618557</v>
      </c>
      <c r="AB50" s="108">
        <f t="shared" si="16"/>
        <v>153.6457731958763</v>
      </c>
      <c r="AD50" s="27">
        <v>3974304</v>
      </c>
      <c r="AE50" s="27">
        <v>2026895.04</v>
      </c>
      <c r="AF50" s="27">
        <v>1351263.36</v>
      </c>
      <c r="AG50" s="27">
        <v>0</v>
      </c>
      <c r="AH50" s="27">
        <v>596145.6</v>
      </c>
      <c r="AI50" s="33" t="str">
        <f t="shared" si="5"/>
        <v/>
      </c>
      <c r="AJ50" s="33" t="str">
        <f t="shared" si="6"/>
        <v/>
      </c>
      <c r="AK50" s="33" t="str">
        <f t="shared" si="7"/>
        <v/>
      </c>
      <c r="AL50" s="33" t="str">
        <f t="shared" si="8"/>
        <v/>
      </c>
      <c r="AM50" s="33" t="str">
        <f t="shared" si="9"/>
        <v/>
      </c>
      <c r="AN50" s="28">
        <v>0.51</v>
      </c>
      <c r="AO50" s="28">
        <v>0.34</v>
      </c>
      <c r="AP50" s="28">
        <v>0</v>
      </c>
      <c r="AQ50" s="28">
        <v>0.15</v>
      </c>
      <c r="AR50" s="33" t="str">
        <f t="shared" si="10"/>
        <v/>
      </c>
      <c r="AS50" s="33" t="str">
        <f t="shared" si="11"/>
        <v/>
      </c>
      <c r="AT50" s="33" t="str">
        <f t="shared" si="12"/>
        <v/>
      </c>
      <c r="AU50" s="33" t="str">
        <f t="shared" si="13"/>
        <v/>
      </c>
    </row>
    <row r="51" spans="1:47" s="1" customFormat="1" x14ac:dyDescent="0.25">
      <c r="B51" s="24">
        <v>1373</v>
      </c>
      <c r="C51" s="24" t="s">
        <v>88</v>
      </c>
      <c r="D51" s="54" t="s">
        <v>26</v>
      </c>
      <c r="E51" s="55">
        <v>1907</v>
      </c>
      <c r="F51" s="55"/>
      <c r="G51" s="27">
        <v>141461</v>
      </c>
      <c r="H51" s="15" t="s">
        <v>177</v>
      </c>
      <c r="I51" s="15" t="s">
        <v>260</v>
      </c>
      <c r="J51" s="8" t="str">
        <f>VLOOKUP($G51,Inputs!$B$127:$F$129,3,TRUE)</f>
        <v>Packaged VAV, DX</v>
      </c>
      <c r="L51" s="46">
        <v>32</v>
      </c>
      <c r="M51" s="29">
        <f t="shared" si="17"/>
        <v>4526752</v>
      </c>
      <c r="N51" s="29">
        <f t="shared" si="0"/>
        <v>4074076.8000000003</v>
      </c>
      <c r="O51" s="29">
        <f t="shared" si="1"/>
        <v>452675.2</v>
      </c>
      <c r="P51" s="29">
        <f t="shared" si="2"/>
        <v>0</v>
      </c>
      <c r="Q51" s="29">
        <f t="shared" si="3"/>
        <v>0</v>
      </c>
      <c r="R51" s="31">
        <f>LOOKUP($D51,Inputs!$B$78:$B$89,Inputs!C$78:C$89)</f>
        <v>0.9</v>
      </c>
      <c r="S51" s="31">
        <f>LOOKUP($D51,Inputs!$B$78:$B$89,Inputs!D$78:D$89)</f>
        <v>0.1</v>
      </c>
      <c r="T51" s="31">
        <f>LOOKUP($D51,Inputs!$B$78:$B$89,Inputs!E$78:E$89)</f>
        <v>0</v>
      </c>
      <c r="U51" s="31">
        <f>LOOKUP($D51,Inputs!$B$78:$B$89,Inputs!F$78:F$89)</f>
        <v>0</v>
      </c>
      <c r="V51" s="13" t="str">
        <f t="shared" si="4"/>
        <v/>
      </c>
      <c r="W51" s="72">
        <f>SUM(N51:O51)*Inputs!$C$22*(1-Inputs!$C$13)/Inputs!$C$15</f>
        <v>3655.3522399999993</v>
      </c>
      <c r="X51" s="15">
        <v>600</v>
      </c>
      <c r="Y51" s="71">
        <f>IF($X51&gt;0,$X51,$G51*LOOKUP($D51,Inputs!$B$63:$B$74,Inputs!$H$63:$H$74)/Inputs!$C$15)</f>
        <v>600</v>
      </c>
      <c r="Z51" s="71">
        <f t="shared" si="15"/>
        <v>0</v>
      </c>
      <c r="AA51" s="108">
        <f>VLOOKUP(J51,Inputs!$D$127:$H$129,5,FALSE)</f>
        <v>1.2371134020618557</v>
      </c>
      <c r="AB51" s="108">
        <f t="shared" si="16"/>
        <v>0</v>
      </c>
      <c r="AD51" s="27">
        <v>4526752</v>
      </c>
      <c r="AE51" s="27">
        <v>4074076.8000000003</v>
      </c>
      <c r="AF51" s="27">
        <v>452675.2</v>
      </c>
      <c r="AG51" s="27">
        <v>0</v>
      </c>
      <c r="AH51" s="27">
        <v>0</v>
      </c>
      <c r="AI51" s="33" t="str">
        <f t="shared" si="5"/>
        <v/>
      </c>
      <c r="AJ51" s="33" t="str">
        <f t="shared" si="6"/>
        <v/>
      </c>
      <c r="AK51" s="33" t="str">
        <f t="shared" si="7"/>
        <v/>
      </c>
      <c r="AL51" s="33" t="str">
        <f t="shared" si="8"/>
        <v/>
      </c>
      <c r="AM51" s="33" t="str">
        <f t="shared" si="9"/>
        <v/>
      </c>
      <c r="AN51" s="28">
        <v>0.9</v>
      </c>
      <c r="AO51" s="28">
        <v>0.1</v>
      </c>
      <c r="AP51" s="28">
        <v>0</v>
      </c>
      <c r="AQ51" s="28">
        <v>0</v>
      </c>
      <c r="AR51" s="33" t="str">
        <f t="shared" si="10"/>
        <v/>
      </c>
      <c r="AS51" s="33" t="str">
        <f t="shared" si="11"/>
        <v/>
      </c>
      <c r="AT51" s="33" t="str">
        <f t="shared" si="12"/>
        <v/>
      </c>
      <c r="AU51" s="33" t="str">
        <f t="shared" si="13"/>
        <v/>
      </c>
    </row>
    <row r="52" spans="1:47" x14ac:dyDescent="0.25">
      <c r="A52" s="1"/>
      <c r="B52" s="24">
        <v>1423</v>
      </c>
      <c r="C52" s="24" t="s">
        <v>89</v>
      </c>
      <c r="D52" s="54" t="s">
        <v>26</v>
      </c>
      <c r="E52" s="55">
        <v>1958</v>
      </c>
      <c r="F52" s="55"/>
      <c r="G52" s="27">
        <v>30160</v>
      </c>
      <c r="H52" s="15" t="s">
        <v>176</v>
      </c>
      <c r="I52" s="50" t="s">
        <v>271</v>
      </c>
      <c r="J52" s="8" t="str">
        <f>VLOOKUP($G52,Inputs!$B$127:$F$129,3,TRUE)</f>
        <v>Packaged VAV, DX</v>
      </c>
      <c r="K52" s="1"/>
      <c r="L52" s="46">
        <v>21.1</v>
      </c>
      <c r="M52" s="29">
        <f t="shared" si="17"/>
        <v>636376</v>
      </c>
      <c r="N52" s="29">
        <f t="shared" si="0"/>
        <v>572738.4</v>
      </c>
      <c r="O52" s="29">
        <f t="shared" si="1"/>
        <v>63637.600000000006</v>
      </c>
      <c r="P52" s="29">
        <f t="shared" si="2"/>
        <v>0</v>
      </c>
      <c r="Q52" s="29">
        <f t="shared" si="3"/>
        <v>0</v>
      </c>
      <c r="R52" s="31">
        <f>LOOKUP($D52,Inputs!$B$78:$B$89,Inputs!C$78:C$89)</f>
        <v>0.9</v>
      </c>
      <c r="S52" s="31">
        <f>LOOKUP($D52,Inputs!$B$78:$B$89,Inputs!D$78:D$89)</f>
        <v>0.1</v>
      </c>
      <c r="T52" s="31">
        <f>LOOKUP($D52,Inputs!$B$78:$B$89,Inputs!E$78:E$89)</f>
        <v>0</v>
      </c>
      <c r="U52" s="31">
        <f>LOOKUP($D52,Inputs!$B$78:$B$89,Inputs!F$78:F$89)</f>
        <v>0</v>
      </c>
      <c r="V52" s="13" t="str">
        <f t="shared" si="4"/>
        <v/>
      </c>
      <c r="W52" s="72">
        <f>SUM(N52:O52)*Inputs!$C$22*(1-Inputs!$C$13)/Inputs!$C$15</f>
        <v>513.87361999999996</v>
      </c>
      <c r="X52" s="15">
        <v>0</v>
      </c>
      <c r="Y52" s="71">
        <f>IF($X52&gt;0,$X52,$G52*LOOKUP($D52,Inputs!$B$63:$B$74,Inputs!$H$63:$H$74)/Inputs!$C$15)</f>
        <v>30.16</v>
      </c>
      <c r="Z52" s="71">
        <f t="shared" si="15"/>
        <v>30.16</v>
      </c>
      <c r="AA52" s="108">
        <f>VLOOKUP(J52,Inputs!$D$127:$H$129,5,FALSE)</f>
        <v>1.2371134020618557</v>
      </c>
      <c r="AB52" s="108">
        <f t="shared" si="16"/>
        <v>37.311340206185569</v>
      </c>
      <c r="AC52" s="1"/>
      <c r="AD52" s="27">
        <v>636376</v>
      </c>
      <c r="AE52" s="27">
        <v>572738.4</v>
      </c>
      <c r="AF52" s="27">
        <v>63637.600000000006</v>
      </c>
      <c r="AG52" s="27">
        <v>0</v>
      </c>
      <c r="AH52" s="27">
        <v>0</v>
      </c>
      <c r="AI52" s="33" t="str">
        <f t="shared" si="5"/>
        <v/>
      </c>
      <c r="AJ52" s="33" t="str">
        <f t="shared" si="6"/>
        <v/>
      </c>
      <c r="AK52" s="33" t="str">
        <f t="shared" si="7"/>
        <v/>
      </c>
      <c r="AL52" s="33" t="str">
        <f t="shared" si="8"/>
        <v/>
      </c>
      <c r="AM52" s="33" t="str">
        <f t="shared" si="9"/>
        <v/>
      </c>
      <c r="AN52" s="28">
        <v>0.9</v>
      </c>
      <c r="AO52" s="28">
        <v>0.1</v>
      </c>
      <c r="AP52" s="28">
        <v>0</v>
      </c>
      <c r="AQ52" s="28">
        <v>0</v>
      </c>
      <c r="AR52" s="33" t="str">
        <f t="shared" si="10"/>
        <v/>
      </c>
      <c r="AS52" s="33" t="str">
        <f t="shared" si="11"/>
        <v/>
      </c>
      <c r="AT52" s="33" t="str">
        <f t="shared" si="12"/>
        <v/>
      </c>
      <c r="AU52" s="33" t="str">
        <f t="shared" si="13"/>
        <v/>
      </c>
    </row>
    <row r="53" spans="1:47" s="1" customFormat="1" x14ac:dyDescent="0.25">
      <c r="B53" s="24">
        <v>1375</v>
      </c>
      <c r="C53" s="24" t="s">
        <v>90</v>
      </c>
      <c r="D53" s="54" t="s">
        <v>28</v>
      </c>
      <c r="E53" s="55">
        <v>1924</v>
      </c>
      <c r="F53" s="55">
        <v>2025</v>
      </c>
      <c r="G53" s="27">
        <v>41363</v>
      </c>
      <c r="H53" s="15" t="s">
        <v>177</v>
      </c>
      <c r="I53" s="50" t="s">
        <v>268</v>
      </c>
      <c r="J53" s="8" t="str">
        <f>VLOOKUP($G53,Inputs!$B$127:$F$129,3,TRUE)</f>
        <v>Packaged VAV, DX</v>
      </c>
      <c r="L53" s="46">
        <v>21.3</v>
      </c>
      <c r="M53" s="29">
        <f t="shared" si="17"/>
        <v>881031.9</v>
      </c>
      <c r="N53" s="29">
        <f t="shared" si="0"/>
        <v>704825.52</v>
      </c>
      <c r="O53" s="29">
        <f t="shared" si="1"/>
        <v>176206.38</v>
      </c>
      <c r="P53" s="29">
        <f t="shared" si="2"/>
        <v>0</v>
      </c>
      <c r="Q53" s="29">
        <f t="shared" si="3"/>
        <v>0</v>
      </c>
      <c r="R53" s="31">
        <f>LOOKUP($D53,Inputs!$B$78:$B$89,Inputs!C$78:C$89)</f>
        <v>0.8</v>
      </c>
      <c r="S53" s="31">
        <f>LOOKUP($D53,Inputs!$B$78:$B$89,Inputs!D$78:D$89)</f>
        <v>0.2</v>
      </c>
      <c r="T53" s="31">
        <f>LOOKUP($D53,Inputs!$B$78:$B$89,Inputs!E$78:E$89)</f>
        <v>0</v>
      </c>
      <c r="U53" s="31">
        <f>LOOKUP($D53,Inputs!$B$78:$B$89,Inputs!F$78:F$89)</f>
        <v>0</v>
      </c>
      <c r="V53" s="13" t="str">
        <f t="shared" si="4"/>
        <v/>
      </c>
      <c r="W53" s="72">
        <f>SUM(N53:O53)*Inputs!$C$22*(1-Inputs!$C$13)/Inputs!$C$15</f>
        <v>711.43325924999988</v>
      </c>
      <c r="X53" s="15">
        <v>0</v>
      </c>
      <c r="Y53" s="71">
        <f>IF($X53&gt;0,$X53,$G53*LOOKUP($D53,Inputs!$B$63:$B$74,Inputs!$H$63:$H$74)/Inputs!$C$15)</f>
        <v>103.4075</v>
      </c>
      <c r="Z53" s="71">
        <f t="shared" si="15"/>
        <v>103.4075</v>
      </c>
      <c r="AA53" s="108">
        <f>VLOOKUP(J53,Inputs!$D$127:$H$129,5,FALSE)</f>
        <v>1.2371134020618557</v>
      </c>
      <c r="AB53" s="108">
        <f t="shared" si="16"/>
        <v>127.92680412371135</v>
      </c>
      <c r="AD53" s="27">
        <v>881031.9</v>
      </c>
      <c r="AE53" s="27">
        <v>704825.52</v>
      </c>
      <c r="AF53" s="27">
        <v>176206.38</v>
      </c>
      <c r="AG53" s="27">
        <v>0</v>
      </c>
      <c r="AH53" s="27">
        <v>0</v>
      </c>
      <c r="AI53" s="33" t="str">
        <f t="shared" si="5"/>
        <v/>
      </c>
      <c r="AJ53" s="33" t="str">
        <f t="shared" si="6"/>
        <v/>
      </c>
      <c r="AK53" s="33" t="str">
        <f t="shared" si="7"/>
        <v/>
      </c>
      <c r="AL53" s="33" t="str">
        <f t="shared" si="8"/>
        <v/>
      </c>
      <c r="AM53" s="33" t="str">
        <f t="shared" si="9"/>
        <v/>
      </c>
      <c r="AN53" s="28">
        <v>0.8</v>
      </c>
      <c r="AO53" s="28">
        <v>0.2</v>
      </c>
      <c r="AP53" s="28">
        <v>0</v>
      </c>
      <c r="AQ53" s="28">
        <v>0</v>
      </c>
      <c r="AR53" s="33" t="str">
        <f t="shared" si="10"/>
        <v/>
      </c>
      <c r="AS53" s="33" t="str">
        <f t="shared" si="11"/>
        <v/>
      </c>
      <c r="AT53" s="33" t="str">
        <f t="shared" si="12"/>
        <v/>
      </c>
      <c r="AU53" s="33" t="str">
        <f t="shared" si="13"/>
        <v/>
      </c>
    </row>
    <row r="54" spans="1:47" s="1" customFormat="1" x14ac:dyDescent="0.25">
      <c r="B54" s="24">
        <v>1809</v>
      </c>
      <c r="C54" s="24" t="s">
        <v>91</v>
      </c>
      <c r="D54" s="54" t="s">
        <v>25</v>
      </c>
      <c r="E54" s="55">
        <v>1966</v>
      </c>
      <c r="F54" s="55"/>
      <c r="G54" s="27">
        <v>128126</v>
      </c>
      <c r="H54" s="15" t="s">
        <v>177</v>
      </c>
      <c r="I54" s="50" t="s">
        <v>270</v>
      </c>
      <c r="J54" s="8" t="str">
        <f>VLOOKUP($G54,Inputs!$B$127:$F$129,3,TRUE)</f>
        <v>Packaged VAV, DX</v>
      </c>
      <c r="L54" s="46">
        <v>32</v>
      </c>
      <c r="M54" s="29">
        <f t="shared" si="17"/>
        <v>4100032</v>
      </c>
      <c r="N54" s="29">
        <f t="shared" si="0"/>
        <v>1476011.5200000003</v>
      </c>
      <c r="O54" s="29">
        <f t="shared" si="1"/>
        <v>164001.28000000003</v>
      </c>
      <c r="P54" s="29">
        <f t="shared" si="2"/>
        <v>1640012.8</v>
      </c>
      <c r="Q54" s="29">
        <f t="shared" si="3"/>
        <v>820006.40000000002</v>
      </c>
      <c r="R54" s="31">
        <f>LOOKUP($D54,Inputs!$B$78:$B$89,Inputs!C$78:C$89)*(1-$U54-$T54)</f>
        <v>0.36000000000000004</v>
      </c>
      <c r="S54" s="31">
        <f>LOOKUP($D54,Inputs!$B$78:$B$89,Inputs!D$78:D$89)*(1-$U54-$T54)</f>
        <v>4.0000000000000008E-2</v>
      </c>
      <c r="T54" s="48">
        <v>0.4</v>
      </c>
      <c r="U54" s="48">
        <v>0.2</v>
      </c>
      <c r="V54" s="13" t="str">
        <f t="shared" si="4"/>
        <v/>
      </c>
      <c r="W54" s="72">
        <f>SUM(N54:O54)*Inputs!$C$22*(1-Inputs!$C$13)/Inputs!$C$15</f>
        <v>1324.3103360000002</v>
      </c>
      <c r="X54" s="15">
        <f>150+75+300</f>
        <v>525</v>
      </c>
      <c r="Y54" s="71">
        <f>IF($X54&gt;0,$X54,$G54*LOOKUP($D54,Inputs!$B$63:$B$74,Inputs!$H$63:$H$74)/Inputs!$C$15)</f>
        <v>525</v>
      </c>
      <c r="Z54" s="71">
        <f t="shared" si="15"/>
        <v>0</v>
      </c>
      <c r="AA54" s="108">
        <f>VLOOKUP(J54,Inputs!$D$127:$H$129,5,FALSE)</f>
        <v>1.2371134020618557</v>
      </c>
      <c r="AB54" s="108">
        <f t="shared" si="16"/>
        <v>0</v>
      </c>
      <c r="AD54" s="27">
        <v>4100032</v>
      </c>
      <c r="AE54" s="27">
        <v>1476011.5200000003</v>
      </c>
      <c r="AF54" s="27">
        <v>164001.28000000003</v>
      </c>
      <c r="AG54" s="27">
        <v>1640012.8</v>
      </c>
      <c r="AH54" s="27">
        <v>820006.40000000002</v>
      </c>
      <c r="AI54" s="33" t="str">
        <f t="shared" si="5"/>
        <v/>
      </c>
      <c r="AJ54" s="33" t="str">
        <f t="shared" si="6"/>
        <v/>
      </c>
      <c r="AK54" s="33" t="str">
        <f t="shared" si="7"/>
        <v/>
      </c>
      <c r="AL54" s="33" t="str">
        <f t="shared" si="8"/>
        <v/>
      </c>
      <c r="AM54" s="33" t="str">
        <f t="shared" si="9"/>
        <v/>
      </c>
      <c r="AN54" s="28">
        <v>0.36000000000000004</v>
      </c>
      <c r="AO54" s="28">
        <v>4.0000000000000008E-2</v>
      </c>
      <c r="AP54" s="28">
        <v>0.4</v>
      </c>
      <c r="AQ54" s="28">
        <v>0.2</v>
      </c>
      <c r="AR54" s="33" t="str">
        <f t="shared" si="10"/>
        <v/>
      </c>
      <c r="AS54" s="33" t="str">
        <f t="shared" si="11"/>
        <v/>
      </c>
      <c r="AT54" s="33" t="str">
        <f t="shared" si="12"/>
        <v/>
      </c>
      <c r="AU54" s="33" t="str">
        <f t="shared" si="13"/>
        <v/>
      </c>
    </row>
    <row r="55" spans="1:47" s="1" customFormat="1" x14ac:dyDescent="0.25">
      <c r="B55" s="24">
        <v>1376</v>
      </c>
      <c r="C55" s="24" t="s">
        <v>92</v>
      </c>
      <c r="D55" s="54" t="s">
        <v>24</v>
      </c>
      <c r="E55" s="55">
        <v>1917</v>
      </c>
      <c r="F55" s="55"/>
      <c r="G55" s="27">
        <v>77055</v>
      </c>
      <c r="H55" s="15" t="s">
        <v>175</v>
      </c>
      <c r="I55" s="50" t="s">
        <v>269</v>
      </c>
      <c r="J55" s="8" t="str">
        <f>VLOOKUP($G55,Inputs!$B$127:$F$129,3,TRUE)</f>
        <v>Packaged VAV, DX</v>
      </c>
      <c r="L55" s="46">
        <v>32</v>
      </c>
      <c r="M55" s="29">
        <f t="shared" si="17"/>
        <v>2465760</v>
      </c>
      <c r="N55" s="29">
        <f t="shared" si="0"/>
        <v>1972608</v>
      </c>
      <c r="O55" s="29">
        <f t="shared" si="1"/>
        <v>493152</v>
      </c>
      <c r="P55" s="29">
        <f t="shared" si="2"/>
        <v>0</v>
      </c>
      <c r="Q55" s="29">
        <f t="shared" si="3"/>
        <v>0</v>
      </c>
      <c r="R55" s="31">
        <f>LOOKUP($D55,Inputs!$B$78:$B$89,Inputs!C$78:C$89)*(1-$U55)</f>
        <v>0.8</v>
      </c>
      <c r="S55" s="31">
        <f>LOOKUP($D55,Inputs!$B$78:$B$89,Inputs!D$78:D$89)*(1-$U55)</f>
        <v>0.2</v>
      </c>
      <c r="T55" s="31">
        <f>LOOKUP($D55,Inputs!$B$78:$B$89,Inputs!E$78:E$89)*(1-$U55)</f>
        <v>0</v>
      </c>
      <c r="U55" s="48">
        <v>0</v>
      </c>
      <c r="V55" s="13" t="str">
        <f t="shared" si="4"/>
        <v/>
      </c>
      <c r="W55" s="72">
        <f>SUM(N55:O55)*Inputs!$C$22*(1-Inputs!$C$13)/Inputs!$C$15</f>
        <v>1991.1012000000001</v>
      </c>
      <c r="X55" s="15">
        <v>0</v>
      </c>
      <c r="Y55" s="71">
        <f>IF($X55&gt;0,$X55,$G55*LOOKUP($D55,Inputs!$B$63:$B$74,Inputs!$H$63:$H$74)/Inputs!$C$15)</f>
        <v>192.63749999999999</v>
      </c>
      <c r="Z55" s="71">
        <f t="shared" si="15"/>
        <v>192.63749999999999</v>
      </c>
      <c r="AA55" s="108">
        <f>VLOOKUP(J55,Inputs!$D$127:$H$129,5,FALSE)</f>
        <v>1.2371134020618557</v>
      </c>
      <c r="AB55" s="108">
        <f t="shared" si="16"/>
        <v>238.31443298969072</v>
      </c>
      <c r="AD55" s="27">
        <v>2465760</v>
      </c>
      <c r="AE55" s="27">
        <v>1972608</v>
      </c>
      <c r="AF55" s="27">
        <v>493152</v>
      </c>
      <c r="AG55" s="27">
        <v>0</v>
      </c>
      <c r="AH55" s="27">
        <v>0</v>
      </c>
      <c r="AI55" s="33" t="str">
        <f t="shared" si="5"/>
        <v/>
      </c>
      <c r="AJ55" s="33" t="str">
        <f t="shared" si="6"/>
        <v/>
      </c>
      <c r="AK55" s="33" t="str">
        <f t="shared" si="7"/>
        <v/>
      </c>
      <c r="AL55" s="33" t="str">
        <f t="shared" si="8"/>
        <v/>
      </c>
      <c r="AM55" s="33" t="str">
        <f t="shared" si="9"/>
        <v/>
      </c>
      <c r="AN55" s="28">
        <v>0.8</v>
      </c>
      <c r="AO55" s="28">
        <v>0.2</v>
      </c>
      <c r="AP55" s="28">
        <v>0</v>
      </c>
      <c r="AQ55" s="28">
        <v>0</v>
      </c>
      <c r="AR55" s="33" t="str">
        <f t="shared" si="10"/>
        <v/>
      </c>
      <c r="AS55" s="33" t="str">
        <f t="shared" si="11"/>
        <v/>
      </c>
      <c r="AT55" s="33" t="str">
        <f t="shared" si="12"/>
        <v/>
      </c>
      <c r="AU55" s="33" t="str">
        <f t="shared" si="13"/>
        <v/>
      </c>
    </row>
    <row r="56" spans="1:47" s="1" customFormat="1" x14ac:dyDescent="0.25">
      <c r="B56" s="24">
        <v>1390</v>
      </c>
      <c r="C56" s="24" t="s">
        <v>93</v>
      </c>
      <c r="D56" s="54" t="s">
        <v>32</v>
      </c>
      <c r="E56" s="55">
        <v>1930</v>
      </c>
      <c r="F56" s="55"/>
      <c r="G56" s="27">
        <v>185200</v>
      </c>
      <c r="H56" s="15" t="s">
        <v>176</v>
      </c>
      <c r="I56" s="50" t="s">
        <v>262</v>
      </c>
      <c r="J56" s="8" t="str">
        <f>VLOOKUP($G56,Inputs!$B$127:$F$129,3,TRUE)</f>
        <v>Water-cooled chiller</v>
      </c>
      <c r="L56" s="46">
        <v>32</v>
      </c>
      <c r="M56" s="29">
        <f t="shared" si="17"/>
        <v>5926400</v>
      </c>
      <c r="N56" s="29">
        <f t="shared" si="0"/>
        <v>2963200</v>
      </c>
      <c r="O56" s="29">
        <f t="shared" si="1"/>
        <v>2963200</v>
      </c>
      <c r="P56" s="29">
        <f t="shared" si="2"/>
        <v>0</v>
      </c>
      <c r="Q56" s="29">
        <f t="shared" si="3"/>
        <v>0</v>
      </c>
      <c r="R56" s="31">
        <f>LOOKUP($D56,Inputs!$B$78:$B$89,Inputs!C$78:C$89)</f>
        <v>0.5</v>
      </c>
      <c r="S56" s="31">
        <f>LOOKUP($D56,Inputs!$B$78:$B$89,Inputs!D$78:D$89)</f>
        <v>0.5</v>
      </c>
      <c r="T56" s="31">
        <f>LOOKUP($D56,Inputs!$B$78:$B$89,Inputs!E$78:E$89)</f>
        <v>0</v>
      </c>
      <c r="U56" s="31">
        <f>LOOKUP($D56,Inputs!$B$78:$B$89,Inputs!F$78:F$89)</f>
        <v>0</v>
      </c>
      <c r="V56" s="13" t="str">
        <f t="shared" si="4"/>
        <v/>
      </c>
      <c r="W56" s="72">
        <f>SUM(N56:O56)*Inputs!$C$22*(1-Inputs!$C$13)/Inputs!$C$15</f>
        <v>4785.5680000000002</v>
      </c>
      <c r="X56" s="15">
        <v>0</v>
      </c>
      <c r="Y56" s="71">
        <f>IF($X56&gt;0,$X56,$G56*LOOKUP($D56,Inputs!$B$63:$B$74,Inputs!$H$63:$H$74)/Inputs!$C$15)</f>
        <v>129.63999999999999</v>
      </c>
      <c r="Z56" s="71">
        <f t="shared" si="15"/>
        <v>129.63999999999999</v>
      </c>
      <c r="AA56" s="108">
        <f>VLOOKUP(J56,Inputs!$D$127:$H$129,5,FALSE)</f>
        <v>0.58499999999999996</v>
      </c>
      <c r="AB56" s="108">
        <f t="shared" si="16"/>
        <v>75.839399999999983</v>
      </c>
      <c r="AD56" s="27">
        <v>5926400</v>
      </c>
      <c r="AE56" s="27">
        <v>2963200</v>
      </c>
      <c r="AF56" s="27">
        <v>2963200</v>
      </c>
      <c r="AG56" s="27">
        <v>0</v>
      </c>
      <c r="AH56" s="27">
        <v>0</v>
      </c>
      <c r="AI56" s="33" t="str">
        <f t="shared" si="5"/>
        <v/>
      </c>
      <c r="AJ56" s="33" t="str">
        <f t="shared" si="6"/>
        <v/>
      </c>
      <c r="AK56" s="33" t="str">
        <f t="shared" si="7"/>
        <v/>
      </c>
      <c r="AL56" s="33" t="str">
        <f t="shared" si="8"/>
        <v/>
      </c>
      <c r="AM56" s="33" t="str">
        <f t="shared" si="9"/>
        <v/>
      </c>
      <c r="AN56" s="28">
        <v>0.5</v>
      </c>
      <c r="AO56" s="28">
        <v>0.5</v>
      </c>
      <c r="AP56" s="28">
        <v>0</v>
      </c>
      <c r="AQ56" s="28">
        <v>0</v>
      </c>
      <c r="AR56" s="33" t="str">
        <f t="shared" si="10"/>
        <v/>
      </c>
      <c r="AS56" s="33" t="str">
        <f t="shared" si="11"/>
        <v/>
      </c>
      <c r="AT56" s="33" t="str">
        <f t="shared" si="12"/>
        <v/>
      </c>
      <c r="AU56" s="33" t="str">
        <f t="shared" si="13"/>
        <v/>
      </c>
    </row>
    <row r="57" spans="1:47" x14ac:dyDescent="0.25">
      <c r="A57" s="1"/>
      <c r="B57" s="69">
        <v>1032</v>
      </c>
      <c r="C57" s="68" t="s">
        <v>154</v>
      </c>
      <c r="D57" s="59" t="s">
        <v>28</v>
      </c>
      <c r="E57" s="59">
        <v>2015</v>
      </c>
      <c r="F57" s="59"/>
      <c r="G57" s="57">
        <v>24000</v>
      </c>
      <c r="H57" s="15" t="s">
        <v>177</v>
      </c>
      <c r="I57" s="50" t="s">
        <v>267</v>
      </c>
      <c r="J57" s="8" t="str">
        <f>VLOOKUP($G57,Inputs!$B$127:$F$129,3,TRUE)</f>
        <v>Packaged VAV, DX</v>
      </c>
      <c r="L57" s="52">
        <f>LOOKUP($D57,Inputs!$B$63:$B$74,Inputs!$G$63:$G$74)</f>
        <v>35.940000000000005</v>
      </c>
      <c r="M57" s="29">
        <f t="shared" si="17"/>
        <v>862560.00000000012</v>
      </c>
      <c r="N57" s="49">
        <f>$M57*R57</f>
        <v>483033.60000000003</v>
      </c>
      <c r="O57" s="29">
        <f>$M57*S57</f>
        <v>120758.40000000001</v>
      </c>
      <c r="P57" s="29">
        <f>$M57*T57</f>
        <v>0</v>
      </c>
      <c r="Q57" s="29">
        <f>$M57*U57</f>
        <v>258768.00000000003</v>
      </c>
      <c r="R57" s="31">
        <f>LOOKUP($D57,Inputs!$B$78:$B$89,Inputs!C$78:C$89)*(1-$U57)</f>
        <v>0.55999999999999994</v>
      </c>
      <c r="S57" s="31">
        <f>LOOKUP($D57,Inputs!$B$78:$B$89,Inputs!D$78:D$89)*(1-$U57)</f>
        <v>0.13999999999999999</v>
      </c>
      <c r="T57" s="31">
        <f>LOOKUP($D57,Inputs!$B$78:$B$89,Inputs!E$78:E$89)*(1-$U57)</f>
        <v>0</v>
      </c>
      <c r="U57" s="48">
        <v>0.3</v>
      </c>
      <c r="V57" s="13" t="str">
        <f>IF(SUM(R57:U57)=100%,"","FLAG")</f>
        <v/>
      </c>
      <c r="W57" s="72">
        <f>SUM(N57:O57)*Inputs!$C$22*(1-Inputs!$C$13)/Inputs!$C$15</f>
        <v>487.56203999999997</v>
      </c>
      <c r="X57" s="15">
        <v>0</v>
      </c>
      <c r="Y57" s="71">
        <f>IF($X57&gt;0,$X57,$G57*LOOKUP($D57,Inputs!$B$63:$B$74,Inputs!$H$63:$H$74)/Inputs!$C$15)</f>
        <v>60</v>
      </c>
      <c r="Z57" s="71">
        <f t="shared" si="15"/>
        <v>60</v>
      </c>
      <c r="AA57" s="108">
        <f>VLOOKUP(J57,Inputs!$D$127:$H$129,5,FALSE)</f>
        <v>1.2371134020618557</v>
      </c>
      <c r="AB57" s="108">
        <f t="shared" si="16"/>
        <v>74.226804123711347</v>
      </c>
      <c r="AC57" s="1"/>
      <c r="AD57" s="29">
        <f>AC57*U57</f>
        <v>0</v>
      </c>
      <c r="AE57" s="29"/>
      <c r="AF57" s="29"/>
      <c r="AG57" s="29"/>
      <c r="AH57" s="29"/>
    </row>
    <row r="58" spans="1:47" s="1" customFormat="1" x14ac:dyDescent="0.25">
      <c r="B58" s="24">
        <v>1796</v>
      </c>
      <c r="C58" s="24" t="s">
        <v>94</v>
      </c>
      <c r="D58" s="54" t="s">
        <v>24</v>
      </c>
      <c r="E58" s="55">
        <v>1990</v>
      </c>
      <c r="F58" s="55"/>
      <c r="G58" s="27">
        <v>153700</v>
      </c>
      <c r="H58" s="15" t="s">
        <v>175</v>
      </c>
      <c r="I58" s="50" t="s">
        <v>258</v>
      </c>
      <c r="J58" s="8" t="str">
        <f>VLOOKUP($G58,Inputs!$B$127:$F$129,3,TRUE)</f>
        <v>Water-cooled chiller</v>
      </c>
      <c r="L58" s="46">
        <v>32</v>
      </c>
      <c r="M58" s="29">
        <f t="shared" si="17"/>
        <v>4918400</v>
      </c>
      <c r="N58" s="29">
        <f t="shared" si="0"/>
        <v>2754303.9999999995</v>
      </c>
      <c r="O58" s="29">
        <f t="shared" si="1"/>
        <v>688575.99999999988</v>
      </c>
      <c r="P58" s="29">
        <f t="shared" si="2"/>
        <v>0</v>
      </c>
      <c r="Q58" s="29">
        <f t="shared" si="3"/>
        <v>1475520</v>
      </c>
      <c r="R58" s="31">
        <f>LOOKUP($D58,Inputs!$B$78:$B$89,Inputs!C$78:C$89)*(1-$U58)</f>
        <v>0.55999999999999994</v>
      </c>
      <c r="S58" s="31">
        <f>LOOKUP($D58,Inputs!$B$78:$B$89,Inputs!D$78:D$89)*(1-$U58)</f>
        <v>0.13999999999999999</v>
      </c>
      <c r="T58" s="31">
        <f>LOOKUP($D58,Inputs!$B$78:$B$89,Inputs!E$78:E$89)*(1-$U58)</f>
        <v>0</v>
      </c>
      <c r="U58" s="48">
        <v>0.3</v>
      </c>
      <c r="V58" s="13" t="str">
        <f t="shared" si="4"/>
        <v/>
      </c>
      <c r="W58" s="72">
        <f>SUM(N58:O58)*Inputs!$C$22*(1-Inputs!$C$13)/Inputs!$C$15</f>
        <v>2780.1255999999998</v>
      </c>
      <c r="X58" s="15">
        <v>720</v>
      </c>
      <c r="Y58" s="71">
        <f>IF($X58&gt;0,$X58,$G58*LOOKUP($D58,Inputs!$B$63:$B$74,Inputs!$H$63:$H$74)/Inputs!$C$15)</f>
        <v>720</v>
      </c>
      <c r="Z58" s="71">
        <f t="shared" si="15"/>
        <v>0</v>
      </c>
      <c r="AA58" s="108">
        <f>VLOOKUP(J58,Inputs!$D$127:$H$129,5,FALSE)</f>
        <v>0.58499999999999996</v>
      </c>
      <c r="AB58" s="108">
        <f t="shared" si="16"/>
        <v>0</v>
      </c>
      <c r="AD58" s="27">
        <v>4918400</v>
      </c>
      <c r="AE58" s="27">
        <v>2754303.9999999995</v>
      </c>
      <c r="AF58" s="27">
        <v>688575.99999999988</v>
      </c>
      <c r="AG58" s="27">
        <v>0</v>
      </c>
      <c r="AH58" s="27">
        <v>1475520</v>
      </c>
      <c r="AI58" s="33" t="str">
        <f t="shared" ref="AI58:AI101" si="18">IF(M58-AD58=0,"","FLAG")</f>
        <v/>
      </c>
      <c r="AJ58" s="33" t="str">
        <f t="shared" ref="AJ58:AJ101" si="19">IF(N58-AE58=0,"","FLAG")</f>
        <v/>
      </c>
      <c r="AK58" s="33" t="str">
        <f t="shared" ref="AK58:AK101" si="20">IF(O58-AF58=0,"","FLAG")</f>
        <v/>
      </c>
      <c r="AL58" s="33" t="str">
        <f t="shared" ref="AL58:AL101" si="21">IF(P58-AG58=0,"","FLAG")</f>
        <v/>
      </c>
      <c r="AM58" s="33" t="str">
        <f t="shared" ref="AM58:AM101" si="22">IF(Q58-AH58=0,"","FLAG")</f>
        <v/>
      </c>
      <c r="AN58" s="28">
        <v>0.55999999999999994</v>
      </c>
      <c r="AO58" s="28">
        <v>0.13999999999999999</v>
      </c>
      <c r="AP58" s="28">
        <v>0</v>
      </c>
      <c r="AQ58" s="28">
        <v>0.3</v>
      </c>
      <c r="AR58" s="33" t="str">
        <f t="shared" ref="AR58:AR101" si="23">IF(R58-AN58=0,"","FLAG")</f>
        <v/>
      </c>
      <c r="AS58" s="33" t="str">
        <f t="shared" ref="AS58:AS101" si="24">IF(S58-AO58=0,"","FLAG")</f>
        <v/>
      </c>
      <c r="AT58" s="33" t="str">
        <f t="shared" ref="AT58:AT101" si="25">IF(T58-AP58=0,"","FLAG")</f>
        <v/>
      </c>
      <c r="AU58" s="33" t="str">
        <f t="shared" ref="AU58:AU101" si="26">IF(U58-AQ58=0,"","FLAG")</f>
        <v/>
      </c>
    </row>
    <row r="59" spans="1:47" s="1" customFormat="1" x14ac:dyDescent="0.25">
      <c r="B59" s="24">
        <v>1486</v>
      </c>
      <c r="C59" s="24" t="s">
        <v>95</v>
      </c>
      <c r="D59" s="54" t="s">
        <v>26</v>
      </c>
      <c r="E59" s="55">
        <v>1959</v>
      </c>
      <c r="F59" s="55"/>
      <c r="G59" s="27">
        <v>117814</v>
      </c>
      <c r="H59" s="15" t="s">
        <v>176</v>
      </c>
      <c r="I59" s="50" t="s">
        <v>271</v>
      </c>
      <c r="J59" s="8" t="str">
        <f>VLOOKUP($G59,Inputs!$B$127:$F$129,3,TRUE)</f>
        <v>Packaged VAV, DX</v>
      </c>
      <c r="L59" s="46">
        <v>8.1999999999999993</v>
      </c>
      <c r="M59" s="29">
        <f t="shared" si="17"/>
        <v>966074.79999999993</v>
      </c>
      <c r="N59" s="29">
        <f t="shared" si="0"/>
        <v>869467.32</v>
      </c>
      <c r="O59" s="29">
        <f t="shared" si="1"/>
        <v>96607.48</v>
      </c>
      <c r="P59" s="29">
        <f t="shared" si="2"/>
        <v>0</v>
      </c>
      <c r="Q59" s="29">
        <f t="shared" si="3"/>
        <v>0</v>
      </c>
      <c r="R59" s="31">
        <f>LOOKUP($D59,Inputs!$B$78:$B$89,Inputs!C$78:C$89)</f>
        <v>0.9</v>
      </c>
      <c r="S59" s="31">
        <f>LOOKUP($D59,Inputs!$B$78:$B$89,Inputs!D$78:D$89)</f>
        <v>0.1</v>
      </c>
      <c r="T59" s="31">
        <f>LOOKUP($D59,Inputs!$B$78:$B$89,Inputs!E$78:E$89)</f>
        <v>0</v>
      </c>
      <c r="U59" s="31">
        <f>LOOKUP($D59,Inputs!$B$78:$B$89,Inputs!F$78:F$89)</f>
        <v>0</v>
      </c>
      <c r="V59" s="13" t="str">
        <f t="shared" si="4"/>
        <v/>
      </c>
      <c r="W59" s="72">
        <f>SUM(N59:O59)*Inputs!$C$22*(1-Inputs!$C$13)/Inputs!$C$15</f>
        <v>780.10540099999992</v>
      </c>
      <c r="X59" s="15">
        <v>0</v>
      </c>
      <c r="Y59" s="71">
        <f>IF($X59&gt;0,$X59,$G59*LOOKUP($D59,Inputs!$B$63:$B$74,Inputs!$H$63:$H$74)/Inputs!$C$15)</f>
        <v>117.81399999999999</v>
      </c>
      <c r="Z59" s="71">
        <f t="shared" si="15"/>
        <v>117.81399999999999</v>
      </c>
      <c r="AA59" s="108">
        <f>VLOOKUP(J59,Inputs!$D$127:$H$129,5,FALSE)</f>
        <v>1.2371134020618557</v>
      </c>
      <c r="AB59" s="108">
        <f t="shared" si="16"/>
        <v>145.74927835051545</v>
      </c>
      <c r="AD59" s="27">
        <v>966074.79999999993</v>
      </c>
      <c r="AE59" s="27">
        <v>869467.32</v>
      </c>
      <c r="AF59" s="27">
        <v>96607.48</v>
      </c>
      <c r="AG59" s="27">
        <v>0</v>
      </c>
      <c r="AH59" s="27">
        <v>0</v>
      </c>
      <c r="AI59" s="33" t="str">
        <f t="shared" si="18"/>
        <v/>
      </c>
      <c r="AJ59" s="33" t="str">
        <f t="shared" si="19"/>
        <v/>
      </c>
      <c r="AK59" s="33" t="str">
        <f t="shared" si="20"/>
        <v/>
      </c>
      <c r="AL59" s="33" t="str">
        <f t="shared" si="21"/>
        <v/>
      </c>
      <c r="AM59" s="33" t="str">
        <f t="shared" si="22"/>
        <v/>
      </c>
      <c r="AN59" s="28">
        <v>0.9</v>
      </c>
      <c r="AO59" s="28">
        <v>0.1</v>
      </c>
      <c r="AP59" s="28">
        <v>0</v>
      </c>
      <c r="AQ59" s="28">
        <v>0</v>
      </c>
      <c r="AR59" s="33" t="str">
        <f t="shared" si="23"/>
        <v/>
      </c>
      <c r="AS59" s="33" t="str">
        <f t="shared" si="24"/>
        <v/>
      </c>
      <c r="AT59" s="33" t="str">
        <f t="shared" si="25"/>
        <v/>
      </c>
      <c r="AU59" s="33" t="str">
        <f t="shared" si="26"/>
        <v/>
      </c>
    </row>
    <row r="60" spans="1:47" x14ac:dyDescent="0.25">
      <c r="A60" s="1"/>
      <c r="B60" s="24">
        <v>1782</v>
      </c>
      <c r="C60" s="24" t="s">
        <v>96</v>
      </c>
      <c r="D60" s="54" t="s">
        <v>25</v>
      </c>
      <c r="E60" s="55">
        <v>1963</v>
      </c>
      <c r="F60" s="55"/>
      <c r="G60" s="27">
        <v>182943</v>
      </c>
      <c r="H60" s="15" t="s">
        <v>177</v>
      </c>
      <c r="I60" s="50" t="s">
        <v>270</v>
      </c>
      <c r="J60" s="8" t="str">
        <f>VLOOKUP($G60,Inputs!$B$127:$F$129,3,TRUE)</f>
        <v>Water-cooled chiller</v>
      </c>
      <c r="K60" s="1"/>
      <c r="L60" s="46">
        <v>45</v>
      </c>
      <c r="M60" s="29">
        <f t="shared" si="17"/>
        <v>8232435</v>
      </c>
      <c r="N60" s="29">
        <f t="shared" si="0"/>
        <v>7409191.5</v>
      </c>
      <c r="O60" s="29">
        <f t="shared" si="1"/>
        <v>823243.5</v>
      </c>
      <c r="P60" s="27">
        <f>8585*Inputs!$C$14</f>
        <v>8327450</v>
      </c>
      <c r="Q60" s="29">
        <f t="shared" si="3"/>
        <v>0</v>
      </c>
      <c r="R60" s="31">
        <f>LOOKUP($D60,Inputs!$B$78:$B$89,Inputs!C$78:C$89)</f>
        <v>0.9</v>
      </c>
      <c r="S60" s="31">
        <f>LOOKUP($D60,Inputs!$B$78:$B$89,Inputs!D$78:D$89)</f>
        <v>0.1</v>
      </c>
      <c r="T60" s="31">
        <f>LOOKUP($D60,Inputs!$B$78:$B$89,Inputs!E$78:E$89)</f>
        <v>0</v>
      </c>
      <c r="U60" s="48">
        <v>0</v>
      </c>
      <c r="V60" s="13" t="str">
        <f t="shared" si="4"/>
        <v/>
      </c>
      <c r="W60" s="72">
        <f>SUM(N60:O60)*Inputs!$C$22*(1-Inputs!$C$13)/Inputs!$C$15</f>
        <v>6647.6912625000004</v>
      </c>
      <c r="X60" s="15">
        <f>100+400</f>
        <v>500</v>
      </c>
      <c r="Y60" s="71">
        <f>IF($X60&gt;0,$X60,$G60*LOOKUP($D60,Inputs!$B$63:$B$74,Inputs!$H$63:$H$74)/Inputs!$C$15)</f>
        <v>500</v>
      </c>
      <c r="Z60" s="71">
        <f t="shared" si="15"/>
        <v>0</v>
      </c>
      <c r="AA60" s="108">
        <f>VLOOKUP(J60,Inputs!$D$127:$H$129,5,FALSE)</f>
        <v>0.58499999999999996</v>
      </c>
      <c r="AB60" s="108">
        <f t="shared" si="16"/>
        <v>0</v>
      </c>
      <c r="AC60" s="1"/>
      <c r="AD60" s="27">
        <v>8232435</v>
      </c>
      <c r="AE60" s="27">
        <v>7409191.5</v>
      </c>
      <c r="AF60" s="27">
        <v>823243.5</v>
      </c>
      <c r="AG60" s="27">
        <v>8327450</v>
      </c>
      <c r="AH60" s="27">
        <v>0</v>
      </c>
      <c r="AI60" s="33" t="str">
        <f t="shared" si="18"/>
        <v/>
      </c>
      <c r="AJ60" s="33" t="str">
        <f t="shared" si="19"/>
        <v/>
      </c>
      <c r="AK60" s="33" t="str">
        <f t="shared" si="20"/>
        <v/>
      </c>
      <c r="AL60" s="33" t="str">
        <f t="shared" si="21"/>
        <v/>
      </c>
      <c r="AM60" s="33" t="str">
        <f t="shared" si="22"/>
        <v/>
      </c>
      <c r="AN60" s="28">
        <v>0.9</v>
      </c>
      <c r="AO60" s="28">
        <v>0.1</v>
      </c>
      <c r="AP60" s="28">
        <v>0</v>
      </c>
      <c r="AQ60" s="28">
        <v>0</v>
      </c>
      <c r="AR60" s="33" t="str">
        <f t="shared" si="23"/>
        <v/>
      </c>
      <c r="AS60" s="33" t="str">
        <f t="shared" si="24"/>
        <v/>
      </c>
      <c r="AT60" s="33" t="str">
        <f t="shared" si="25"/>
        <v/>
      </c>
      <c r="AU60" s="33" t="str">
        <f t="shared" si="26"/>
        <v/>
      </c>
    </row>
    <row r="61" spans="1:47" s="1" customFormat="1" x14ac:dyDescent="0.25">
      <c r="B61" s="24">
        <v>1405</v>
      </c>
      <c r="C61" s="24" t="s">
        <v>97</v>
      </c>
      <c r="D61" s="54" t="s">
        <v>30</v>
      </c>
      <c r="E61" s="55">
        <v>1924</v>
      </c>
      <c r="F61" s="55"/>
      <c r="G61" s="27">
        <v>148032</v>
      </c>
      <c r="H61" s="15" t="s">
        <v>177</v>
      </c>
      <c r="I61" s="50" t="s">
        <v>261</v>
      </c>
      <c r="J61" s="8" t="str">
        <f>VLOOKUP($G61,Inputs!$B$127:$F$129,3,TRUE)</f>
        <v>Packaged VAV, DX</v>
      </c>
      <c r="L61" s="46">
        <v>32</v>
      </c>
      <c r="M61" s="29">
        <f t="shared" si="17"/>
        <v>4737024</v>
      </c>
      <c r="N61" s="29">
        <f t="shared" si="0"/>
        <v>4105420.8000000003</v>
      </c>
      <c r="O61" s="29">
        <f t="shared" si="1"/>
        <v>631603.19999999995</v>
      </c>
      <c r="P61" s="29">
        <f t="shared" si="2"/>
        <v>0</v>
      </c>
      <c r="Q61" s="29">
        <f t="shared" si="3"/>
        <v>0</v>
      </c>
      <c r="R61" s="31">
        <f>LOOKUP($D61,Inputs!$B$78:$B$89,Inputs!C$78:C$89)</f>
        <v>0.8666666666666667</v>
      </c>
      <c r="S61" s="31">
        <f>LOOKUP($D61,Inputs!$B$78:$B$89,Inputs!D$78:D$89)</f>
        <v>0.13333333333333333</v>
      </c>
      <c r="T61" s="31">
        <f>LOOKUP($D61,Inputs!$B$78:$B$89,Inputs!E$78:E$89)</f>
        <v>0</v>
      </c>
      <c r="U61" s="31">
        <f>LOOKUP($D61,Inputs!$B$78:$B$89,Inputs!F$78:F$89)</f>
        <v>0</v>
      </c>
      <c r="V61" s="13" t="str">
        <f t="shared" si="4"/>
        <v/>
      </c>
      <c r="W61" s="72">
        <f>SUM(N61:O61)*Inputs!$C$22*(1-Inputs!$C$13)/Inputs!$C$15</f>
        <v>3825.1468799999998</v>
      </c>
      <c r="X61" s="15">
        <v>100</v>
      </c>
      <c r="Y61" s="71">
        <f>IF($X61&gt;0,$X61,$G61*LOOKUP($D61,Inputs!$B$63:$B$74,Inputs!$H$63:$H$74)/Inputs!$C$15)</f>
        <v>100</v>
      </c>
      <c r="Z61" s="71">
        <f t="shared" si="15"/>
        <v>0</v>
      </c>
      <c r="AA61" s="108">
        <f>VLOOKUP(J61,Inputs!$D$127:$H$129,5,FALSE)</f>
        <v>1.2371134020618557</v>
      </c>
      <c r="AB61" s="108">
        <f t="shared" si="16"/>
        <v>0</v>
      </c>
      <c r="AD61" s="27">
        <v>4737024</v>
      </c>
      <c r="AE61" s="27">
        <v>3789619.2000000002</v>
      </c>
      <c r="AF61" s="27">
        <v>947404.80000000005</v>
      </c>
      <c r="AG61" s="27">
        <v>0</v>
      </c>
      <c r="AH61" s="27">
        <v>0</v>
      </c>
      <c r="AI61" s="33" t="str">
        <f t="shared" si="18"/>
        <v/>
      </c>
      <c r="AJ61" s="33" t="str">
        <f t="shared" si="19"/>
        <v>FLAG</v>
      </c>
      <c r="AK61" s="33" t="str">
        <f t="shared" si="20"/>
        <v>FLAG</v>
      </c>
      <c r="AL61" s="33" t="str">
        <f t="shared" si="21"/>
        <v/>
      </c>
      <c r="AM61" s="33" t="str">
        <f t="shared" si="22"/>
        <v/>
      </c>
      <c r="AN61" s="28">
        <v>0.8</v>
      </c>
      <c r="AO61" s="28">
        <v>0.2</v>
      </c>
      <c r="AP61" s="28">
        <v>0</v>
      </c>
      <c r="AQ61" s="28">
        <v>0</v>
      </c>
      <c r="AR61" s="33" t="str">
        <f t="shared" si="23"/>
        <v>FLAG</v>
      </c>
      <c r="AS61" s="33" t="str">
        <f t="shared" si="24"/>
        <v>FLAG</v>
      </c>
      <c r="AT61" s="33" t="str">
        <f t="shared" si="25"/>
        <v/>
      </c>
      <c r="AU61" s="33" t="str">
        <f t="shared" si="26"/>
        <v/>
      </c>
    </row>
    <row r="62" spans="1:47" s="1" customFormat="1" x14ac:dyDescent="0.25">
      <c r="B62" s="24">
        <v>1292</v>
      </c>
      <c r="C62" s="24" t="s">
        <v>98</v>
      </c>
      <c r="D62" s="54" t="s">
        <v>25</v>
      </c>
      <c r="E62" s="55">
        <v>1948</v>
      </c>
      <c r="F62" s="55"/>
      <c r="G62" s="27">
        <v>68146</v>
      </c>
      <c r="H62" s="15" t="s">
        <v>177</v>
      </c>
      <c r="I62" s="50" t="s">
        <v>270</v>
      </c>
      <c r="J62" s="8" t="str">
        <f>VLOOKUP($G62,Inputs!$B$127:$F$129,3,TRUE)</f>
        <v>Packaged VAV, DX</v>
      </c>
      <c r="L62" s="46">
        <v>26.9</v>
      </c>
      <c r="M62" s="29">
        <f t="shared" si="17"/>
        <v>1833127.4</v>
      </c>
      <c r="N62" s="29">
        <f t="shared" si="0"/>
        <v>1154870.2619999999</v>
      </c>
      <c r="O62" s="29">
        <f t="shared" si="1"/>
        <v>128318.91799999998</v>
      </c>
      <c r="P62" s="29">
        <f t="shared" si="2"/>
        <v>0</v>
      </c>
      <c r="Q62" s="29">
        <f t="shared" si="3"/>
        <v>549938.22</v>
      </c>
      <c r="R62" s="31">
        <f>LOOKUP($D62,Inputs!$B$78:$B$89,Inputs!C$78:C$89)*(1-$U62)</f>
        <v>0.63</v>
      </c>
      <c r="S62" s="31">
        <f>LOOKUP($D62,Inputs!$B$78:$B$89,Inputs!D$78:D$89)*(1-$U62)</f>
        <v>6.9999999999999993E-2</v>
      </c>
      <c r="T62" s="31">
        <f>LOOKUP($D62,Inputs!$B$78:$B$89,Inputs!E$78:E$89)*(1-$U62)</f>
        <v>0</v>
      </c>
      <c r="U62" s="48">
        <v>0.3</v>
      </c>
      <c r="V62" s="13" t="str">
        <f t="shared" si="4"/>
        <v/>
      </c>
      <c r="W62" s="72">
        <f>SUM(N62:O62)*Inputs!$C$22*(1-Inputs!$C$13)/Inputs!$C$15</f>
        <v>1036.1752628499999</v>
      </c>
      <c r="X62" s="15">
        <v>200</v>
      </c>
      <c r="Y62" s="71">
        <f>IF($X62&gt;0,$X62,$G62*LOOKUP($D62,Inputs!$B$63:$B$74,Inputs!$H$63:$H$74)/Inputs!$C$15)</f>
        <v>200</v>
      </c>
      <c r="Z62" s="71">
        <f t="shared" si="15"/>
        <v>0</v>
      </c>
      <c r="AA62" s="108">
        <f>VLOOKUP(J62,Inputs!$D$127:$H$129,5,FALSE)</f>
        <v>1.2371134020618557</v>
      </c>
      <c r="AB62" s="108">
        <f t="shared" si="16"/>
        <v>0</v>
      </c>
      <c r="AD62" s="27">
        <v>1833127.4</v>
      </c>
      <c r="AE62" s="27">
        <v>1154870.2619999999</v>
      </c>
      <c r="AF62" s="27">
        <v>128318.91799999998</v>
      </c>
      <c r="AG62" s="27">
        <v>0</v>
      </c>
      <c r="AH62" s="27">
        <v>549938.22</v>
      </c>
      <c r="AI62" s="33" t="str">
        <f t="shared" si="18"/>
        <v/>
      </c>
      <c r="AJ62" s="33" t="str">
        <f t="shared" si="19"/>
        <v/>
      </c>
      <c r="AK62" s="33" t="str">
        <f t="shared" si="20"/>
        <v/>
      </c>
      <c r="AL62" s="33" t="str">
        <f t="shared" si="21"/>
        <v/>
      </c>
      <c r="AM62" s="33" t="str">
        <f t="shared" si="22"/>
        <v/>
      </c>
      <c r="AN62" s="28">
        <v>0.63</v>
      </c>
      <c r="AO62" s="28">
        <v>6.9999999999999993E-2</v>
      </c>
      <c r="AP62" s="28">
        <v>0</v>
      </c>
      <c r="AQ62" s="28">
        <v>0.3</v>
      </c>
      <c r="AR62" s="33" t="str">
        <f t="shared" si="23"/>
        <v/>
      </c>
      <c r="AS62" s="33" t="str">
        <f t="shared" si="24"/>
        <v/>
      </c>
      <c r="AT62" s="33" t="str">
        <f t="shared" si="25"/>
        <v/>
      </c>
      <c r="AU62" s="33" t="str">
        <f t="shared" si="26"/>
        <v/>
      </c>
    </row>
    <row r="63" spans="1:47" s="1" customFormat="1" x14ac:dyDescent="0.25">
      <c r="B63" s="24">
        <v>1444</v>
      </c>
      <c r="C63" s="24" t="s">
        <v>99</v>
      </c>
      <c r="D63" s="54" t="s">
        <v>24</v>
      </c>
      <c r="E63" s="55">
        <v>2011</v>
      </c>
      <c r="F63" s="55"/>
      <c r="G63" s="27">
        <v>220703</v>
      </c>
      <c r="H63" s="15" t="s">
        <v>175</v>
      </c>
      <c r="I63" s="50" t="s">
        <v>269</v>
      </c>
      <c r="J63" s="8" t="str">
        <f>VLOOKUP($G63,Inputs!$B$127:$F$129,3,TRUE)</f>
        <v>Water-cooled chiller</v>
      </c>
      <c r="L63" s="46">
        <v>40</v>
      </c>
      <c r="M63" s="29">
        <f t="shared" si="17"/>
        <v>8828120</v>
      </c>
      <c r="N63" s="29">
        <f t="shared" si="0"/>
        <v>4943747.1999999993</v>
      </c>
      <c r="O63" s="29">
        <f t="shared" si="1"/>
        <v>1235936.7999999998</v>
      </c>
      <c r="P63" s="29">
        <f t="shared" si="2"/>
        <v>0</v>
      </c>
      <c r="Q63" s="29">
        <f t="shared" si="3"/>
        <v>2648436</v>
      </c>
      <c r="R63" s="31">
        <f>LOOKUP($D63,Inputs!$B$78:$B$89,Inputs!C$78:C$89)*(1-$U63)</f>
        <v>0.55999999999999994</v>
      </c>
      <c r="S63" s="31">
        <f>LOOKUP($D63,Inputs!$B$78:$B$89,Inputs!D$78:D$89)*(1-$U63)</f>
        <v>0.13999999999999999</v>
      </c>
      <c r="T63" s="31">
        <f>LOOKUP($D63,Inputs!$B$78:$B$89,Inputs!E$78:E$89)*(1-$U63)</f>
        <v>0</v>
      </c>
      <c r="U63" s="48">
        <v>0.3</v>
      </c>
      <c r="V63" s="13" t="str">
        <f t="shared" si="4"/>
        <v/>
      </c>
      <c r="W63" s="72">
        <f>SUM(N63:O63)*Inputs!$C$22*(1-Inputs!$C$13)/Inputs!$C$15</f>
        <v>4990.0948299999991</v>
      </c>
      <c r="X63" s="15">
        <f>300+300+300+300+20</f>
        <v>1220</v>
      </c>
      <c r="Y63" s="71">
        <f>IF($X63&gt;0,$X63,$G63*LOOKUP($D63,Inputs!$B$63:$B$74,Inputs!$H$63:$H$74)/Inputs!$C$15)</f>
        <v>1220</v>
      </c>
      <c r="Z63" s="71">
        <f t="shared" si="15"/>
        <v>0</v>
      </c>
      <c r="AA63" s="108">
        <f>VLOOKUP(J63,Inputs!$D$127:$H$129,5,FALSE)</f>
        <v>0.58499999999999996</v>
      </c>
      <c r="AB63" s="108">
        <f t="shared" si="16"/>
        <v>0</v>
      </c>
      <c r="AD63" s="27">
        <v>8828120</v>
      </c>
      <c r="AE63" s="27">
        <v>4943747.1999999993</v>
      </c>
      <c r="AF63" s="27">
        <v>1235936.7999999998</v>
      </c>
      <c r="AG63" s="27">
        <v>0</v>
      </c>
      <c r="AH63" s="27">
        <v>2648436</v>
      </c>
      <c r="AI63" s="33" t="str">
        <f t="shared" si="18"/>
        <v/>
      </c>
      <c r="AJ63" s="33" t="str">
        <f t="shared" si="19"/>
        <v/>
      </c>
      <c r="AK63" s="33" t="str">
        <f t="shared" si="20"/>
        <v/>
      </c>
      <c r="AL63" s="33" t="str">
        <f t="shared" si="21"/>
        <v/>
      </c>
      <c r="AM63" s="33" t="str">
        <f t="shared" si="22"/>
        <v/>
      </c>
      <c r="AN63" s="28">
        <v>0.55999999999999994</v>
      </c>
      <c r="AO63" s="28">
        <v>0.13999999999999999</v>
      </c>
      <c r="AP63" s="28">
        <v>0</v>
      </c>
      <c r="AQ63" s="28">
        <v>0.3</v>
      </c>
      <c r="AR63" s="33" t="str">
        <f t="shared" si="23"/>
        <v/>
      </c>
      <c r="AS63" s="33" t="str">
        <f t="shared" si="24"/>
        <v/>
      </c>
      <c r="AT63" s="33" t="str">
        <f t="shared" si="25"/>
        <v/>
      </c>
      <c r="AU63" s="33" t="str">
        <f t="shared" si="26"/>
        <v/>
      </c>
    </row>
    <row r="64" spans="1:47" s="1" customFormat="1" x14ac:dyDescent="0.25">
      <c r="B64" s="24">
        <v>1225</v>
      </c>
      <c r="C64" s="24" t="s">
        <v>100</v>
      </c>
      <c r="D64" s="54" t="s">
        <v>24</v>
      </c>
      <c r="E64" s="55">
        <v>1988</v>
      </c>
      <c r="F64" s="55"/>
      <c r="G64" s="27">
        <v>201824</v>
      </c>
      <c r="H64" s="15" t="s">
        <v>177</v>
      </c>
      <c r="I64" s="50" t="s">
        <v>273</v>
      </c>
      <c r="J64" s="8" t="str">
        <f>VLOOKUP($G64,Inputs!$B$127:$F$129,3,TRUE)</f>
        <v>Water-cooled chiller</v>
      </c>
      <c r="L64" s="46">
        <v>32</v>
      </c>
      <c r="M64" s="29">
        <f t="shared" si="17"/>
        <v>6458368</v>
      </c>
      <c r="N64" s="29">
        <f t="shared" si="0"/>
        <v>3616686.0799999996</v>
      </c>
      <c r="O64" s="29">
        <f t="shared" si="1"/>
        <v>904171.5199999999</v>
      </c>
      <c r="P64" s="29">
        <f t="shared" si="2"/>
        <v>0</v>
      </c>
      <c r="Q64" s="29">
        <f t="shared" si="3"/>
        <v>1937510.3999999999</v>
      </c>
      <c r="R64" s="31">
        <f>LOOKUP($D64,Inputs!$B$78:$B$89,Inputs!C$78:C$89)*(1-$U64)</f>
        <v>0.55999999999999994</v>
      </c>
      <c r="S64" s="31">
        <f>LOOKUP($D64,Inputs!$B$78:$B$89,Inputs!D$78:D$89)*(1-$U64)</f>
        <v>0.13999999999999999</v>
      </c>
      <c r="T64" s="31">
        <f>LOOKUP($D64,Inputs!$B$78:$B$89,Inputs!E$78:E$89)*(1-$U64)</f>
        <v>0</v>
      </c>
      <c r="U64" s="48">
        <v>0.3</v>
      </c>
      <c r="V64" s="13" t="str">
        <f t="shared" si="4"/>
        <v/>
      </c>
      <c r="W64" s="72">
        <f>SUM(N64:O64)*Inputs!$C$22*(1-Inputs!$C$13)/Inputs!$C$15</f>
        <v>3650.5925119999997</v>
      </c>
      <c r="X64" s="15">
        <f>600+600</f>
        <v>1200</v>
      </c>
      <c r="Y64" s="71">
        <f>IF($X64&gt;0,$X64,$G64*LOOKUP($D64,Inputs!$B$63:$B$74,Inputs!$H$63:$H$74)/Inputs!$C$15)</f>
        <v>1200</v>
      </c>
      <c r="Z64" s="71">
        <f t="shared" si="15"/>
        <v>0</v>
      </c>
      <c r="AA64" s="108">
        <f>VLOOKUP(J64,Inputs!$D$127:$H$129,5,FALSE)</f>
        <v>0.58499999999999996</v>
      </c>
      <c r="AB64" s="108">
        <f t="shared" si="16"/>
        <v>0</v>
      </c>
      <c r="AD64" s="27">
        <v>6458368</v>
      </c>
      <c r="AE64" s="27">
        <v>3616686.0799999996</v>
      </c>
      <c r="AF64" s="27">
        <v>904171.5199999999</v>
      </c>
      <c r="AG64" s="27">
        <v>0</v>
      </c>
      <c r="AH64" s="27">
        <v>1937510.3999999999</v>
      </c>
      <c r="AI64" s="33" t="str">
        <f t="shared" si="18"/>
        <v/>
      </c>
      <c r="AJ64" s="33" t="str">
        <f t="shared" si="19"/>
        <v/>
      </c>
      <c r="AK64" s="33" t="str">
        <f t="shared" si="20"/>
        <v/>
      </c>
      <c r="AL64" s="33" t="str">
        <f t="shared" si="21"/>
        <v/>
      </c>
      <c r="AM64" s="33" t="str">
        <f t="shared" si="22"/>
        <v/>
      </c>
      <c r="AN64" s="28">
        <v>0.55999999999999994</v>
      </c>
      <c r="AO64" s="28">
        <v>0.13999999999999999</v>
      </c>
      <c r="AP64" s="28">
        <v>0</v>
      </c>
      <c r="AQ64" s="28">
        <v>0.3</v>
      </c>
      <c r="AR64" s="33" t="str">
        <f t="shared" si="23"/>
        <v/>
      </c>
      <c r="AS64" s="33" t="str">
        <f t="shared" si="24"/>
        <v/>
      </c>
      <c r="AT64" s="33" t="str">
        <f t="shared" si="25"/>
        <v/>
      </c>
      <c r="AU64" s="33" t="str">
        <f t="shared" si="26"/>
        <v/>
      </c>
    </row>
    <row r="65" spans="1:47" s="1" customFormat="1" x14ac:dyDescent="0.25">
      <c r="B65" s="24">
        <v>1762</v>
      </c>
      <c r="C65" s="24" t="s">
        <v>101</v>
      </c>
      <c r="D65" s="54" t="s">
        <v>30</v>
      </c>
      <c r="E65" s="55">
        <v>1961</v>
      </c>
      <c r="F65" s="55"/>
      <c r="G65" s="27">
        <v>123612</v>
      </c>
      <c r="H65" s="15" t="s">
        <v>177</v>
      </c>
      <c r="I65" s="50" t="s">
        <v>268</v>
      </c>
      <c r="J65" s="8" t="str">
        <f>VLOOKUP($G65,Inputs!$B$127:$F$129,3,TRUE)</f>
        <v>Packaged VAV, DX</v>
      </c>
      <c r="L65" s="46">
        <v>32</v>
      </c>
      <c r="M65" s="29">
        <f t="shared" si="17"/>
        <v>3955584</v>
      </c>
      <c r="N65" s="29">
        <f t="shared" si="0"/>
        <v>3428172.8000000003</v>
      </c>
      <c r="O65" s="29">
        <f t="shared" si="1"/>
        <v>527411.19999999995</v>
      </c>
      <c r="P65" s="29">
        <f t="shared" si="2"/>
        <v>0</v>
      </c>
      <c r="Q65" s="29">
        <f t="shared" si="3"/>
        <v>0</v>
      </c>
      <c r="R65" s="31">
        <f>LOOKUP($D65,Inputs!$B$78:$B$89,Inputs!C$78:C$89)</f>
        <v>0.8666666666666667</v>
      </c>
      <c r="S65" s="31">
        <f>LOOKUP($D65,Inputs!$B$78:$B$89,Inputs!D$78:D$89)</f>
        <v>0.13333333333333333</v>
      </c>
      <c r="T65" s="31">
        <f>LOOKUP($D65,Inputs!$B$78:$B$89,Inputs!E$78:E$89)</f>
        <v>0</v>
      </c>
      <c r="U65" s="31">
        <f>LOOKUP($D65,Inputs!$B$78:$B$89,Inputs!F$78:F$89)</f>
        <v>0</v>
      </c>
      <c r="V65" s="13" t="str">
        <f t="shared" si="4"/>
        <v/>
      </c>
      <c r="W65" s="72">
        <f>SUM(N65:O65)*Inputs!$C$22*(1-Inputs!$C$13)/Inputs!$C$15</f>
        <v>3194.1340799999998</v>
      </c>
      <c r="X65" s="15">
        <v>95</v>
      </c>
      <c r="Y65" s="71">
        <f>IF($X65&gt;0,$X65,$G65*LOOKUP($D65,Inputs!$B$63:$B$74,Inputs!$H$63:$H$74)/Inputs!$C$15)</f>
        <v>95</v>
      </c>
      <c r="Z65" s="71">
        <f t="shared" si="15"/>
        <v>0</v>
      </c>
      <c r="AA65" s="108">
        <f>VLOOKUP(J65,Inputs!$D$127:$H$129,5,FALSE)</f>
        <v>1.2371134020618557</v>
      </c>
      <c r="AB65" s="108">
        <f t="shared" si="16"/>
        <v>0</v>
      </c>
      <c r="AD65" s="27">
        <v>3955584</v>
      </c>
      <c r="AE65" s="27">
        <v>3164467.2000000002</v>
      </c>
      <c r="AF65" s="27">
        <v>791116.80000000005</v>
      </c>
      <c r="AG65" s="27">
        <v>0</v>
      </c>
      <c r="AH65" s="27">
        <v>0</v>
      </c>
      <c r="AI65" s="33" t="str">
        <f t="shared" si="18"/>
        <v/>
      </c>
      <c r="AJ65" s="33" t="str">
        <f t="shared" si="19"/>
        <v>FLAG</v>
      </c>
      <c r="AK65" s="33" t="str">
        <f t="shared" si="20"/>
        <v>FLAG</v>
      </c>
      <c r="AL65" s="33" t="str">
        <f t="shared" si="21"/>
        <v/>
      </c>
      <c r="AM65" s="33" t="str">
        <f t="shared" si="22"/>
        <v/>
      </c>
      <c r="AN65" s="28">
        <v>0.8</v>
      </c>
      <c r="AO65" s="28">
        <v>0.2</v>
      </c>
      <c r="AP65" s="28">
        <v>0</v>
      </c>
      <c r="AQ65" s="28">
        <v>0</v>
      </c>
      <c r="AR65" s="33" t="str">
        <f t="shared" si="23"/>
        <v>FLAG</v>
      </c>
      <c r="AS65" s="33" t="str">
        <f t="shared" si="24"/>
        <v>FLAG</v>
      </c>
      <c r="AT65" s="33" t="str">
        <f t="shared" si="25"/>
        <v/>
      </c>
      <c r="AU65" s="33" t="str">
        <f t="shared" si="26"/>
        <v/>
      </c>
    </row>
    <row r="66" spans="1:47" x14ac:dyDescent="0.25">
      <c r="A66" s="1"/>
      <c r="B66" s="24">
        <v>1321</v>
      </c>
      <c r="C66" s="24" t="s">
        <v>102</v>
      </c>
      <c r="D66" s="54" t="s">
        <v>21</v>
      </c>
      <c r="E66" s="55">
        <v>1931</v>
      </c>
      <c r="F66" s="55"/>
      <c r="G66" s="27">
        <v>49388</v>
      </c>
      <c r="H66" s="15" t="s">
        <v>177</v>
      </c>
      <c r="I66" s="50" t="s">
        <v>268</v>
      </c>
      <c r="J66" s="8" t="str">
        <f>VLOOKUP($G66,Inputs!$B$127:$F$129,3,TRUE)</f>
        <v>Packaged VAV, DX</v>
      </c>
      <c r="K66" s="1"/>
      <c r="L66" s="46">
        <v>32</v>
      </c>
      <c r="M66" s="29">
        <f t="shared" si="17"/>
        <v>1580416</v>
      </c>
      <c r="N66" s="29">
        <f t="shared" si="0"/>
        <v>1422374.4000000001</v>
      </c>
      <c r="O66" s="29">
        <f t="shared" si="1"/>
        <v>158041.60000000001</v>
      </c>
      <c r="P66" s="29">
        <f t="shared" si="2"/>
        <v>0</v>
      </c>
      <c r="Q66" s="29">
        <f t="shared" si="3"/>
        <v>0</v>
      </c>
      <c r="R66" s="31">
        <f>LOOKUP($D66,Inputs!$B$78:$B$89,Inputs!C$78:C$89)</f>
        <v>0.9</v>
      </c>
      <c r="S66" s="31">
        <f>LOOKUP($D66,Inputs!$B$78:$B$89,Inputs!D$78:D$89)</f>
        <v>0.1</v>
      </c>
      <c r="T66" s="31">
        <f>LOOKUP($D66,Inputs!$B$78:$B$89,Inputs!E$78:E$89)</f>
        <v>0</v>
      </c>
      <c r="U66" s="31">
        <f>LOOKUP($D66,Inputs!$B$78:$B$89,Inputs!F$78:F$89)</f>
        <v>0</v>
      </c>
      <c r="V66" s="13" t="str">
        <f t="shared" si="4"/>
        <v/>
      </c>
      <c r="W66" s="72">
        <f>SUM(N66:O66)*Inputs!$C$22*(1-Inputs!$C$13)/Inputs!$C$15</f>
        <v>1276.1859200000001</v>
      </c>
      <c r="X66" s="15">
        <v>0</v>
      </c>
      <c r="Y66" s="71">
        <f>IF($X66&gt;0,$X66,$G66*LOOKUP($D66,Inputs!$B$63:$B$74,Inputs!$H$63:$H$74)/Inputs!$C$15)</f>
        <v>49.387999999999998</v>
      </c>
      <c r="Z66" s="71">
        <f t="shared" si="15"/>
        <v>49.387999999999998</v>
      </c>
      <c r="AA66" s="108">
        <f>VLOOKUP(J66,Inputs!$D$127:$H$129,5,FALSE)</f>
        <v>1.2371134020618557</v>
      </c>
      <c r="AB66" s="108">
        <f t="shared" si="16"/>
        <v>61.09855670103093</v>
      </c>
      <c r="AC66" s="1"/>
      <c r="AD66" s="27">
        <v>1580416</v>
      </c>
      <c r="AE66" s="27">
        <v>1422374.4000000001</v>
      </c>
      <c r="AF66" s="27">
        <v>158041.60000000001</v>
      </c>
      <c r="AG66" s="27">
        <v>0</v>
      </c>
      <c r="AH66" s="27">
        <v>0</v>
      </c>
      <c r="AI66" s="33" t="str">
        <f t="shared" si="18"/>
        <v/>
      </c>
      <c r="AJ66" s="33" t="str">
        <f t="shared" si="19"/>
        <v/>
      </c>
      <c r="AK66" s="33" t="str">
        <f t="shared" si="20"/>
        <v/>
      </c>
      <c r="AL66" s="33" t="str">
        <f t="shared" si="21"/>
        <v/>
      </c>
      <c r="AM66" s="33" t="str">
        <f t="shared" si="22"/>
        <v/>
      </c>
      <c r="AN66" s="28">
        <v>0.9</v>
      </c>
      <c r="AO66" s="28">
        <v>0.1</v>
      </c>
      <c r="AP66" s="28">
        <v>0</v>
      </c>
      <c r="AQ66" s="28">
        <v>0</v>
      </c>
      <c r="AR66" s="33" t="str">
        <f t="shared" si="23"/>
        <v/>
      </c>
      <c r="AS66" s="33" t="str">
        <f t="shared" si="24"/>
        <v/>
      </c>
      <c r="AT66" s="33" t="str">
        <f t="shared" si="25"/>
        <v/>
      </c>
      <c r="AU66" s="33" t="str">
        <f t="shared" si="26"/>
        <v/>
      </c>
    </row>
    <row r="67" spans="1:47" s="1" customFormat="1" x14ac:dyDescent="0.25">
      <c r="B67" s="24" t="s">
        <v>103</v>
      </c>
      <c r="C67" s="24" t="s">
        <v>104</v>
      </c>
      <c r="D67" s="54" t="s">
        <v>30</v>
      </c>
      <c r="E67" s="55">
        <v>1941</v>
      </c>
      <c r="F67" s="55"/>
      <c r="G67" s="27">
        <v>46204</v>
      </c>
      <c r="H67" s="15" t="s">
        <v>176</v>
      </c>
      <c r="I67" s="50" t="s">
        <v>265</v>
      </c>
      <c r="J67" s="8" t="str">
        <f>VLOOKUP($G67,Inputs!$B$127:$F$129,3,TRUE)</f>
        <v>Packaged VAV, DX</v>
      </c>
      <c r="L67" s="46">
        <v>22.4</v>
      </c>
      <c r="M67" s="29">
        <f t="shared" si="17"/>
        <v>1034969.6</v>
      </c>
      <c r="N67" s="29">
        <f t="shared" si="0"/>
        <v>717578.92266666668</v>
      </c>
      <c r="O67" s="29">
        <f t="shared" si="1"/>
        <v>110396.75733333334</v>
      </c>
      <c r="P67" s="29">
        <f t="shared" si="2"/>
        <v>0</v>
      </c>
      <c r="Q67" s="29">
        <f t="shared" si="3"/>
        <v>206993.92000000001</v>
      </c>
      <c r="R67" s="31">
        <f>LOOKUP($D67,Inputs!$B$78:$B$89,Inputs!C$78:C$89)*(1-$U67)</f>
        <v>0.69333333333333336</v>
      </c>
      <c r="S67" s="31">
        <f>LOOKUP($D67,Inputs!$B$78:$B$89,Inputs!D$78:D$89)*(1-$U67)</f>
        <v>0.10666666666666667</v>
      </c>
      <c r="T67" s="31">
        <f>LOOKUP($D67,Inputs!$B$78:$B$89,Inputs!E$78:E$89)*(1-$U67)</f>
        <v>0</v>
      </c>
      <c r="U67" s="48">
        <v>0.2</v>
      </c>
      <c r="V67" s="13" t="str">
        <f t="shared" si="4"/>
        <v/>
      </c>
      <c r="W67" s="72">
        <f>SUM(N67:O67)*Inputs!$C$22*(1-Inputs!$C$13)/Inputs!$C$15</f>
        <v>668.59036160000005</v>
      </c>
      <c r="X67" s="15">
        <v>0</v>
      </c>
      <c r="Y67" s="71">
        <f>IF($X67&gt;0,$X67,$G67*LOOKUP($D67,Inputs!$B$63:$B$74,Inputs!$H$63:$H$74)/Inputs!$C$15)</f>
        <v>69.305999999999997</v>
      </c>
      <c r="Z67" s="71">
        <f t="shared" si="15"/>
        <v>69.305999999999997</v>
      </c>
      <c r="AA67" s="108">
        <f>VLOOKUP(J67,Inputs!$D$127:$H$129,5,FALSE)</f>
        <v>1.2371134020618557</v>
      </c>
      <c r="AB67" s="108">
        <f t="shared" si="16"/>
        <v>85.739381443298967</v>
      </c>
      <c r="AD67" s="27">
        <v>1034969.6</v>
      </c>
      <c r="AE67" s="27">
        <v>662380.54400000011</v>
      </c>
      <c r="AF67" s="27">
        <v>165595.13600000003</v>
      </c>
      <c r="AG67" s="27">
        <v>0</v>
      </c>
      <c r="AH67" s="27">
        <v>206993.92000000001</v>
      </c>
      <c r="AI67" s="33" t="str">
        <f t="shared" si="18"/>
        <v/>
      </c>
      <c r="AJ67" s="33" t="str">
        <f t="shared" si="19"/>
        <v>FLAG</v>
      </c>
      <c r="AK67" s="33" t="str">
        <f t="shared" si="20"/>
        <v>FLAG</v>
      </c>
      <c r="AL67" s="33" t="str">
        <f t="shared" si="21"/>
        <v/>
      </c>
      <c r="AM67" s="33" t="str">
        <f t="shared" si="22"/>
        <v/>
      </c>
      <c r="AN67" s="28">
        <v>0.64000000000000012</v>
      </c>
      <c r="AO67" s="28">
        <v>0.16000000000000003</v>
      </c>
      <c r="AP67" s="28">
        <v>0</v>
      </c>
      <c r="AQ67" s="28">
        <v>0.2</v>
      </c>
      <c r="AR67" s="33" t="str">
        <f t="shared" si="23"/>
        <v>FLAG</v>
      </c>
      <c r="AS67" s="33" t="str">
        <f t="shared" si="24"/>
        <v>FLAG</v>
      </c>
      <c r="AT67" s="33" t="str">
        <f t="shared" si="25"/>
        <v/>
      </c>
      <c r="AU67" s="33" t="str">
        <f t="shared" si="26"/>
        <v/>
      </c>
    </row>
    <row r="68" spans="1:47" s="1" customFormat="1" x14ac:dyDescent="0.25">
      <c r="B68" s="24">
        <v>1302</v>
      </c>
      <c r="C68" s="24" t="s">
        <v>105</v>
      </c>
      <c r="D68" s="54" t="s">
        <v>30</v>
      </c>
      <c r="E68" s="55">
        <v>1978</v>
      </c>
      <c r="F68" s="55"/>
      <c r="G68" s="27">
        <v>55516</v>
      </c>
      <c r="H68" s="15" t="s">
        <v>176</v>
      </c>
      <c r="I68" s="50" t="s">
        <v>265</v>
      </c>
      <c r="J68" s="8" t="str">
        <f>VLOOKUP($G68,Inputs!$B$127:$F$129,3,TRUE)</f>
        <v>Packaged VAV, DX</v>
      </c>
      <c r="L68" s="46">
        <v>32</v>
      </c>
      <c r="M68" s="29">
        <f t="shared" si="17"/>
        <v>1776512</v>
      </c>
      <c r="N68" s="29">
        <f t="shared" si="0"/>
        <v>1539643.7333333334</v>
      </c>
      <c r="O68" s="29">
        <f t="shared" si="1"/>
        <v>236868.26666666666</v>
      </c>
      <c r="P68" s="29">
        <f t="shared" si="2"/>
        <v>0</v>
      </c>
      <c r="Q68" s="29">
        <f t="shared" si="3"/>
        <v>0</v>
      </c>
      <c r="R68" s="31">
        <f>LOOKUP($D68,Inputs!$B$78:$B$89,Inputs!C$78:C$89)</f>
        <v>0.8666666666666667</v>
      </c>
      <c r="S68" s="31">
        <f>LOOKUP($D68,Inputs!$B$78:$B$89,Inputs!D$78:D$89)</f>
        <v>0.13333333333333333</v>
      </c>
      <c r="T68" s="31">
        <f>LOOKUP($D68,Inputs!$B$78:$B$89,Inputs!E$78:E$89)</f>
        <v>0</v>
      </c>
      <c r="U68" s="31">
        <f>LOOKUP($D68,Inputs!$B$78:$B$89,Inputs!F$78:F$89)</f>
        <v>0</v>
      </c>
      <c r="V68" s="13" t="str">
        <f t="shared" si="4"/>
        <v/>
      </c>
      <c r="W68" s="72">
        <f>SUM(N68:O68)*Inputs!$C$22*(1-Inputs!$C$13)/Inputs!$C$15</f>
        <v>1434.5334399999999</v>
      </c>
      <c r="X68" s="15">
        <f>200+150+150</f>
        <v>500</v>
      </c>
      <c r="Y68" s="71">
        <f>IF($X68&gt;0,$X68,$G68*LOOKUP($D68,Inputs!$B$63:$B$74,Inputs!$H$63:$H$74)/Inputs!$C$15)</f>
        <v>500</v>
      </c>
      <c r="Z68" s="71">
        <f t="shared" si="15"/>
        <v>0</v>
      </c>
      <c r="AA68" s="108">
        <f>VLOOKUP(J68,Inputs!$D$127:$H$129,5,FALSE)</f>
        <v>1.2371134020618557</v>
      </c>
      <c r="AB68" s="108">
        <f t="shared" si="16"/>
        <v>0</v>
      </c>
      <c r="AD68" s="27">
        <v>1776512</v>
      </c>
      <c r="AE68" s="27">
        <v>1421209.6000000001</v>
      </c>
      <c r="AF68" s="27">
        <v>355302.40000000002</v>
      </c>
      <c r="AG68" s="27">
        <v>0</v>
      </c>
      <c r="AH68" s="27">
        <v>0</v>
      </c>
      <c r="AI68" s="33" t="str">
        <f t="shared" si="18"/>
        <v/>
      </c>
      <c r="AJ68" s="33" t="str">
        <f t="shared" si="19"/>
        <v>FLAG</v>
      </c>
      <c r="AK68" s="33" t="str">
        <f t="shared" si="20"/>
        <v>FLAG</v>
      </c>
      <c r="AL68" s="33" t="str">
        <f t="shared" si="21"/>
        <v/>
      </c>
      <c r="AM68" s="33" t="str">
        <f t="shared" si="22"/>
        <v/>
      </c>
      <c r="AN68" s="28">
        <v>0.8</v>
      </c>
      <c r="AO68" s="28">
        <v>0.2</v>
      </c>
      <c r="AP68" s="28">
        <v>0</v>
      </c>
      <c r="AQ68" s="28">
        <v>0</v>
      </c>
      <c r="AR68" s="33" t="str">
        <f t="shared" si="23"/>
        <v>FLAG</v>
      </c>
      <c r="AS68" s="33" t="str">
        <f t="shared" si="24"/>
        <v>FLAG</v>
      </c>
      <c r="AT68" s="33" t="str">
        <f t="shared" si="25"/>
        <v/>
      </c>
      <c r="AU68" s="33" t="str">
        <f t="shared" si="26"/>
        <v/>
      </c>
    </row>
    <row r="69" spans="1:47" s="1" customFormat="1" x14ac:dyDescent="0.25">
      <c r="B69" s="24">
        <v>1791</v>
      </c>
      <c r="C69" s="24" t="s">
        <v>106</v>
      </c>
      <c r="D69" s="54" t="s">
        <v>21</v>
      </c>
      <c r="E69" s="55">
        <v>1961</v>
      </c>
      <c r="F69" s="55"/>
      <c r="G69" s="27">
        <v>102901</v>
      </c>
      <c r="H69" s="15" t="s">
        <v>173</v>
      </c>
      <c r="I69" s="50" t="s">
        <v>257</v>
      </c>
      <c r="J69" s="8" t="str">
        <f>VLOOKUP($G69,Inputs!$B$127:$F$129,3,TRUE)</f>
        <v>Packaged VAV, DX</v>
      </c>
      <c r="L69" s="46">
        <v>32</v>
      </c>
      <c r="M69" s="29">
        <f t="shared" si="17"/>
        <v>3292832</v>
      </c>
      <c r="N69" s="29">
        <f t="shared" si="0"/>
        <v>2963548.8000000003</v>
      </c>
      <c r="O69" s="29">
        <f t="shared" si="1"/>
        <v>329283.20000000001</v>
      </c>
      <c r="P69" s="29">
        <f t="shared" si="2"/>
        <v>0</v>
      </c>
      <c r="Q69" s="29">
        <f t="shared" si="3"/>
        <v>0</v>
      </c>
      <c r="R69" s="31">
        <f>LOOKUP($D69,Inputs!$B$78:$B$89,Inputs!C$78:C$89)</f>
        <v>0.9</v>
      </c>
      <c r="S69" s="31">
        <f>LOOKUP($D69,Inputs!$B$78:$B$89,Inputs!D$78:D$89)</f>
        <v>0.1</v>
      </c>
      <c r="T69" s="31">
        <f>LOOKUP($D69,Inputs!$B$78:$B$89,Inputs!E$78:E$89)</f>
        <v>0</v>
      </c>
      <c r="U69" s="31">
        <f>LOOKUP($D69,Inputs!$B$78:$B$89,Inputs!F$78:F$89)</f>
        <v>0</v>
      </c>
      <c r="V69" s="13" t="str">
        <f t="shared" si="4"/>
        <v/>
      </c>
      <c r="W69" s="72">
        <f>SUM(N69:O69)*Inputs!$C$22*(1-Inputs!$C$13)/Inputs!$C$15</f>
        <v>2658.9618400000004</v>
      </c>
      <c r="X69" s="15">
        <v>0</v>
      </c>
      <c r="Y69" s="71">
        <f>IF($X69&gt;0,$X69,$G69*LOOKUP($D69,Inputs!$B$63:$B$74,Inputs!$H$63:$H$74)/Inputs!$C$15)</f>
        <v>102.901</v>
      </c>
      <c r="Z69" s="71">
        <f t="shared" si="15"/>
        <v>102.901</v>
      </c>
      <c r="AA69" s="108">
        <f>VLOOKUP(J69,Inputs!$D$127:$H$129,5,FALSE)</f>
        <v>1.2371134020618557</v>
      </c>
      <c r="AB69" s="108">
        <f t="shared" si="16"/>
        <v>127.30020618556701</v>
      </c>
      <c r="AD69" s="27">
        <v>3292832</v>
      </c>
      <c r="AE69" s="27">
        <v>2963548.8000000003</v>
      </c>
      <c r="AF69" s="27">
        <v>329283.20000000001</v>
      </c>
      <c r="AG69" s="27">
        <v>0</v>
      </c>
      <c r="AH69" s="27">
        <v>0</v>
      </c>
      <c r="AI69" s="33" t="str">
        <f t="shared" si="18"/>
        <v/>
      </c>
      <c r="AJ69" s="33" t="str">
        <f t="shared" si="19"/>
        <v/>
      </c>
      <c r="AK69" s="33" t="str">
        <f t="shared" si="20"/>
        <v/>
      </c>
      <c r="AL69" s="33" t="str">
        <f t="shared" si="21"/>
        <v/>
      </c>
      <c r="AM69" s="33" t="str">
        <f t="shared" si="22"/>
        <v/>
      </c>
      <c r="AN69" s="28">
        <v>0.9</v>
      </c>
      <c r="AO69" s="28">
        <v>0.1</v>
      </c>
      <c r="AP69" s="28">
        <v>0</v>
      </c>
      <c r="AQ69" s="28">
        <v>0</v>
      </c>
      <c r="AR69" s="33" t="str">
        <f t="shared" si="23"/>
        <v/>
      </c>
      <c r="AS69" s="33" t="str">
        <f t="shared" si="24"/>
        <v/>
      </c>
      <c r="AT69" s="33" t="str">
        <f t="shared" si="25"/>
        <v/>
      </c>
      <c r="AU69" s="33" t="str">
        <f t="shared" si="26"/>
        <v/>
      </c>
    </row>
    <row r="70" spans="1:47" x14ac:dyDescent="0.25">
      <c r="A70" s="1"/>
      <c r="B70" s="24">
        <v>1299</v>
      </c>
      <c r="C70" s="24" t="s">
        <v>107</v>
      </c>
      <c r="D70" s="54" t="s">
        <v>29</v>
      </c>
      <c r="E70" s="55">
        <v>1970</v>
      </c>
      <c r="F70" s="55"/>
      <c r="G70" s="27">
        <v>130581</v>
      </c>
      <c r="H70" s="15" t="s">
        <v>177</v>
      </c>
      <c r="I70" s="50" t="s">
        <v>280</v>
      </c>
      <c r="J70" s="8" t="str">
        <f>VLOOKUP($G70,Inputs!$B$127:$F$129,3,TRUE)</f>
        <v>Packaged VAV, DX</v>
      </c>
      <c r="K70" s="1"/>
      <c r="L70" s="46">
        <v>31.7</v>
      </c>
      <c r="M70" s="29">
        <f t="shared" si="17"/>
        <v>4139417.6999999997</v>
      </c>
      <c r="N70" s="29">
        <f t="shared" si="0"/>
        <v>1490190.372</v>
      </c>
      <c r="O70" s="29">
        <f t="shared" si="1"/>
        <v>165576.70800000001</v>
      </c>
      <c r="P70" s="29">
        <f t="shared" si="2"/>
        <v>2483650.6199999996</v>
      </c>
      <c r="Q70" s="29">
        <f t="shared" si="3"/>
        <v>0</v>
      </c>
      <c r="R70" s="31">
        <f>LOOKUP($D70,Inputs!$B$78:$B$89,Inputs!C$78:C$89)*(1-$T70)</f>
        <v>0.36000000000000004</v>
      </c>
      <c r="S70" s="31">
        <f>LOOKUP($D70,Inputs!$B$78:$B$89,Inputs!D$78:D$89)*(1-$T70)</f>
        <v>4.0000000000000008E-2</v>
      </c>
      <c r="T70" s="48">
        <v>0.6</v>
      </c>
      <c r="U70" s="31">
        <f>LOOKUP($D70,Inputs!$B$78:$B$89,Inputs!F$78:F$89)*(1-$T70)</f>
        <v>0</v>
      </c>
      <c r="V70" s="13" t="str">
        <f t="shared" si="4"/>
        <v/>
      </c>
      <c r="W70" s="72">
        <f>SUM(N70:O70)*Inputs!$C$22*(1-Inputs!$C$13)/Inputs!$C$15</f>
        <v>1337.0319170999999</v>
      </c>
      <c r="X70" s="15">
        <v>260</v>
      </c>
      <c r="Y70" s="71">
        <f>IF($X70&gt;0,$X70,$G70*LOOKUP($D70,Inputs!$B$63:$B$74,Inputs!$H$63:$H$74)/Inputs!$C$15)</f>
        <v>260</v>
      </c>
      <c r="Z70" s="71">
        <f t="shared" si="15"/>
        <v>0</v>
      </c>
      <c r="AA70" s="108">
        <f>VLOOKUP(J70,Inputs!$D$127:$H$129,5,FALSE)</f>
        <v>1.2371134020618557</v>
      </c>
      <c r="AB70" s="108">
        <f t="shared" si="16"/>
        <v>0</v>
      </c>
      <c r="AC70" s="1"/>
      <c r="AD70" s="27">
        <v>4139417.6999999997</v>
      </c>
      <c r="AE70" s="27">
        <v>1490190.372</v>
      </c>
      <c r="AF70" s="27">
        <v>165576.70800000001</v>
      </c>
      <c r="AG70" s="27">
        <v>2483650.6199999996</v>
      </c>
      <c r="AH70" s="27">
        <v>0</v>
      </c>
      <c r="AI70" s="33" t="str">
        <f t="shared" si="18"/>
        <v/>
      </c>
      <c r="AJ70" s="33" t="str">
        <f t="shared" si="19"/>
        <v/>
      </c>
      <c r="AK70" s="33" t="str">
        <f t="shared" si="20"/>
        <v/>
      </c>
      <c r="AL70" s="33" t="str">
        <f t="shared" si="21"/>
        <v/>
      </c>
      <c r="AM70" s="33" t="str">
        <f t="shared" si="22"/>
        <v/>
      </c>
      <c r="AN70" s="28">
        <v>0.36000000000000004</v>
      </c>
      <c r="AO70" s="28">
        <v>4.0000000000000008E-2</v>
      </c>
      <c r="AP70" s="28">
        <v>0.6</v>
      </c>
      <c r="AQ70" s="28">
        <v>0</v>
      </c>
      <c r="AR70" s="33" t="str">
        <f t="shared" si="23"/>
        <v/>
      </c>
      <c r="AS70" s="33" t="str">
        <f t="shared" si="24"/>
        <v/>
      </c>
      <c r="AT70" s="33" t="str">
        <f t="shared" si="25"/>
        <v/>
      </c>
      <c r="AU70" s="33" t="str">
        <f t="shared" si="26"/>
        <v/>
      </c>
    </row>
    <row r="71" spans="1:47" x14ac:dyDescent="0.25">
      <c r="A71" s="1"/>
      <c r="B71" s="24">
        <v>1382</v>
      </c>
      <c r="C71" s="24" t="s">
        <v>108</v>
      </c>
      <c r="D71" s="54" t="s">
        <v>30</v>
      </c>
      <c r="E71" s="55">
        <v>1953</v>
      </c>
      <c r="F71" s="55"/>
      <c r="G71" s="27">
        <v>56637</v>
      </c>
      <c r="H71" s="15" t="s">
        <v>175</v>
      </c>
      <c r="I71" s="50" t="s">
        <v>269</v>
      </c>
      <c r="J71" s="8" t="str">
        <f>VLOOKUP($G71,Inputs!$B$127:$F$129,3,TRUE)</f>
        <v>Packaged VAV, DX</v>
      </c>
      <c r="K71" s="1"/>
      <c r="L71" s="46">
        <v>32</v>
      </c>
      <c r="M71" s="29">
        <f t="shared" si="17"/>
        <v>1812384</v>
      </c>
      <c r="N71" s="29">
        <f t="shared" si="0"/>
        <v>1256586.24</v>
      </c>
      <c r="O71" s="29">
        <f t="shared" si="1"/>
        <v>193320.96000000002</v>
      </c>
      <c r="P71" s="29">
        <f t="shared" si="2"/>
        <v>0</v>
      </c>
      <c r="Q71" s="29">
        <f t="shared" si="3"/>
        <v>362476.80000000005</v>
      </c>
      <c r="R71" s="31">
        <f>LOOKUP($D71,Inputs!$B$78:$B$89,Inputs!C$78:C$89)*(1-$U71)</f>
        <v>0.69333333333333336</v>
      </c>
      <c r="S71" s="31">
        <f>LOOKUP($D71,Inputs!$B$78:$B$89,Inputs!D$78:D$89)*(1-$U71)</f>
        <v>0.10666666666666667</v>
      </c>
      <c r="T71" s="31">
        <f>LOOKUP($D71,Inputs!$B$78:$B$89,Inputs!E$78:E$89)*(1-$U71)</f>
        <v>0</v>
      </c>
      <c r="U71" s="48">
        <v>0.2</v>
      </c>
      <c r="V71" s="13" t="str">
        <f t="shared" si="4"/>
        <v/>
      </c>
      <c r="W71" s="72">
        <f>SUM(N71:O71)*Inputs!$C$22*(1-Inputs!$C$13)/Inputs!$C$15</f>
        <v>1170.8000639999998</v>
      </c>
      <c r="X71" s="15">
        <v>0</v>
      </c>
      <c r="Y71" s="71">
        <f>IF($X71&gt;0,$X71,$G71*LOOKUP($D71,Inputs!$B$63:$B$74,Inputs!$H$63:$H$74)/Inputs!$C$15)</f>
        <v>84.955500000000001</v>
      </c>
      <c r="Z71" s="71">
        <f t="shared" si="15"/>
        <v>84.955500000000001</v>
      </c>
      <c r="AA71" s="108">
        <f>VLOOKUP(J71,Inputs!$D$127:$H$129,5,FALSE)</f>
        <v>1.2371134020618557</v>
      </c>
      <c r="AB71" s="108">
        <f t="shared" si="16"/>
        <v>105.09958762886599</v>
      </c>
      <c r="AC71" s="1"/>
      <c r="AD71" s="27">
        <v>1812384</v>
      </c>
      <c r="AE71" s="27">
        <v>1159925.7600000002</v>
      </c>
      <c r="AF71" s="27">
        <v>289981.44000000006</v>
      </c>
      <c r="AG71" s="27">
        <v>0</v>
      </c>
      <c r="AH71" s="27">
        <v>362476.80000000005</v>
      </c>
      <c r="AI71" s="33" t="str">
        <f t="shared" si="18"/>
        <v/>
      </c>
      <c r="AJ71" s="33" t="str">
        <f t="shared" si="19"/>
        <v>FLAG</v>
      </c>
      <c r="AK71" s="33" t="str">
        <f t="shared" si="20"/>
        <v>FLAG</v>
      </c>
      <c r="AL71" s="33" t="str">
        <f t="shared" si="21"/>
        <v/>
      </c>
      <c r="AM71" s="33" t="str">
        <f t="shared" si="22"/>
        <v/>
      </c>
      <c r="AN71" s="28">
        <v>0.64000000000000012</v>
      </c>
      <c r="AO71" s="28">
        <v>0.16000000000000003</v>
      </c>
      <c r="AP71" s="28">
        <v>0</v>
      </c>
      <c r="AQ71" s="28">
        <v>0.2</v>
      </c>
      <c r="AR71" s="33" t="str">
        <f t="shared" si="23"/>
        <v>FLAG</v>
      </c>
      <c r="AS71" s="33" t="str">
        <f t="shared" si="24"/>
        <v>FLAG</v>
      </c>
      <c r="AT71" s="33" t="str">
        <f t="shared" si="25"/>
        <v/>
      </c>
      <c r="AU71" s="33" t="str">
        <f t="shared" si="26"/>
        <v/>
      </c>
    </row>
    <row r="72" spans="1:47" s="1" customFormat="1" x14ac:dyDescent="0.25">
      <c r="B72" s="24">
        <v>1422</v>
      </c>
      <c r="C72" s="24" t="s">
        <v>109</v>
      </c>
      <c r="D72" s="54" t="s">
        <v>26</v>
      </c>
      <c r="E72" s="55">
        <v>1958</v>
      </c>
      <c r="F72" s="55"/>
      <c r="G72" s="27">
        <v>40706</v>
      </c>
      <c r="H72" s="15" t="s">
        <v>176</v>
      </c>
      <c r="I72" s="50" t="s">
        <v>271</v>
      </c>
      <c r="J72" s="8" t="str">
        <f>VLOOKUP($G72,Inputs!$B$127:$F$129,3,TRUE)</f>
        <v>Packaged VAV, DX</v>
      </c>
      <c r="L72" s="46">
        <v>29</v>
      </c>
      <c r="M72" s="29">
        <f t="shared" si="17"/>
        <v>1180474</v>
      </c>
      <c r="N72" s="29">
        <f t="shared" si="0"/>
        <v>1062426.6000000001</v>
      </c>
      <c r="O72" s="29">
        <f t="shared" si="1"/>
        <v>118047.40000000001</v>
      </c>
      <c r="P72" s="29">
        <f t="shared" si="2"/>
        <v>0</v>
      </c>
      <c r="Q72" s="29">
        <f t="shared" si="3"/>
        <v>0</v>
      </c>
      <c r="R72" s="31">
        <f>LOOKUP($D72,Inputs!$B$78:$B$89,Inputs!C$78:C$89)</f>
        <v>0.9</v>
      </c>
      <c r="S72" s="31">
        <f>LOOKUP($D72,Inputs!$B$78:$B$89,Inputs!D$78:D$89)</f>
        <v>0.1</v>
      </c>
      <c r="T72" s="31">
        <f>LOOKUP($D72,Inputs!$B$78:$B$89,Inputs!E$78:E$89)</f>
        <v>0</v>
      </c>
      <c r="U72" s="31">
        <f>LOOKUP($D72,Inputs!$B$78:$B$89,Inputs!F$78:F$89)</f>
        <v>0</v>
      </c>
      <c r="V72" s="13" t="str">
        <f t="shared" si="4"/>
        <v/>
      </c>
      <c r="W72" s="72">
        <f>SUM(N72:O72)*Inputs!$C$22*(1-Inputs!$C$13)/Inputs!$C$15</f>
        <v>953.232755</v>
      </c>
      <c r="X72" s="15">
        <v>0</v>
      </c>
      <c r="Y72" s="71">
        <f>IF($X72&gt;0,$X72,$G72*LOOKUP($D72,Inputs!$B$63:$B$74,Inputs!$H$63:$H$74)/Inputs!$C$15)</f>
        <v>40.706000000000003</v>
      </c>
      <c r="Z72" s="71">
        <f t="shared" si="15"/>
        <v>40.706000000000003</v>
      </c>
      <c r="AA72" s="108">
        <f>VLOOKUP(J72,Inputs!$D$127:$H$129,5,FALSE)</f>
        <v>1.2371134020618557</v>
      </c>
      <c r="AB72" s="108">
        <f t="shared" si="16"/>
        <v>50.3579381443299</v>
      </c>
      <c r="AD72" s="27">
        <v>1180474</v>
      </c>
      <c r="AE72" s="27">
        <v>1062426.6000000001</v>
      </c>
      <c r="AF72" s="27">
        <v>118047.40000000001</v>
      </c>
      <c r="AG72" s="27">
        <v>0</v>
      </c>
      <c r="AH72" s="27">
        <v>0</v>
      </c>
      <c r="AI72" s="33" t="str">
        <f t="shared" si="18"/>
        <v/>
      </c>
      <c r="AJ72" s="33" t="str">
        <f t="shared" si="19"/>
        <v/>
      </c>
      <c r="AK72" s="33" t="str">
        <f t="shared" si="20"/>
        <v/>
      </c>
      <c r="AL72" s="33" t="str">
        <f t="shared" si="21"/>
        <v/>
      </c>
      <c r="AM72" s="33" t="str">
        <f t="shared" si="22"/>
        <v/>
      </c>
      <c r="AN72" s="28">
        <v>0.9</v>
      </c>
      <c r="AO72" s="28">
        <v>0.1</v>
      </c>
      <c r="AP72" s="28">
        <v>0</v>
      </c>
      <c r="AQ72" s="28">
        <v>0</v>
      </c>
      <c r="AR72" s="33" t="str">
        <f t="shared" si="23"/>
        <v/>
      </c>
      <c r="AS72" s="33" t="str">
        <f t="shared" si="24"/>
        <v/>
      </c>
      <c r="AT72" s="33" t="str">
        <f t="shared" si="25"/>
        <v/>
      </c>
      <c r="AU72" s="33" t="str">
        <f t="shared" si="26"/>
        <v/>
      </c>
    </row>
    <row r="73" spans="1:47" s="1" customFormat="1" x14ac:dyDescent="0.25">
      <c r="B73" s="24">
        <v>1324</v>
      </c>
      <c r="C73" s="24" t="s">
        <v>110</v>
      </c>
      <c r="D73" s="54" t="s">
        <v>26</v>
      </c>
      <c r="E73" s="55">
        <v>1931</v>
      </c>
      <c r="F73" s="55"/>
      <c r="G73" s="27">
        <v>40835</v>
      </c>
      <c r="H73" s="15" t="s">
        <v>177</v>
      </c>
      <c r="I73" s="50" t="s">
        <v>279</v>
      </c>
      <c r="J73" s="8" t="str">
        <f>VLOOKUP($G73,Inputs!$B$127:$F$129,3,TRUE)</f>
        <v>Packaged VAV, DX</v>
      </c>
      <c r="L73" s="46">
        <v>30.2</v>
      </c>
      <c r="M73" s="29">
        <f t="shared" si="17"/>
        <v>1233217</v>
      </c>
      <c r="N73" s="29">
        <f t="shared" si="0"/>
        <v>1109895.3</v>
      </c>
      <c r="O73" s="29">
        <f t="shared" si="1"/>
        <v>123321.70000000001</v>
      </c>
      <c r="P73" s="29">
        <f t="shared" si="2"/>
        <v>0</v>
      </c>
      <c r="Q73" s="29">
        <f t="shared" si="3"/>
        <v>0</v>
      </c>
      <c r="R73" s="31">
        <f>LOOKUP($D73,Inputs!$B$78:$B$89,Inputs!C$78:C$89)</f>
        <v>0.9</v>
      </c>
      <c r="S73" s="31">
        <f>LOOKUP($D73,Inputs!$B$78:$B$89,Inputs!D$78:D$89)</f>
        <v>0.1</v>
      </c>
      <c r="T73" s="31">
        <f>LOOKUP($D73,Inputs!$B$78:$B$89,Inputs!E$78:E$89)</f>
        <v>0</v>
      </c>
      <c r="U73" s="31">
        <f>LOOKUP($D73,Inputs!$B$78:$B$89,Inputs!F$78:F$89)</f>
        <v>0</v>
      </c>
      <c r="V73" s="13" t="str">
        <f t="shared" si="4"/>
        <v/>
      </c>
      <c r="W73" s="72">
        <f>SUM(N73:O73)*Inputs!$C$22*(1-Inputs!$C$13)/Inputs!$C$15</f>
        <v>995.82272749999993</v>
      </c>
      <c r="X73" s="15">
        <v>0</v>
      </c>
      <c r="Y73" s="71">
        <f>IF($X73&gt;0,$X73,$G73*LOOKUP($D73,Inputs!$B$63:$B$74,Inputs!$H$63:$H$74)/Inputs!$C$15)</f>
        <v>40.835000000000001</v>
      </c>
      <c r="Z73" s="71">
        <f t="shared" si="15"/>
        <v>40.835000000000001</v>
      </c>
      <c r="AA73" s="108">
        <f>VLOOKUP(J73,Inputs!$D$127:$H$129,5,FALSE)</f>
        <v>1.2371134020618557</v>
      </c>
      <c r="AB73" s="108">
        <f t="shared" si="16"/>
        <v>50.517525773195878</v>
      </c>
      <c r="AD73" s="27">
        <v>1233217</v>
      </c>
      <c r="AE73" s="27">
        <v>1109895.3</v>
      </c>
      <c r="AF73" s="27">
        <v>123321.70000000001</v>
      </c>
      <c r="AG73" s="27">
        <v>0</v>
      </c>
      <c r="AH73" s="27">
        <v>0</v>
      </c>
      <c r="AI73" s="33" t="str">
        <f t="shared" si="18"/>
        <v/>
      </c>
      <c r="AJ73" s="33" t="str">
        <f t="shared" si="19"/>
        <v/>
      </c>
      <c r="AK73" s="33" t="str">
        <f t="shared" si="20"/>
        <v/>
      </c>
      <c r="AL73" s="33" t="str">
        <f t="shared" si="21"/>
        <v/>
      </c>
      <c r="AM73" s="33" t="str">
        <f t="shared" si="22"/>
        <v/>
      </c>
      <c r="AN73" s="28">
        <v>0.9</v>
      </c>
      <c r="AO73" s="28">
        <v>0.1</v>
      </c>
      <c r="AP73" s="28">
        <v>0</v>
      </c>
      <c r="AQ73" s="28">
        <v>0</v>
      </c>
      <c r="AR73" s="33" t="str">
        <f t="shared" si="23"/>
        <v/>
      </c>
      <c r="AS73" s="33" t="str">
        <f t="shared" si="24"/>
        <v/>
      </c>
      <c r="AT73" s="33" t="str">
        <f t="shared" si="25"/>
        <v/>
      </c>
      <c r="AU73" s="33" t="str">
        <f t="shared" si="26"/>
        <v/>
      </c>
    </row>
    <row r="74" spans="1:47" s="1" customFormat="1" x14ac:dyDescent="0.25">
      <c r="B74" s="24">
        <v>1346</v>
      </c>
      <c r="C74" s="24" t="s">
        <v>111</v>
      </c>
      <c r="D74" s="54" t="s">
        <v>26</v>
      </c>
      <c r="E74" s="55">
        <v>1948</v>
      </c>
      <c r="F74" s="55"/>
      <c r="G74" s="27">
        <v>93420</v>
      </c>
      <c r="H74" s="15" t="s">
        <v>175</v>
      </c>
      <c r="I74" s="50" t="s">
        <v>269</v>
      </c>
      <c r="J74" s="8" t="str">
        <f>VLOOKUP($G74,Inputs!$B$127:$F$129,3,TRUE)</f>
        <v>Packaged VAV, DX</v>
      </c>
      <c r="L74" s="46">
        <v>24</v>
      </c>
      <c r="M74" s="29">
        <f t="shared" si="17"/>
        <v>2242080</v>
      </c>
      <c r="N74" s="29">
        <f t="shared" si="0"/>
        <v>1614297.6</v>
      </c>
      <c r="O74" s="29">
        <f t="shared" si="1"/>
        <v>179366.40000000002</v>
      </c>
      <c r="P74" s="29">
        <f t="shared" si="2"/>
        <v>0</v>
      </c>
      <c r="Q74" s="29">
        <f t="shared" si="3"/>
        <v>448416</v>
      </c>
      <c r="R74" s="31">
        <f>LOOKUP($D74,Inputs!$B$78:$B$89,Inputs!C$78:C$89)*(1-$U74)</f>
        <v>0.72000000000000008</v>
      </c>
      <c r="S74" s="31">
        <f>LOOKUP($D74,Inputs!$B$78:$B$89,Inputs!D$78:D$89)*(1-$U74)</f>
        <v>8.0000000000000016E-2</v>
      </c>
      <c r="T74" s="31">
        <f>LOOKUP($D74,Inputs!$B$78:$B$89,Inputs!E$78:E$89)*(1-$U74)</f>
        <v>0</v>
      </c>
      <c r="U74" s="48">
        <v>0.2</v>
      </c>
      <c r="V74" s="13" t="str">
        <f t="shared" si="4"/>
        <v/>
      </c>
      <c r="W74" s="72">
        <f>SUM(N74:O74)*Inputs!$C$22*(1-Inputs!$C$13)/Inputs!$C$15</f>
        <v>1448.3836799999997</v>
      </c>
      <c r="X74" s="15">
        <v>0</v>
      </c>
      <c r="Y74" s="71">
        <f>IF($X74&gt;0,$X74,$G74*LOOKUP($D74,Inputs!$B$63:$B$74,Inputs!$H$63:$H$74)/Inputs!$C$15)</f>
        <v>93.42</v>
      </c>
      <c r="Z74" s="71">
        <f t="shared" si="15"/>
        <v>93.42</v>
      </c>
      <c r="AA74" s="108">
        <f>VLOOKUP(J74,Inputs!$D$127:$H$129,5,FALSE)</f>
        <v>1.2371134020618557</v>
      </c>
      <c r="AB74" s="108">
        <f t="shared" si="16"/>
        <v>115.57113402061856</v>
      </c>
      <c r="AD74" s="27">
        <v>2242080</v>
      </c>
      <c r="AE74" s="27">
        <v>1614297.6</v>
      </c>
      <c r="AF74" s="27">
        <v>179366.40000000002</v>
      </c>
      <c r="AG74" s="27">
        <v>0</v>
      </c>
      <c r="AH74" s="27">
        <v>448416</v>
      </c>
      <c r="AI74" s="33" t="str">
        <f t="shared" si="18"/>
        <v/>
      </c>
      <c r="AJ74" s="33" t="str">
        <f t="shared" si="19"/>
        <v/>
      </c>
      <c r="AK74" s="33" t="str">
        <f t="shared" si="20"/>
        <v/>
      </c>
      <c r="AL74" s="33" t="str">
        <f t="shared" si="21"/>
        <v/>
      </c>
      <c r="AM74" s="33" t="str">
        <f t="shared" si="22"/>
        <v/>
      </c>
      <c r="AN74" s="28">
        <v>0.72000000000000008</v>
      </c>
      <c r="AO74" s="28">
        <v>8.0000000000000016E-2</v>
      </c>
      <c r="AP74" s="28">
        <v>0</v>
      </c>
      <c r="AQ74" s="28">
        <v>0.2</v>
      </c>
      <c r="AR74" s="33" t="str">
        <f t="shared" si="23"/>
        <v/>
      </c>
      <c r="AS74" s="33" t="str">
        <f t="shared" si="24"/>
        <v/>
      </c>
      <c r="AT74" s="33" t="str">
        <f t="shared" si="25"/>
        <v/>
      </c>
      <c r="AU74" s="33" t="str">
        <f t="shared" si="26"/>
        <v/>
      </c>
    </row>
    <row r="75" spans="1:47" x14ac:dyDescent="0.25">
      <c r="A75" s="1"/>
      <c r="B75" s="24">
        <v>1206</v>
      </c>
      <c r="C75" s="24" t="s">
        <v>112</v>
      </c>
      <c r="D75" s="54" t="s">
        <v>26</v>
      </c>
      <c r="E75" s="55">
        <v>1906</v>
      </c>
      <c r="F75" s="55"/>
      <c r="G75" s="27">
        <v>23533</v>
      </c>
      <c r="H75" s="15" t="s">
        <v>177</v>
      </c>
      <c r="I75" s="15" t="s">
        <v>260</v>
      </c>
      <c r="J75" s="8" t="str">
        <f>VLOOKUP($G75,Inputs!$B$127:$F$129,3,TRUE)</f>
        <v>Packaged VAV, DX</v>
      </c>
      <c r="K75" s="1"/>
      <c r="L75" s="46">
        <v>16.899999999999999</v>
      </c>
      <c r="M75" s="29">
        <f t="shared" si="17"/>
        <v>397707.69999999995</v>
      </c>
      <c r="N75" s="29">
        <f t="shared" si="0"/>
        <v>357936.93</v>
      </c>
      <c r="O75" s="29">
        <f t="shared" si="1"/>
        <v>39770.769999999997</v>
      </c>
      <c r="P75" s="29">
        <f t="shared" si="2"/>
        <v>0</v>
      </c>
      <c r="Q75" s="29">
        <f t="shared" si="3"/>
        <v>0</v>
      </c>
      <c r="R75" s="31">
        <f>LOOKUP($D75,Inputs!$B$78:$B$89,Inputs!C$78:C$89)</f>
        <v>0.9</v>
      </c>
      <c r="S75" s="31">
        <f>LOOKUP($D75,Inputs!$B$78:$B$89,Inputs!D$78:D$89)</f>
        <v>0.1</v>
      </c>
      <c r="T75" s="31">
        <f>LOOKUP($D75,Inputs!$B$78:$B$89,Inputs!E$78:E$89)</f>
        <v>0</v>
      </c>
      <c r="U75" s="31">
        <f>LOOKUP($D75,Inputs!$B$78:$B$89,Inputs!F$78:F$89)</f>
        <v>0</v>
      </c>
      <c r="V75" s="13" t="str">
        <f t="shared" si="4"/>
        <v/>
      </c>
      <c r="W75" s="72">
        <f>SUM(N75:O75)*Inputs!$C$22*(1-Inputs!$C$13)/Inputs!$C$15</f>
        <v>321.14896775</v>
      </c>
      <c r="X75" s="15">
        <v>0</v>
      </c>
      <c r="Y75" s="71">
        <f>IF($X75&gt;0,$X75,$G75*LOOKUP($D75,Inputs!$B$63:$B$74,Inputs!$H$63:$H$74)/Inputs!$C$15)</f>
        <v>23.533000000000001</v>
      </c>
      <c r="Z75" s="71">
        <f t="shared" si="15"/>
        <v>23.533000000000001</v>
      </c>
      <c r="AA75" s="108">
        <f>VLOOKUP(J75,Inputs!$D$127:$H$129,5,FALSE)</f>
        <v>1.2371134020618557</v>
      </c>
      <c r="AB75" s="108">
        <f t="shared" si="16"/>
        <v>29.112989690721651</v>
      </c>
      <c r="AC75" s="1"/>
      <c r="AD75" s="27">
        <v>397707.69999999995</v>
      </c>
      <c r="AE75" s="27">
        <v>357936.93</v>
      </c>
      <c r="AF75" s="27">
        <v>39770.769999999997</v>
      </c>
      <c r="AG75" s="27">
        <v>0</v>
      </c>
      <c r="AH75" s="27">
        <v>0</v>
      </c>
      <c r="AI75" s="33" t="str">
        <f t="shared" si="18"/>
        <v/>
      </c>
      <c r="AJ75" s="33" t="str">
        <f t="shared" si="19"/>
        <v/>
      </c>
      <c r="AK75" s="33" t="str">
        <f t="shared" si="20"/>
        <v/>
      </c>
      <c r="AL75" s="33" t="str">
        <f t="shared" si="21"/>
        <v/>
      </c>
      <c r="AM75" s="33" t="str">
        <f t="shared" si="22"/>
        <v/>
      </c>
      <c r="AN75" s="28">
        <v>0.9</v>
      </c>
      <c r="AO75" s="28">
        <v>0.1</v>
      </c>
      <c r="AP75" s="28">
        <v>0</v>
      </c>
      <c r="AQ75" s="28">
        <v>0</v>
      </c>
      <c r="AR75" s="33" t="str">
        <f t="shared" si="23"/>
        <v/>
      </c>
      <c r="AS75" s="33" t="str">
        <f t="shared" si="24"/>
        <v/>
      </c>
      <c r="AT75" s="33" t="str">
        <f t="shared" si="25"/>
        <v/>
      </c>
      <c r="AU75" s="33" t="str">
        <f t="shared" si="26"/>
        <v/>
      </c>
    </row>
    <row r="76" spans="1:47" s="1" customFormat="1" x14ac:dyDescent="0.25">
      <c r="B76" s="24">
        <v>1229</v>
      </c>
      <c r="C76" s="24" t="s">
        <v>113</v>
      </c>
      <c r="D76" s="54" t="s">
        <v>24</v>
      </c>
      <c r="E76" s="55">
        <v>1991</v>
      </c>
      <c r="F76" s="55"/>
      <c r="G76" s="27">
        <v>52845</v>
      </c>
      <c r="H76" s="15" t="s">
        <v>175</v>
      </c>
      <c r="I76" s="50" t="s">
        <v>258</v>
      </c>
      <c r="J76" s="8" t="str">
        <f>VLOOKUP($G76,Inputs!$B$127:$F$129,3,TRUE)</f>
        <v>Packaged VAV, DX</v>
      </c>
      <c r="L76" s="46">
        <v>40</v>
      </c>
      <c r="M76" s="29">
        <f t="shared" si="17"/>
        <v>2113800</v>
      </c>
      <c r="N76" s="29">
        <f t="shared" ref="N76:N100" si="27">$M76*R76</f>
        <v>1183727.9999999998</v>
      </c>
      <c r="O76" s="29">
        <f t="shared" ref="O76:O101" si="28">$M76*S76</f>
        <v>295931.99999999994</v>
      </c>
      <c r="P76" s="29">
        <f t="shared" ref="P76:P101" si="29">$M76*T76</f>
        <v>0</v>
      </c>
      <c r="Q76" s="29">
        <f t="shared" ref="Q76:Q101" si="30">$M76*U76</f>
        <v>634140</v>
      </c>
      <c r="R76" s="31">
        <f>LOOKUP($D76,Inputs!$B$78:$B$89,Inputs!C$78:C$89)*(1-$U76)</f>
        <v>0.55999999999999994</v>
      </c>
      <c r="S76" s="31">
        <f>LOOKUP($D76,Inputs!$B$78:$B$89,Inputs!D$78:D$89)*(1-$U76)</f>
        <v>0.13999999999999999</v>
      </c>
      <c r="T76" s="31">
        <f>LOOKUP($D76,Inputs!$B$78:$B$89,Inputs!E$78:E$89)*(1-$U76)</f>
        <v>0</v>
      </c>
      <c r="U76" s="48">
        <v>0.3</v>
      </c>
      <c r="V76" s="13" t="str">
        <f t="shared" ref="V76:V101" si="31">IF(SUM(R76:U76)=100%,"","FLAG")</f>
        <v/>
      </c>
      <c r="W76" s="72">
        <f>SUM(N76:O76)*Inputs!$C$22*(1-Inputs!$C$13)/Inputs!$C$15</f>
        <v>1194.8254499999998</v>
      </c>
      <c r="X76" s="15"/>
      <c r="Y76" s="71">
        <f>IF($X76&gt;0,$X76,$G76*LOOKUP($D76,Inputs!$B$63:$B$74,Inputs!$H$63:$H$74)/Inputs!$C$15)</f>
        <v>132.11250000000001</v>
      </c>
      <c r="Z76" s="71">
        <f t="shared" si="15"/>
        <v>132.11250000000001</v>
      </c>
      <c r="AA76" s="108">
        <f>VLOOKUP(J76,Inputs!$D$127:$H$129,5,FALSE)</f>
        <v>1.2371134020618557</v>
      </c>
      <c r="AB76" s="108">
        <f t="shared" si="16"/>
        <v>163.43814432989691</v>
      </c>
      <c r="AD76" s="27">
        <v>2113800</v>
      </c>
      <c r="AE76" s="27">
        <v>1183727.9999999998</v>
      </c>
      <c r="AF76" s="27">
        <v>295931.99999999994</v>
      </c>
      <c r="AG76" s="27">
        <v>0</v>
      </c>
      <c r="AH76" s="27">
        <v>634140</v>
      </c>
      <c r="AI76" s="33" t="str">
        <f t="shared" si="18"/>
        <v/>
      </c>
      <c r="AJ76" s="33" t="str">
        <f t="shared" si="19"/>
        <v/>
      </c>
      <c r="AK76" s="33" t="str">
        <f t="shared" si="20"/>
        <v/>
      </c>
      <c r="AL76" s="33" t="str">
        <f t="shared" si="21"/>
        <v/>
      </c>
      <c r="AM76" s="33" t="str">
        <f t="shared" si="22"/>
        <v/>
      </c>
      <c r="AN76" s="28">
        <v>0.55999999999999994</v>
      </c>
      <c r="AO76" s="28">
        <v>0.13999999999999999</v>
      </c>
      <c r="AP76" s="28">
        <v>0</v>
      </c>
      <c r="AQ76" s="28">
        <v>0.3</v>
      </c>
      <c r="AR76" s="33" t="str">
        <f t="shared" si="23"/>
        <v/>
      </c>
      <c r="AS76" s="33" t="str">
        <f t="shared" si="24"/>
        <v/>
      </c>
      <c r="AT76" s="33" t="str">
        <f t="shared" si="25"/>
        <v/>
      </c>
      <c r="AU76" s="33" t="str">
        <f t="shared" si="26"/>
        <v/>
      </c>
    </row>
    <row r="77" spans="1:47" s="1" customFormat="1" x14ac:dyDescent="0.25">
      <c r="B77" s="24">
        <v>1377</v>
      </c>
      <c r="C77" s="24" t="s">
        <v>114</v>
      </c>
      <c r="D77" s="54" t="s">
        <v>26</v>
      </c>
      <c r="E77" s="55">
        <v>1959</v>
      </c>
      <c r="F77" s="56">
        <v>2025</v>
      </c>
      <c r="G77" s="27">
        <v>41297</v>
      </c>
      <c r="H77" s="15" t="s">
        <v>177</v>
      </c>
      <c r="I77" s="50" t="s">
        <v>268</v>
      </c>
      <c r="J77" s="8" t="str">
        <f>VLOOKUP($G77,Inputs!$B$127:$F$129,3,TRUE)</f>
        <v>Packaged VAV, DX</v>
      </c>
      <c r="L77" s="46">
        <v>22</v>
      </c>
      <c r="M77" s="29">
        <f t="shared" si="17"/>
        <v>908534</v>
      </c>
      <c r="N77" s="29">
        <f t="shared" si="27"/>
        <v>817680.6</v>
      </c>
      <c r="O77" s="29">
        <f t="shared" si="28"/>
        <v>90853.400000000009</v>
      </c>
      <c r="P77" s="29">
        <f t="shared" si="29"/>
        <v>0</v>
      </c>
      <c r="Q77" s="29">
        <f t="shared" si="30"/>
        <v>0</v>
      </c>
      <c r="R77" s="31">
        <f>LOOKUP($D77,Inputs!$B$78:$B$89,Inputs!C$78:C$89)</f>
        <v>0.9</v>
      </c>
      <c r="S77" s="31">
        <f>LOOKUP($D77,Inputs!$B$78:$B$89,Inputs!D$78:D$89)</f>
        <v>0.1</v>
      </c>
      <c r="T77" s="31">
        <f>LOOKUP($D77,Inputs!$B$78:$B$89,Inputs!E$78:E$89)</f>
        <v>0</v>
      </c>
      <c r="U77" s="31">
        <f>LOOKUP($D77,Inputs!$B$78:$B$89,Inputs!F$78:F$89)</f>
        <v>0</v>
      </c>
      <c r="V77" s="13" t="str">
        <f t="shared" si="31"/>
        <v/>
      </c>
      <c r="W77" s="72">
        <f>SUM(N77:O77)*Inputs!$C$22*(1-Inputs!$C$13)/Inputs!$C$15</f>
        <v>733.64120500000001</v>
      </c>
      <c r="X77" s="15">
        <v>0</v>
      </c>
      <c r="Y77" s="71">
        <f>IF($X77&gt;0,$X77,$G77*LOOKUP($D77,Inputs!$B$63:$B$74,Inputs!$H$63:$H$74)/Inputs!$C$15)</f>
        <v>41.296999999999997</v>
      </c>
      <c r="Z77" s="71">
        <f t="shared" si="15"/>
        <v>41.296999999999997</v>
      </c>
      <c r="AA77" s="108">
        <f>VLOOKUP(J77,Inputs!$D$127:$H$129,5,FALSE)</f>
        <v>1.2371134020618557</v>
      </c>
      <c r="AB77" s="108">
        <f t="shared" si="16"/>
        <v>51.089072164948455</v>
      </c>
      <c r="AD77" s="27">
        <v>908534</v>
      </c>
      <c r="AE77" s="27">
        <v>817680.6</v>
      </c>
      <c r="AF77" s="27">
        <v>90853.400000000009</v>
      </c>
      <c r="AG77" s="27">
        <v>0</v>
      </c>
      <c r="AH77" s="27">
        <v>0</v>
      </c>
      <c r="AI77" s="33" t="str">
        <f t="shared" si="18"/>
        <v/>
      </c>
      <c r="AJ77" s="33" t="str">
        <f t="shared" si="19"/>
        <v/>
      </c>
      <c r="AK77" s="33" t="str">
        <f t="shared" si="20"/>
        <v/>
      </c>
      <c r="AL77" s="33" t="str">
        <f t="shared" si="21"/>
        <v/>
      </c>
      <c r="AM77" s="33" t="str">
        <f t="shared" si="22"/>
        <v/>
      </c>
      <c r="AN77" s="28">
        <v>0.9</v>
      </c>
      <c r="AO77" s="28">
        <v>0.1</v>
      </c>
      <c r="AP77" s="28">
        <v>0</v>
      </c>
      <c r="AQ77" s="28">
        <v>0</v>
      </c>
      <c r="AR77" s="33" t="str">
        <f t="shared" si="23"/>
        <v/>
      </c>
      <c r="AS77" s="33" t="str">
        <f t="shared" si="24"/>
        <v/>
      </c>
      <c r="AT77" s="33" t="str">
        <f t="shared" si="25"/>
        <v/>
      </c>
      <c r="AU77" s="33" t="str">
        <f t="shared" si="26"/>
        <v/>
      </c>
    </row>
    <row r="78" spans="1:47" s="1" customFormat="1" x14ac:dyDescent="0.25">
      <c r="B78" s="24">
        <v>1801</v>
      </c>
      <c r="C78" s="24" t="s">
        <v>115</v>
      </c>
      <c r="D78" s="54" t="s">
        <v>26</v>
      </c>
      <c r="E78" s="55">
        <v>1964</v>
      </c>
      <c r="F78" s="55"/>
      <c r="G78" s="27">
        <v>14524</v>
      </c>
      <c r="H78" s="15" t="s">
        <v>177</v>
      </c>
      <c r="I78" s="50" t="s">
        <v>270</v>
      </c>
      <c r="J78" s="8" t="str">
        <f>VLOOKUP($G78,Inputs!$B$127:$F$129,3,TRUE)</f>
        <v>Packaged VAV, DX</v>
      </c>
      <c r="L78" s="46">
        <v>32</v>
      </c>
      <c r="M78" s="29">
        <f t="shared" ref="M78:M101" si="32">L78*G78</f>
        <v>464768</v>
      </c>
      <c r="N78" s="29">
        <f t="shared" si="27"/>
        <v>418291.20000000001</v>
      </c>
      <c r="O78" s="29">
        <f t="shared" si="28"/>
        <v>46476.800000000003</v>
      </c>
      <c r="P78" s="29">
        <f t="shared" si="29"/>
        <v>0</v>
      </c>
      <c r="Q78" s="29">
        <f t="shared" si="30"/>
        <v>0</v>
      </c>
      <c r="R78" s="31">
        <f>LOOKUP($D78,Inputs!$B$78:$B$89,Inputs!C$78:C$89)</f>
        <v>0.9</v>
      </c>
      <c r="S78" s="31">
        <f>LOOKUP($D78,Inputs!$B$78:$B$89,Inputs!D$78:D$89)</f>
        <v>0.1</v>
      </c>
      <c r="T78" s="31">
        <f>LOOKUP($D78,Inputs!$B$78:$B$89,Inputs!E$78:E$89)</f>
        <v>0</v>
      </c>
      <c r="U78" s="31">
        <f>LOOKUP($D78,Inputs!$B$78:$B$89,Inputs!F$78:F$89)</f>
        <v>0</v>
      </c>
      <c r="V78" s="13" t="str">
        <f t="shared" si="31"/>
        <v/>
      </c>
      <c r="W78" s="72">
        <f>SUM(N78:O78)*Inputs!$C$22*(1-Inputs!$C$13)/Inputs!$C$15</f>
        <v>375.30015999999995</v>
      </c>
      <c r="X78" s="15">
        <v>0</v>
      </c>
      <c r="Y78" s="71">
        <f>IF($X78&gt;0,$X78,$G78*LOOKUP($D78,Inputs!$B$63:$B$74,Inputs!$H$63:$H$74)/Inputs!$C$15)</f>
        <v>14.523999999999999</v>
      </c>
      <c r="Z78" s="71">
        <f t="shared" si="15"/>
        <v>14.523999999999999</v>
      </c>
      <c r="AA78" s="108">
        <f>VLOOKUP(J78,Inputs!$D$127:$H$129,5,FALSE)</f>
        <v>1.2371134020618557</v>
      </c>
      <c r="AB78" s="108">
        <f t="shared" si="16"/>
        <v>17.967835051546391</v>
      </c>
      <c r="AD78" s="27">
        <v>464768</v>
      </c>
      <c r="AE78" s="27">
        <v>418291.20000000001</v>
      </c>
      <c r="AF78" s="27">
        <v>46476.800000000003</v>
      </c>
      <c r="AG78" s="27">
        <v>0</v>
      </c>
      <c r="AH78" s="27">
        <v>0</v>
      </c>
      <c r="AI78" s="33" t="str">
        <f t="shared" si="18"/>
        <v/>
      </c>
      <c r="AJ78" s="33" t="str">
        <f t="shared" si="19"/>
        <v/>
      </c>
      <c r="AK78" s="33" t="str">
        <f t="shared" si="20"/>
        <v/>
      </c>
      <c r="AL78" s="33" t="str">
        <f t="shared" si="21"/>
        <v/>
      </c>
      <c r="AM78" s="33" t="str">
        <f t="shared" si="22"/>
        <v/>
      </c>
      <c r="AN78" s="28">
        <v>0.9</v>
      </c>
      <c r="AO78" s="28">
        <v>0.1</v>
      </c>
      <c r="AP78" s="28">
        <v>0</v>
      </c>
      <c r="AQ78" s="28">
        <v>0</v>
      </c>
      <c r="AR78" s="33" t="str">
        <f t="shared" si="23"/>
        <v/>
      </c>
      <c r="AS78" s="33" t="str">
        <f t="shared" si="24"/>
        <v/>
      </c>
      <c r="AT78" s="33" t="str">
        <f t="shared" si="25"/>
        <v/>
      </c>
      <c r="AU78" s="33" t="str">
        <f t="shared" si="26"/>
        <v/>
      </c>
    </row>
    <row r="79" spans="1:47" s="1" customFormat="1" x14ac:dyDescent="0.25">
      <c r="B79" s="24">
        <v>1365</v>
      </c>
      <c r="C79" s="24" t="s">
        <v>116</v>
      </c>
      <c r="D79" s="54" t="s">
        <v>22</v>
      </c>
      <c r="E79" s="55">
        <v>1984</v>
      </c>
      <c r="F79" s="55"/>
      <c r="G79" s="27">
        <v>187982</v>
      </c>
      <c r="H79" s="15" t="s">
        <v>173</v>
      </c>
      <c r="I79" s="15" t="s">
        <v>266</v>
      </c>
      <c r="J79" s="8" t="str">
        <f>VLOOKUP($G79,Inputs!$B$127:$F$129,3,TRUE)</f>
        <v>Water-cooled chiller</v>
      </c>
      <c r="L79" s="46">
        <v>32</v>
      </c>
      <c r="M79" s="29">
        <f t="shared" si="32"/>
        <v>6015424</v>
      </c>
      <c r="N79" s="29">
        <f t="shared" si="27"/>
        <v>3609254.4</v>
      </c>
      <c r="O79" s="29">
        <f t="shared" si="28"/>
        <v>2406169.6000000001</v>
      </c>
      <c r="P79" s="29">
        <f t="shared" si="29"/>
        <v>0</v>
      </c>
      <c r="Q79" s="29">
        <f t="shared" si="30"/>
        <v>0</v>
      </c>
      <c r="R79" s="31">
        <f>LOOKUP($D79,Inputs!$B$78:$B$89,Inputs!C$78:C$89)</f>
        <v>0.6</v>
      </c>
      <c r="S79" s="31">
        <f>LOOKUP($D79,Inputs!$B$78:$B$89,Inputs!D$78:D$89)</f>
        <v>0.4</v>
      </c>
      <c r="T79" s="31">
        <f>LOOKUP($D79,Inputs!$B$78:$B$89,Inputs!E$78:E$89)</f>
        <v>0</v>
      </c>
      <c r="U79" s="31">
        <f>LOOKUP($D79,Inputs!$B$78:$B$89,Inputs!F$78:F$89)</f>
        <v>0</v>
      </c>
      <c r="V79" s="13" t="str">
        <f t="shared" si="31"/>
        <v/>
      </c>
      <c r="W79" s="72">
        <f>SUM(N79:O79)*Inputs!$C$22*(1-Inputs!$C$13)/Inputs!$C$15</f>
        <v>4857.4548800000002</v>
      </c>
      <c r="X79" s="15">
        <v>0</v>
      </c>
      <c r="Y79" s="71">
        <f>IF($X79&gt;0,$X79,$G79*LOOKUP($D79,Inputs!$B$63:$B$74,Inputs!$H$63:$H$74)/Inputs!$C$15)</f>
        <v>187.982</v>
      </c>
      <c r="Z79" s="71">
        <f t="shared" ref="Z79:Z132" si="33">Y79-X79</f>
        <v>187.982</v>
      </c>
      <c r="AA79" s="108">
        <f>VLOOKUP(J79,Inputs!$D$127:$H$129,5,FALSE)</f>
        <v>0.58499999999999996</v>
      </c>
      <c r="AB79" s="108">
        <f t="shared" ref="AB79:AB132" si="34">AA79*Z79</f>
        <v>109.96946999999999</v>
      </c>
      <c r="AD79" s="27">
        <v>6015424</v>
      </c>
      <c r="AE79" s="27">
        <v>3609254.4</v>
      </c>
      <c r="AF79" s="27">
        <v>2406169.6000000001</v>
      </c>
      <c r="AG79" s="27">
        <v>0</v>
      </c>
      <c r="AH79" s="27">
        <v>0</v>
      </c>
      <c r="AI79" s="33" t="str">
        <f t="shared" si="18"/>
        <v/>
      </c>
      <c r="AJ79" s="33" t="str">
        <f t="shared" si="19"/>
        <v/>
      </c>
      <c r="AK79" s="33" t="str">
        <f t="shared" si="20"/>
        <v/>
      </c>
      <c r="AL79" s="33" t="str">
        <f t="shared" si="21"/>
        <v/>
      </c>
      <c r="AM79" s="33" t="str">
        <f t="shared" si="22"/>
        <v/>
      </c>
      <c r="AN79" s="28">
        <v>0.6</v>
      </c>
      <c r="AO79" s="28">
        <v>0.4</v>
      </c>
      <c r="AP79" s="28">
        <v>0</v>
      </c>
      <c r="AQ79" s="28">
        <v>0</v>
      </c>
      <c r="AR79" s="33" t="str">
        <f t="shared" si="23"/>
        <v/>
      </c>
      <c r="AS79" s="33" t="str">
        <f t="shared" si="24"/>
        <v/>
      </c>
      <c r="AT79" s="33" t="str">
        <f t="shared" si="25"/>
        <v/>
      </c>
      <c r="AU79" s="33" t="str">
        <f t="shared" si="26"/>
        <v/>
      </c>
    </row>
    <row r="80" spans="1:47" s="1" customFormat="1" x14ac:dyDescent="0.25">
      <c r="B80" s="24">
        <v>1391</v>
      </c>
      <c r="C80" s="24" t="s">
        <v>117</v>
      </c>
      <c r="D80" s="54" t="s">
        <v>26</v>
      </c>
      <c r="E80" s="55">
        <v>1966</v>
      </c>
      <c r="F80" s="55"/>
      <c r="G80" s="27">
        <v>36180</v>
      </c>
      <c r="H80" s="15" t="s">
        <v>176</v>
      </c>
      <c r="I80" s="50" t="s">
        <v>262</v>
      </c>
      <c r="J80" s="8" t="str">
        <f>VLOOKUP($G80,Inputs!$B$127:$F$129,3,TRUE)</f>
        <v>Packaged VAV, DX</v>
      </c>
      <c r="L80" s="46">
        <v>32</v>
      </c>
      <c r="M80" s="29">
        <f t="shared" si="32"/>
        <v>1157760</v>
      </c>
      <c r="N80" s="29">
        <f t="shared" si="27"/>
        <v>1041984</v>
      </c>
      <c r="O80" s="29">
        <f t="shared" si="28"/>
        <v>115776</v>
      </c>
      <c r="P80" s="29">
        <f t="shared" si="29"/>
        <v>0</v>
      </c>
      <c r="Q80" s="29">
        <f t="shared" si="30"/>
        <v>0</v>
      </c>
      <c r="R80" s="31">
        <f>LOOKUP($D80,Inputs!$B$78:$B$89,Inputs!C$78:C$89)</f>
        <v>0.9</v>
      </c>
      <c r="S80" s="31">
        <f>LOOKUP($D80,Inputs!$B$78:$B$89,Inputs!D$78:D$89)</f>
        <v>0.1</v>
      </c>
      <c r="T80" s="31">
        <f>LOOKUP($D80,Inputs!$B$78:$B$89,Inputs!E$78:E$89)</f>
        <v>0</v>
      </c>
      <c r="U80" s="31">
        <f>LOOKUP($D80,Inputs!$B$78:$B$89,Inputs!F$78:F$89)</f>
        <v>0</v>
      </c>
      <c r="V80" s="13" t="str">
        <f t="shared" si="31"/>
        <v/>
      </c>
      <c r="W80" s="72">
        <f>SUM(N80:O80)*Inputs!$C$22*(1-Inputs!$C$13)/Inputs!$C$15</f>
        <v>934.89119999999991</v>
      </c>
      <c r="X80" s="15">
        <v>0</v>
      </c>
      <c r="Y80" s="71">
        <f>IF($X80&gt;0,$X80,$G80*LOOKUP($D80,Inputs!$B$63:$B$74,Inputs!$H$63:$H$74)/Inputs!$C$15)</f>
        <v>36.18</v>
      </c>
      <c r="Z80" s="71">
        <f t="shared" si="33"/>
        <v>36.18</v>
      </c>
      <c r="AA80" s="108">
        <f>VLOOKUP(J80,Inputs!$D$127:$H$129,5,FALSE)</f>
        <v>1.2371134020618557</v>
      </c>
      <c r="AB80" s="108">
        <f t="shared" si="34"/>
        <v>44.758762886597943</v>
      </c>
      <c r="AD80" s="27">
        <v>1157760</v>
      </c>
      <c r="AE80" s="27">
        <v>1041984</v>
      </c>
      <c r="AF80" s="27">
        <v>115776</v>
      </c>
      <c r="AG80" s="27">
        <v>0</v>
      </c>
      <c r="AH80" s="27">
        <v>0</v>
      </c>
      <c r="AI80" s="33" t="str">
        <f t="shared" si="18"/>
        <v/>
      </c>
      <c r="AJ80" s="33" t="str">
        <f t="shared" si="19"/>
        <v/>
      </c>
      <c r="AK80" s="33" t="str">
        <f t="shared" si="20"/>
        <v/>
      </c>
      <c r="AL80" s="33" t="str">
        <f t="shared" si="21"/>
        <v/>
      </c>
      <c r="AM80" s="33" t="str">
        <f t="shared" si="22"/>
        <v/>
      </c>
      <c r="AN80" s="28">
        <v>0.9</v>
      </c>
      <c r="AO80" s="28">
        <v>0.1</v>
      </c>
      <c r="AP80" s="28">
        <v>0</v>
      </c>
      <c r="AQ80" s="28">
        <v>0</v>
      </c>
      <c r="AR80" s="33" t="str">
        <f t="shared" si="23"/>
        <v/>
      </c>
      <c r="AS80" s="33" t="str">
        <f t="shared" si="24"/>
        <v/>
      </c>
      <c r="AT80" s="33" t="str">
        <f t="shared" si="25"/>
        <v/>
      </c>
      <c r="AU80" s="33" t="str">
        <f t="shared" si="26"/>
        <v/>
      </c>
    </row>
    <row r="81" spans="1:47" s="1" customFormat="1" x14ac:dyDescent="0.25">
      <c r="B81" s="24">
        <v>1277</v>
      </c>
      <c r="C81" s="24" t="s">
        <v>118</v>
      </c>
      <c r="D81" s="54" t="s">
        <v>22</v>
      </c>
      <c r="E81" s="55">
        <v>2011</v>
      </c>
      <c r="F81" s="55"/>
      <c r="G81" s="27">
        <v>139682</v>
      </c>
      <c r="H81" s="15" t="s">
        <v>176</v>
      </c>
      <c r="I81" s="50" t="s">
        <v>262</v>
      </c>
      <c r="J81" s="8" t="str">
        <f>VLOOKUP($G81,Inputs!$B$127:$F$129,3,TRUE)</f>
        <v>Packaged VAV, DX</v>
      </c>
      <c r="L81" s="46">
        <v>6</v>
      </c>
      <c r="M81" s="29">
        <f t="shared" si="32"/>
        <v>838092</v>
      </c>
      <c r="N81" s="29">
        <f t="shared" si="27"/>
        <v>502855.19999999995</v>
      </c>
      <c r="O81" s="29">
        <f t="shared" si="28"/>
        <v>335236.80000000005</v>
      </c>
      <c r="P81" s="29">
        <f t="shared" si="29"/>
        <v>0</v>
      </c>
      <c r="Q81" s="29">
        <f t="shared" si="30"/>
        <v>0</v>
      </c>
      <c r="R81" s="31">
        <f>LOOKUP($D81,Inputs!$B$78:$B$89,Inputs!C$78:C$89)</f>
        <v>0.6</v>
      </c>
      <c r="S81" s="31">
        <f>LOOKUP($D81,Inputs!$B$78:$B$89,Inputs!D$78:D$89)</f>
        <v>0.4</v>
      </c>
      <c r="T81" s="31">
        <f>LOOKUP($D81,Inputs!$B$78:$B$89,Inputs!E$78:E$89)</f>
        <v>0</v>
      </c>
      <c r="U81" s="31">
        <f>LOOKUP($D81,Inputs!$B$78:$B$89,Inputs!F$78:F$89)</f>
        <v>0</v>
      </c>
      <c r="V81" s="13" t="str">
        <f t="shared" si="31"/>
        <v/>
      </c>
      <c r="W81" s="72">
        <f>SUM(N81:O81)*Inputs!$C$22*(1-Inputs!$C$13)/Inputs!$C$15</f>
        <v>676.75928999999996</v>
      </c>
      <c r="X81" s="15">
        <v>0</v>
      </c>
      <c r="Y81" s="71">
        <f>IF($X81&gt;0,$X81,$G81*LOOKUP($D81,Inputs!$B$63:$B$74,Inputs!$H$63:$H$74)/Inputs!$C$15)</f>
        <v>139.68199999999999</v>
      </c>
      <c r="Z81" s="71">
        <f t="shared" si="33"/>
        <v>139.68199999999999</v>
      </c>
      <c r="AA81" s="108">
        <f>VLOOKUP(J81,Inputs!$D$127:$H$129,5,FALSE)</f>
        <v>1.2371134020618557</v>
      </c>
      <c r="AB81" s="108">
        <f t="shared" si="34"/>
        <v>172.80247422680412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33" t="str">
        <f t="shared" si="18"/>
        <v>FLAG</v>
      </c>
      <c r="AJ81" s="33" t="str">
        <f t="shared" si="19"/>
        <v>FLAG</v>
      </c>
      <c r="AK81" s="33" t="str">
        <f t="shared" si="20"/>
        <v>FLAG</v>
      </c>
      <c r="AL81" s="33" t="str">
        <f t="shared" si="21"/>
        <v/>
      </c>
      <c r="AM81" s="33" t="str">
        <f t="shared" si="22"/>
        <v/>
      </c>
      <c r="AN81" s="28">
        <v>0.6</v>
      </c>
      <c r="AO81" s="28">
        <v>0.4</v>
      </c>
      <c r="AP81" s="28">
        <v>0</v>
      </c>
      <c r="AQ81" s="28">
        <v>0</v>
      </c>
      <c r="AR81" s="33" t="str">
        <f t="shared" si="23"/>
        <v/>
      </c>
      <c r="AS81" s="33" t="str">
        <f t="shared" si="24"/>
        <v/>
      </c>
      <c r="AT81" s="33" t="str">
        <f t="shared" si="25"/>
        <v/>
      </c>
      <c r="AU81" s="33" t="str">
        <f t="shared" si="26"/>
        <v/>
      </c>
    </row>
    <row r="82" spans="1:47" x14ac:dyDescent="0.25">
      <c r="A82" s="1"/>
      <c r="B82" s="24">
        <v>1237</v>
      </c>
      <c r="C82" s="24" t="s">
        <v>119</v>
      </c>
      <c r="D82" s="54" t="s">
        <v>30</v>
      </c>
      <c r="E82" s="55">
        <v>1994</v>
      </c>
      <c r="F82" s="55"/>
      <c r="G82" s="27">
        <v>109588</v>
      </c>
      <c r="H82" s="15" t="s">
        <v>177</v>
      </c>
      <c r="I82" s="50" t="s">
        <v>267</v>
      </c>
      <c r="J82" s="8" t="str">
        <f>VLOOKUP($G82,Inputs!$B$127:$F$129,3,TRUE)</f>
        <v>Packaged VAV, DX</v>
      </c>
      <c r="K82" s="1"/>
      <c r="L82" s="46">
        <v>0</v>
      </c>
      <c r="M82" s="29">
        <f t="shared" si="32"/>
        <v>0</v>
      </c>
      <c r="N82" s="29">
        <f t="shared" si="27"/>
        <v>0</v>
      </c>
      <c r="O82" s="29">
        <f t="shared" si="28"/>
        <v>0</v>
      </c>
      <c r="P82" s="29">
        <f t="shared" si="29"/>
        <v>0</v>
      </c>
      <c r="Q82" s="29">
        <f t="shared" si="30"/>
        <v>0</v>
      </c>
      <c r="R82" s="31">
        <f>LOOKUP($D82,Inputs!$B$78:$B$89,Inputs!C$78:C$89)</f>
        <v>0.8666666666666667</v>
      </c>
      <c r="S82" s="31">
        <f>LOOKUP($D82,Inputs!$B$78:$B$89,Inputs!D$78:D$89)</f>
        <v>0.13333333333333333</v>
      </c>
      <c r="T82" s="31">
        <f>LOOKUP($D82,Inputs!$B$78:$B$89,Inputs!E$78:E$89)</f>
        <v>0</v>
      </c>
      <c r="U82" s="31">
        <f>LOOKUP($D82,Inputs!$B$78:$B$89,Inputs!F$78:F$89)</f>
        <v>0</v>
      </c>
      <c r="V82" s="13" t="str">
        <f t="shared" si="31"/>
        <v/>
      </c>
      <c r="W82" s="72">
        <f>SUM(N82:O82)*Inputs!$C$22*(1-Inputs!$C$13)/Inputs!$C$15</f>
        <v>0</v>
      </c>
      <c r="X82" s="15">
        <f>215+215+40</f>
        <v>470</v>
      </c>
      <c r="Y82" s="71">
        <f>IF($X82&gt;0,$X82,$G82*LOOKUP($D82,Inputs!$B$63:$B$74,Inputs!$H$63:$H$74)/Inputs!$C$15)</f>
        <v>470</v>
      </c>
      <c r="Z82" s="71">
        <f t="shared" si="33"/>
        <v>0</v>
      </c>
      <c r="AA82" s="108">
        <f>VLOOKUP(J82,Inputs!$D$127:$H$129,5,FALSE)</f>
        <v>1.2371134020618557</v>
      </c>
      <c r="AB82" s="108">
        <f t="shared" si="34"/>
        <v>0</v>
      </c>
      <c r="AC82" s="1"/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33" t="str">
        <f t="shared" si="18"/>
        <v/>
      </c>
      <c r="AJ82" s="33" t="str">
        <f t="shared" si="19"/>
        <v/>
      </c>
      <c r="AK82" s="33" t="str">
        <f t="shared" si="20"/>
        <v/>
      </c>
      <c r="AL82" s="33" t="str">
        <f t="shared" si="21"/>
        <v/>
      </c>
      <c r="AM82" s="33" t="str">
        <f t="shared" si="22"/>
        <v/>
      </c>
      <c r="AN82" s="28">
        <v>0.8</v>
      </c>
      <c r="AO82" s="28">
        <v>0.2</v>
      </c>
      <c r="AP82" s="28">
        <v>0</v>
      </c>
      <c r="AQ82" s="28">
        <v>0</v>
      </c>
      <c r="AR82" s="33" t="str">
        <f t="shared" si="23"/>
        <v>FLAG</v>
      </c>
      <c r="AS82" s="33" t="str">
        <f t="shared" si="24"/>
        <v>FLAG</v>
      </c>
      <c r="AT82" s="33" t="str">
        <f t="shared" si="25"/>
        <v/>
      </c>
      <c r="AU82" s="33" t="str">
        <f t="shared" si="26"/>
        <v/>
      </c>
    </row>
    <row r="83" spans="1:47" s="1" customFormat="1" x14ac:dyDescent="0.25">
      <c r="B83" s="24">
        <v>1484</v>
      </c>
      <c r="C83" s="24" t="s">
        <v>120</v>
      </c>
      <c r="D83" s="54" t="s">
        <v>26</v>
      </c>
      <c r="E83" s="55">
        <v>1873</v>
      </c>
      <c r="F83" s="55"/>
      <c r="G83" s="27">
        <v>30401</v>
      </c>
      <c r="H83" s="15" t="s">
        <v>177</v>
      </c>
      <c r="I83" s="50" t="s">
        <v>281</v>
      </c>
      <c r="J83" s="8" t="str">
        <f>VLOOKUP($G83,Inputs!$B$127:$F$129,3,TRUE)</f>
        <v>Packaged VAV, DX</v>
      </c>
      <c r="L83" s="46">
        <v>14.5</v>
      </c>
      <c r="M83" s="29">
        <f t="shared" si="32"/>
        <v>440814.5</v>
      </c>
      <c r="N83" s="29">
        <f t="shared" si="27"/>
        <v>396733.05</v>
      </c>
      <c r="O83" s="29">
        <f t="shared" si="28"/>
        <v>44081.450000000004</v>
      </c>
      <c r="P83" s="29">
        <f t="shared" si="29"/>
        <v>0</v>
      </c>
      <c r="Q83" s="29">
        <f t="shared" si="30"/>
        <v>0</v>
      </c>
      <c r="R83" s="31">
        <f>LOOKUP($D83,Inputs!$B$78:$B$89,Inputs!C$78:C$89)</f>
        <v>0.9</v>
      </c>
      <c r="S83" s="31">
        <f>LOOKUP($D83,Inputs!$B$78:$B$89,Inputs!D$78:D$89)</f>
        <v>0.1</v>
      </c>
      <c r="T83" s="31">
        <f>LOOKUP($D83,Inputs!$B$78:$B$89,Inputs!E$78:E$89)</f>
        <v>0</v>
      </c>
      <c r="U83" s="31">
        <f>LOOKUP($D83,Inputs!$B$78:$B$89,Inputs!F$78:F$89)</f>
        <v>0</v>
      </c>
      <c r="V83" s="13" t="str">
        <f t="shared" si="31"/>
        <v/>
      </c>
      <c r="W83" s="72">
        <f>SUM(N83:O83)*Inputs!$C$22*(1-Inputs!$C$13)/Inputs!$C$15</f>
        <v>355.95770874999994</v>
      </c>
      <c r="X83" s="15">
        <v>0</v>
      </c>
      <c r="Y83" s="71">
        <f>IF($X83&gt;0,$X83,$G83*LOOKUP($D83,Inputs!$B$63:$B$74,Inputs!$H$63:$H$74)/Inputs!$C$15)</f>
        <v>30.401</v>
      </c>
      <c r="Z83" s="71">
        <f t="shared" si="33"/>
        <v>30.401</v>
      </c>
      <c r="AA83" s="108">
        <f>VLOOKUP(J83,Inputs!$D$127:$H$129,5,FALSE)</f>
        <v>1.2371134020618557</v>
      </c>
      <c r="AB83" s="108">
        <f t="shared" si="34"/>
        <v>37.609484536082476</v>
      </c>
      <c r="AD83" s="27">
        <v>440814.5</v>
      </c>
      <c r="AE83" s="27">
        <v>396733.05</v>
      </c>
      <c r="AF83" s="27">
        <v>44081.450000000004</v>
      </c>
      <c r="AG83" s="27">
        <v>0</v>
      </c>
      <c r="AH83" s="27">
        <v>0</v>
      </c>
      <c r="AI83" s="33" t="str">
        <f t="shared" si="18"/>
        <v/>
      </c>
      <c r="AJ83" s="33" t="str">
        <f t="shared" si="19"/>
        <v/>
      </c>
      <c r="AK83" s="33" t="str">
        <f t="shared" si="20"/>
        <v/>
      </c>
      <c r="AL83" s="33" t="str">
        <f t="shared" si="21"/>
        <v/>
      </c>
      <c r="AM83" s="33" t="str">
        <f t="shared" si="22"/>
        <v/>
      </c>
      <c r="AN83" s="28">
        <v>0.9</v>
      </c>
      <c r="AO83" s="28">
        <v>0.1</v>
      </c>
      <c r="AP83" s="28">
        <v>0</v>
      </c>
      <c r="AQ83" s="28">
        <v>0</v>
      </c>
      <c r="AR83" s="33" t="str">
        <f t="shared" si="23"/>
        <v/>
      </c>
      <c r="AS83" s="33" t="str">
        <f t="shared" si="24"/>
        <v/>
      </c>
      <c r="AT83" s="33" t="str">
        <f t="shared" si="25"/>
        <v/>
      </c>
      <c r="AU83" s="33" t="str">
        <f t="shared" si="26"/>
        <v/>
      </c>
    </row>
    <row r="84" spans="1:47" s="1" customFormat="1" x14ac:dyDescent="0.25">
      <c r="B84" s="24">
        <v>1210</v>
      </c>
      <c r="C84" s="24" t="s">
        <v>121</v>
      </c>
      <c r="D84" s="54" t="s">
        <v>21</v>
      </c>
      <c r="E84" s="55">
        <v>1941</v>
      </c>
      <c r="F84" s="55"/>
      <c r="G84" s="27">
        <v>110919</v>
      </c>
      <c r="H84" s="15" t="s">
        <v>176</v>
      </c>
      <c r="I84" s="50" t="s">
        <v>259</v>
      </c>
      <c r="J84" s="8" t="str">
        <f>VLOOKUP($G84,Inputs!$B$127:$F$129,3,TRUE)</f>
        <v>Packaged VAV, DX</v>
      </c>
      <c r="L84" s="46">
        <v>15.3</v>
      </c>
      <c r="M84" s="29">
        <f t="shared" si="32"/>
        <v>1697060.7000000002</v>
      </c>
      <c r="N84" s="29">
        <f t="shared" si="27"/>
        <v>1527354.6300000001</v>
      </c>
      <c r="O84" s="29">
        <f t="shared" si="28"/>
        <v>169706.07000000004</v>
      </c>
      <c r="P84" s="29">
        <f t="shared" si="29"/>
        <v>0</v>
      </c>
      <c r="Q84" s="29">
        <f t="shared" si="30"/>
        <v>0</v>
      </c>
      <c r="R84" s="31">
        <f>LOOKUP($D84,Inputs!$B$78:$B$89,Inputs!C$78:C$89)</f>
        <v>0.9</v>
      </c>
      <c r="S84" s="31">
        <f>LOOKUP($D84,Inputs!$B$78:$B$89,Inputs!D$78:D$89)</f>
        <v>0.1</v>
      </c>
      <c r="T84" s="31">
        <f>LOOKUP($D84,Inputs!$B$78:$B$89,Inputs!E$78:E$89)</f>
        <v>0</v>
      </c>
      <c r="U84" s="31">
        <f>LOOKUP($D84,Inputs!$B$78:$B$89,Inputs!F$78:F$89)</f>
        <v>0</v>
      </c>
      <c r="V84" s="13" t="str">
        <f t="shared" si="31"/>
        <v/>
      </c>
      <c r="W84" s="72">
        <f>SUM(N84:O84)*Inputs!$C$22*(1-Inputs!$C$13)/Inputs!$C$15</f>
        <v>1370.37651525</v>
      </c>
      <c r="X84" s="15">
        <v>0</v>
      </c>
      <c r="Y84" s="71">
        <f>IF($X84&gt;0,$X84,$G84*LOOKUP($D84,Inputs!$B$63:$B$74,Inputs!$H$63:$H$74)/Inputs!$C$15)</f>
        <v>110.919</v>
      </c>
      <c r="Z84" s="71">
        <f t="shared" si="33"/>
        <v>110.919</v>
      </c>
      <c r="AA84" s="108">
        <f>VLOOKUP(J84,Inputs!$D$127:$H$129,5,FALSE)</f>
        <v>1.2371134020618557</v>
      </c>
      <c r="AB84" s="108">
        <f t="shared" si="34"/>
        <v>137.21938144329897</v>
      </c>
      <c r="AD84" s="27">
        <v>1697060.7000000002</v>
      </c>
      <c r="AE84" s="27">
        <v>1527354.6300000001</v>
      </c>
      <c r="AF84" s="27">
        <v>169706.07000000004</v>
      </c>
      <c r="AG84" s="27">
        <v>0</v>
      </c>
      <c r="AH84" s="27">
        <v>0</v>
      </c>
      <c r="AI84" s="33" t="str">
        <f t="shared" si="18"/>
        <v/>
      </c>
      <c r="AJ84" s="33" t="str">
        <f t="shared" si="19"/>
        <v/>
      </c>
      <c r="AK84" s="33" t="str">
        <f t="shared" si="20"/>
        <v/>
      </c>
      <c r="AL84" s="33" t="str">
        <f t="shared" si="21"/>
        <v/>
      </c>
      <c r="AM84" s="33" t="str">
        <f t="shared" si="22"/>
        <v/>
      </c>
      <c r="AN84" s="28">
        <v>0.9</v>
      </c>
      <c r="AO84" s="28">
        <v>0.1</v>
      </c>
      <c r="AP84" s="28">
        <v>0</v>
      </c>
      <c r="AQ84" s="28">
        <v>0</v>
      </c>
      <c r="AR84" s="33" t="str">
        <f t="shared" si="23"/>
        <v/>
      </c>
      <c r="AS84" s="33" t="str">
        <f t="shared" si="24"/>
        <v/>
      </c>
      <c r="AT84" s="33" t="str">
        <f t="shared" si="25"/>
        <v/>
      </c>
      <c r="AU84" s="33" t="str">
        <f t="shared" si="26"/>
        <v/>
      </c>
    </row>
    <row r="85" spans="1:47" s="1" customFormat="1" x14ac:dyDescent="0.25">
      <c r="B85" s="24">
        <v>1149</v>
      </c>
      <c r="C85" s="24" t="s">
        <v>122</v>
      </c>
      <c r="D85" s="54" t="s">
        <v>25</v>
      </c>
      <c r="E85" s="55">
        <v>2006</v>
      </c>
      <c r="F85" s="55"/>
      <c r="G85" s="27">
        <v>304333</v>
      </c>
      <c r="H85" s="15" t="s">
        <v>177</v>
      </c>
      <c r="I85" s="50" t="s">
        <v>268</v>
      </c>
      <c r="J85" s="8" t="str">
        <f>VLOOKUP($G85,Inputs!$B$127:$F$129,3,TRUE)</f>
        <v>Water-cooled chiller</v>
      </c>
      <c r="L85" s="46">
        <v>32</v>
      </c>
      <c r="M85" s="29">
        <f t="shared" si="32"/>
        <v>9738656</v>
      </c>
      <c r="N85" s="29">
        <f t="shared" si="27"/>
        <v>3505916.1600000006</v>
      </c>
      <c r="O85" s="29">
        <f t="shared" si="28"/>
        <v>389546.24000000005</v>
      </c>
      <c r="P85" s="27">
        <f>12608*Inputs!$C$14</f>
        <v>12229760</v>
      </c>
      <c r="Q85" s="29">
        <f t="shared" si="30"/>
        <v>1947731.2000000002</v>
      </c>
      <c r="R85" s="31">
        <f>LOOKUP($D85,Inputs!$B$78:$B$89,Inputs!C$78:C$89)*(1-$U85-$T85)</f>
        <v>0.36000000000000004</v>
      </c>
      <c r="S85" s="31">
        <f>LOOKUP($D85,Inputs!$B$78:$B$89,Inputs!D$78:D$89)*(1-$U85-$T85)</f>
        <v>4.0000000000000008E-2</v>
      </c>
      <c r="T85" s="48">
        <v>0.4</v>
      </c>
      <c r="U85" s="48">
        <v>0.2</v>
      </c>
      <c r="V85" s="13" t="str">
        <f t="shared" si="31"/>
        <v/>
      </c>
      <c r="W85" s="72">
        <f>SUM(N85:O85)*Inputs!$C$22*(1-Inputs!$C$13)/Inputs!$C$15</f>
        <v>3145.5858880000005</v>
      </c>
      <c r="X85" s="15">
        <f>600+600+600</f>
        <v>1800</v>
      </c>
      <c r="Y85" s="71">
        <f>IF($X85&gt;0,$X85,$G85*LOOKUP($D85,Inputs!$B$63:$B$74,Inputs!$H$63:$H$74)/Inputs!$C$15)</f>
        <v>1800</v>
      </c>
      <c r="Z85" s="71">
        <f t="shared" si="33"/>
        <v>0</v>
      </c>
      <c r="AA85" s="108">
        <f>VLOOKUP(J85,Inputs!$D$127:$H$129,5,FALSE)</f>
        <v>0.58499999999999996</v>
      </c>
      <c r="AB85" s="108">
        <f t="shared" si="34"/>
        <v>0</v>
      </c>
      <c r="AD85" s="27">
        <v>9738656</v>
      </c>
      <c r="AE85" s="27">
        <v>3505916.1600000006</v>
      </c>
      <c r="AF85" s="27">
        <v>389546.24000000005</v>
      </c>
      <c r="AG85" s="27">
        <v>12229760</v>
      </c>
      <c r="AH85" s="27">
        <v>1947731.2000000002</v>
      </c>
      <c r="AI85" s="33" t="str">
        <f t="shared" si="18"/>
        <v/>
      </c>
      <c r="AJ85" s="33" t="str">
        <f t="shared" si="19"/>
        <v/>
      </c>
      <c r="AK85" s="33" t="str">
        <f t="shared" si="20"/>
        <v/>
      </c>
      <c r="AL85" s="33" t="str">
        <f t="shared" si="21"/>
        <v/>
      </c>
      <c r="AM85" s="33" t="str">
        <f t="shared" si="22"/>
        <v/>
      </c>
      <c r="AN85" s="28">
        <v>0.36000000000000004</v>
      </c>
      <c r="AO85" s="28">
        <v>4.0000000000000008E-2</v>
      </c>
      <c r="AP85" s="28">
        <v>0.4</v>
      </c>
      <c r="AQ85" s="28">
        <v>0.2</v>
      </c>
      <c r="AR85" s="33" t="str">
        <f t="shared" si="23"/>
        <v/>
      </c>
      <c r="AS85" s="33" t="str">
        <f t="shared" si="24"/>
        <v/>
      </c>
      <c r="AT85" s="33" t="str">
        <f t="shared" si="25"/>
        <v/>
      </c>
      <c r="AU85" s="33" t="str">
        <f t="shared" si="26"/>
        <v/>
      </c>
    </row>
    <row r="86" spans="1:47" s="1" customFormat="1" x14ac:dyDescent="0.25">
      <c r="B86" s="24">
        <v>1150</v>
      </c>
      <c r="C86" s="24" t="s">
        <v>123</v>
      </c>
      <c r="D86" s="54" t="s">
        <v>29</v>
      </c>
      <c r="E86" s="55">
        <v>2007</v>
      </c>
      <c r="F86" s="55"/>
      <c r="G86" s="27">
        <v>65860</v>
      </c>
      <c r="H86" s="15" t="s">
        <v>177</v>
      </c>
      <c r="I86" s="50" t="s">
        <v>268</v>
      </c>
      <c r="J86" s="8" t="str">
        <f>VLOOKUP($G86,Inputs!$B$127:$F$129,3,TRUE)</f>
        <v>Packaged VAV, DX</v>
      </c>
      <c r="L86" s="46">
        <v>32</v>
      </c>
      <c r="M86" s="29">
        <f t="shared" si="32"/>
        <v>2107520</v>
      </c>
      <c r="N86" s="29">
        <f t="shared" si="27"/>
        <v>758707.20000000007</v>
      </c>
      <c r="O86" s="29">
        <f t="shared" si="28"/>
        <v>84300.800000000017</v>
      </c>
      <c r="P86" s="29">
        <f t="shared" si="29"/>
        <v>1264512</v>
      </c>
      <c r="Q86" s="29">
        <f t="shared" si="30"/>
        <v>0</v>
      </c>
      <c r="R86" s="31">
        <f>LOOKUP($D86,Inputs!$B$78:$B$89,Inputs!C$78:C$89)*(1-$U86-$T86)</f>
        <v>0.36000000000000004</v>
      </c>
      <c r="S86" s="31">
        <f>LOOKUP($D86,Inputs!$B$78:$B$89,Inputs!D$78:D$89)*(1-$U86-$T86)</f>
        <v>4.0000000000000008E-2</v>
      </c>
      <c r="T86" s="48">
        <v>0.6</v>
      </c>
      <c r="U86" s="31">
        <f>LOOKUP($D86,Inputs!$B$78:$B$89,Inputs!F$78:F$89)</f>
        <v>0</v>
      </c>
      <c r="V86" s="13" t="str">
        <f t="shared" si="31"/>
        <v/>
      </c>
      <c r="W86" s="72">
        <f>SUM(N86:O86)*Inputs!$C$22*(1-Inputs!$C$13)/Inputs!$C$15</f>
        <v>680.72896000000003</v>
      </c>
      <c r="X86" s="15">
        <v>250</v>
      </c>
      <c r="Y86" s="71">
        <f>IF($X86&gt;0,$X86,$G86*LOOKUP($D86,Inputs!$B$63:$B$74,Inputs!$H$63:$H$74)/Inputs!$C$15)</f>
        <v>250</v>
      </c>
      <c r="Z86" s="71">
        <f t="shared" si="33"/>
        <v>0</v>
      </c>
      <c r="AA86" s="108">
        <f>VLOOKUP(J86,Inputs!$D$127:$H$129,5,FALSE)</f>
        <v>1.2371134020618557</v>
      </c>
      <c r="AB86" s="108">
        <f t="shared" si="34"/>
        <v>0</v>
      </c>
      <c r="AD86" s="27">
        <v>2107520</v>
      </c>
      <c r="AE86" s="27">
        <v>758707.20000000007</v>
      </c>
      <c r="AF86" s="27">
        <v>84300.800000000017</v>
      </c>
      <c r="AG86" s="27">
        <v>1264512</v>
      </c>
      <c r="AH86" s="27">
        <v>0</v>
      </c>
      <c r="AI86" s="33" t="str">
        <f t="shared" si="18"/>
        <v/>
      </c>
      <c r="AJ86" s="33" t="str">
        <f t="shared" si="19"/>
        <v/>
      </c>
      <c r="AK86" s="33" t="str">
        <f t="shared" si="20"/>
        <v/>
      </c>
      <c r="AL86" s="33" t="str">
        <f t="shared" si="21"/>
        <v/>
      </c>
      <c r="AM86" s="33" t="str">
        <f t="shared" si="22"/>
        <v/>
      </c>
      <c r="AN86" s="28">
        <v>0.36000000000000004</v>
      </c>
      <c r="AO86" s="28">
        <v>4.0000000000000008E-2</v>
      </c>
      <c r="AP86" s="28">
        <v>0.6</v>
      </c>
      <c r="AQ86" s="28">
        <v>0</v>
      </c>
      <c r="AR86" s="33" t="str">
        <f t="shared" si="23"/>
        <v/>
      </c>
      <c r="AS86" s="33" t="str">
        <f t="shared" si="24"/>
        <v/>
      </c>
      <c r="AT86" s="33" t="str">
        <f t="shared" si="25"/>
        <v/>
      </c>
      <c r="AU86" s="33" t="str">
        <f t="shared" si="26"/>
        <v/>
      </c>
    </row>
    <row r="87" spans="1:47" s="1" customFormat="1" x14ac:dyDescent="0.25">
      <c r="B87" s="24">
        <v>1661</v>
      </c>
      <c r="C87" s="24" t="s">
        <v>124</v>
      </c>
      <c r="D87" s="54" t="s">
        <v>125</v>
      </c>
      <c r="E87" s="55">
        <v>1930</v>
      </c>
      <c r="F87" s="55"/>
      <c r="G87" s="27">
        <v>13720</v>
      </c>
      <c r="H87" s="15" t="s">
        <v>16</v>
      </c>
      <c r="I87" s="15" t="s">
        <v>264</v>
      </c>
      <c r="J87" s="8" t="str">
        <f>VLOOKUP($G87,Inputs!$B$127:$F$129,3,TRUE)</f>
        <v>Packaged VAV, DX</v>
      </c>
      <c r="L87" s="46">
        <v>0</v>
      </c>
      <c r="M87" s="29">
        <f t="shared" si="32"/>
        <v>0</v>
      </c>
      <c r="N87" s="29">
        <f t="shared" si="27"/>
        <v>0</v>
      </c>
      <c r="O87" s="29">
        <f t="shared" si="28"/>
        <v>0</v>
      </c>
      <c r="P87" s="29">
        <f t="shared" si="29"/>
        <v>0</v>
      </c>
      <c r="Q87" s="29">
        <f t="shared" si="30"/>
        <v>0</v>
      </c>
      <c r="R87" s="48">
        <v>0</v>
      </c>
      <c r="S87" s="48">
        <v>0</v>
      </c>
      <c r="T87" s="48">
        <v>0</v>
      </c>
      <c r="U87" s="48">
        <v>0</v>
      </c>
      <c r="V87" s="13" t="str">
        <f t="shared" si="31"/>
        <v>FLAG</v>
      </c>
      <c r="W87" s="72">
        <f>SUM(N87:O87)*Inputs!$C$22*(1-Inputs!$C$13)/Inputs!$C$15</f>
        <v>0</v>
      </c>
      <c r="X87" s="15">
        <v>0</v>
      </c>
      <c r="Y87" s="71">
        <f>IF($X87&gt;0,$X87,$G87*LOOKUP($D87,Inputs!$B$63:$B$74,Inputs!$H$63:$H$74)/Inputs!$C$15)</f>
        <v>13.72</v>
      </c>
      <c r="Z87" s="71">
        <f t="shared" si="33"/>
        <v>13.72</v>
      </c>
      <c r="AA87" s="108">
        <f>VLOOKUP(J87,Inputs!$D$127:$H$129,5,FALSE)</f>
        <v>1.2371134020618557</v>
      </c>
      <c r="AB87" s="108">
        <f t="shared" si="34"/>
        <v>16.97319587628866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33" t="str">
        <f t="shared" si="18"/>
        <v/>
      </c>
      <c r="AJ87" s="33" t="str">
        <f t="shared" si="19"/>
        <v/>
      </c>
      <c r="AK87" s="33" t="str">
        <f t="shared" si="20"/>
        <v/>
      </c>
      <c r="AL87" s="33" t="str">
        <f t="shared" si="21"/>
        <v/>
      </c>
      <c r="AM87" s="33" t="str">
        <f t="shared" si="22"/>
        <v/>
      </c>
      <c r="AN87" s="28">
        <v>0</v>
      </c>
      <c r="AO87" s="28">
        <v>0</v>
      </c>
      <c r="AP87" s="28">
        <v>0</v>
      </c>
      <c r="AQ87" s="28">
        <v>0</v>
      </c>
      <c r="AR87" s="33" t="str">
        <f t="shared" si="23"/>
        <v/>
      </c>
      <c r="AS87" s="33" t="str">
        <f t="shared" si="24"/>
        <v/>
      </c>
      <c r="AT87" s="33" t="str">
        <f t="shared" si="25"/>
        <v/>
      </c>
      <c r="AU87" s="33" t="str">
        <f t="shared" si="26"/>
        <v/>
      </c>
    </row>
    <row r="88" spans="1:47" s="1" customFormat="1" x14ac:dyDescent="0.25">
      <c r="B88" s="24">
        <v>1488</v>
      </c>
      <c r="C88" s="24" t="s">
        <v>126</v>
      </c>
      <c r="D88" s="54" t="s">
        <v>26</v>
      </c>
      <c r="E88" s="55">
        <v>1923</v>
      </c>
      <c r="F88" s="55"/>
      <c r="G88" s="27">
        <v>58733</v>
      </c>
      <c r="H88" s="15" t="s">
        <v>177</v>
      </c>
      <c r="I88" s="50" t="s">
        <v>279</v>
      </c>
      <c r="J88" s="8" t="str">
        <f>VLOOKUP($G88,Inputs!$B$127:$F$129,3,TRUE)</f>
        <v>Packaged VAV, DX</v>
      </c>
      <c r="L88" s="46">
        <v>18</v>
      </c>
      <c r="M88" s="29">
        <f t="shared" si="32"/>
        <v>1057194</v>
      </c>
      <c r="N88" s="29">
        <f t="shared" si="27"/>
        <v>951474.6</v>
      </c>
      <c r="O88" s="29">
        <f t="shared" si="28"/>
        <v>105719.40000000001</v>
      </c>
      <c r="P88" s="29">
        <f t="shared" si="29"/>
        <v>0</v>
      </c>
      <c r="Q88" s="29">
        <f t="shared" si="30"/>
        <v>0</v>
      </c>
      <c r="R88" s="31">
        <f>LOOKUP($D88,Inputs!$B$78:$B$89,Inputs!C$78:C$89)</f>
        <v>0.9</v>
      </c>
      <c r="S88" s="31">
        <f>LOOKUP($D88,Inputs!$B$78:$B$89,Inputs!D$78:D$89)</f>
        <v>0.1</v>
      </c>
      <c r="T88" s="31">
        <f>LOOKUP($D88,Inputs!$B$78:$B$89,Inputs!E$78:E$89)</f>
        <v>0</v>
      </c>
      <c r="U88" s="31">
        <f>LOOKUP($D88,Inputs!$B$78:$B$89,Inputs!F$78:F$89)</f>
        <v>0</v>
      </c>
      <c r="V88" s="13" t="str">
        <f t="shared" si="31"/>
        <v/>
      </c>
      <c r="W88" s="72">
        <f>SUM(N88:O88)*Inputs!$C$22*(1-Inputs!$C$13)/Inputs!$C$15</f>
        <v>853.68415499999992</v>
      </c>
      <c r="X88" s="15">
        <v>0</v>
      </c>
      <c r="Y88" s="71">
        <f>IF($X88&gt;0,$X88,$G88*LOOKUP($D88,Inputs!$B$63:$B$74,Inputs!$H$63:$H$74)/Inputs!$C$15)</f>
        <v>58.732999999999997</v>
      </c>
      <c r="Z88" s="71">
        <f t="shared" si="33"/>
        <v>58.732999999999997</v>
      </c>
      <c r="AA88" s="108">
        <f>VLOOKUP(J88,Inputs!$D$127:$H$129,5,FALSE)</f>
        <v>1.2371134020618557</v>
      </c>
      <c r="AB88" s="108">
        <f t="shared" si="34"/>
        <v>72.659381443298969</v>
      </c>
      <c r="AD88" s="27">
        <v>1057194</v>
      </c>
      <c r="AE88" s="27">
        <v>951474.6</v>
      </c>
      <c r="AF88" s="27">
        <v>105719.40000000001</v>
      </c>
      <c r="AG88" s="27">
        <v>0</v>
      </c>
      <c r="AH88" s="27">
        <v>0</v>
      </c>
      <c r="AI88" s="33" t="str">
        <f t="shared" si="18"/>
        <v/>
      </c>
      <c r="AJ88" s="33" t="str">
        <f t="shared" si="19"/>
        <v/>
      </c>
      <c r="AK88" s="33" t="str">
        <f t="shared" si="20"/>
        <v/>
      </c>
      <c r="AL88" s="33" t="str">
        <f t="shared" si="21"/>
        <v/>
      </c>
      <c r="AM88" s="33" t="str">
        <f t="shared" si="22"/>
        <v/>
      </c>
      <c r="AN88" s="28">
        <v>0.9</v>
      </c>
      <c r="AO88" s="28">
        <v>0.1</v>
      </c>
      <c r="AP88" s="28">
        <v>0</v>
      </c>
      <c r="AQ88" s="28">
        <v>0</v>
      </c>
      <c r="AR88" s="33" t="str">
        <f t="shared" si="23"/>
        <v/>
      </c>
      <c r="AS88" s="33" t="str">
        <f t="shared" si="24"/>
        <v/>
      </c>
      <c r="AT88" s="33" t="str">
        <f t="shared" si="25"/>
        <v/>
      </c>
      <c r="AU88" s="33" t="str">
        <f t="shared" si="26"/>
        <v/>
      </c>
    </row>
    <row r="89" spans="1:47" x14ac:dyDescent="0.25">
      <c r="A89" s="1"/>
      <c r="B89" s="24">
        <v>1495</v>
      </c>
      <c r="C89" s="24" t="s">
        <v>127</v>
      </c>
      <c r="D89" s="54" t="s">
        <v>32</v>
      </c>
      <c r="E89" s="55">
        <v>1942</v>
      </c>
      <c r="F89" s="55"/>
      <c r="G89" s="27">
        <v>86959</v>
      </c>
      <c r="H89" s="15" t="s">
        <v>177</v>
      </c>
      <c r="I89" s="50" t="s">
        <v>263</v>
      </c>
      <c r="J89" s="8" t="str">
        <f>VLOOKUP($G89,Inputs!$B$127:$F$129,3,TRUE)</f>
        <v>Packaged VAV, DX</v>
      </c>
      <c r="K89" s="1"/>
      <c r="L89" s="46">
        <v>16.7</v>
      </c>
      <c r="M89" s="29">
        <f t="shared" si="32"/>
        <v>1452215.3</v>
      </c>
      <c r="N89" s="29">
        <f t="shared" si="27"/>
        <v>726107.65</v>
      </c>
      <c r="O89" s="29">
        <f t="shared" si="28"/>
        <v>726107.65</v>
      </c>
      <c r="P89" s="29">
        <f t="shared" si="29"/>
        <v>0</v>
      </c>
      <c r="Q89" s="29">
        <f t="shared" si="30"/>
        <v>0</v>
      </c>
      <c r="R89" s="31">
        <f>LOOKUP($D89,Inputs!$B$78:$B$89,Inputs!C$78:C$89)</f>
        <v>0.5</v>
      </c>
      <c r="S89" s="31">
        <f>LOOKUP($D89,Inputs!$B$78:$B$89,Inputs!D$78:D$89)</f>
        <v>0.5</v>
      </c>
      <c r="T89" s="31">
        <f>LOOKUP($D89,Inputs!$B$78:$B$89,Inputs!E$78:E$89)</f>
        <v>0</v>
      </c>
      <c r="U89" s="31">
        <f>LOOKUP($D89,Inputs!$B$78:$B$89,Inputs!F$78:F$89)</f>
        <v>0</v>
      </c>
      <c r="V89" s="13" t="str">
        <f t="shared" si="31"/>
        <v/>
      </c>
      <c r="W89" s="72">
        <f>SUM(N89:O89)*Inputs!$C$22*(1-Inputs!$C$13)/Inputs!$C$15</f>
        <v>1172.6638547499999</v>
      </c>
      <c r="X89" s="15">
        <v>0</v>
      </c>
      <c r="Y89" s="71">
        <f>IF($X89&gt;0,$X89,$G89*LOOKUP($D89,Inputs!$B$63:$B$74,Inputs!$H$63:$H$74)/Inputs!$C$15)</f>
        <v>60.871299999999998</v>
      </c>
      <c r="Z89" s="71">
        <f t="shared" si="33"/>
        <v>60.871299999999998</v>
      </c>
      <c r="AA89" s="108">
        <f>VLOOKUP(J89,Inputs!$D$127:$H$129,5,FALSE)</f>
        <v>1.2371134020618557</v>
      </c>
      <c r="AB89" s="108">
        <f t="shared" si="34"/>
        <v>75.304701030927831</v>
      </c>
      <c r="AC89" s="1"/>
      <c r="AD89" s="27">
        <v>1452215.3</v>
      </c>
      <c r="AE89" s="27">
        <v>726107.65</v>
      </c>
      <c r="AF89" s="27">
        <v>726107.65</v>
      </c>
      <c r="AG89" s="27">
        <v>0</v>
      </c>
      <c r="AH89" s="27">
        <v>0</v>
      </c>
      <c r="AI89" s="33" t="str">
        <f t="shared" si="18"/>
        <v/>
      </c>
      <c r="AJ89" s="33" t="str">
        <f t="shared" si="19"/>
        <v/>
      </c>
      <c r="AK89" s="33" t="str">
        <f t="shared" si="20"/>
        <v/>
      </c>
      <c r="AL89" s="33" t="str">
        <f t="shared" si="21"/>
        <v/>
      </c>
      <c r="AM89" s="33" t="str">
        <f t="shared" si="22"/>
        <v/>
      </c>
      <c r="AN89" s="28">
        <v>0.5</v>
      </c>
      <c r="AO89" s="28">
        <v>0.5</v>
      </c>
      <c r="AP89" s="28">
        <v>0</v>
      </c>
      <c r="AQ89" s="28">
        <v>0</v>
      </c>
      <c r="AR89" s="33" t="str">
        <f t="shared" si="23"/>
        <v/>
      </c>
      <c r="AS89" s="33" t="str">
        <f t="shared" si="24"/>
        <v/>
      </c>
      <c r="AT89" s="33" t="str">
        <f t="shared" si="25"/>
        <v/>
      </c>
      <c r="AU89" s="33" t="str">
        <f t="shared" si="26"/>
        <v/>
      </c>
    </row>
    <row r="90" spans="1:47" s="1" customFormat="1" x14ac:dyDescent="0.25">
      <c r="B90" s="24">
        <v>1152</v>
      </c>
      <c r="C90" s="24" t="s">
        <v>128</v>
      </c>
      <c r="D90" s="54" t="s">
        <v>28</v>
      </c>
      <c r="E90" s="55">
        <v>2009</v>
      </c>
      <c r="F90" s="55"/>
      <c r="G90" s="27">
        <v>154706</v>
      </c>
      <c r="H90" s="15" t="s">
        <v>177</v>
      </c>
      <c r="I90" s="15" t="s">
        <v>260</v>
      </c>
      <c r="J90" s="8" t="str">
        <f>VLOOKUP($G90,Inputs!$B$127:$F$129,3,TRUE)</f>
        <v>Water-cooled chiller</v>
      </c>
      <c r="L90" s="46">
        <v>90</v>
      </c>
      <c r="M90" s="29">
        <f t="shared" si="32"/>
        <v>13923540</v>
      </c>
      <c r="N90" s="29">
        <f t="shared" si="27"/>
        <v>4455532.8000000007</v>
      </c>
      <c r="O90" s="29">
        <f t="shared" si="28"/>
        <v>1113883.2000000002</v>
      </c>
      <c r="P90" s="27">
        <f>11865*Inputs!$C$14</f>
        <v>11509050</v>
      </c>
      <c r="Q90" s="29">
        <f t="shared" si="30"/>
        <v>0</v>
      </c>
      <c r="R90" s="31">
        <f>LOOKUP($D90,Inputs!$B$78:$B$89,Inputs!C$78:C$89)*(1-$T90)</f>
        <v>0.32000000000000006</v>
      </c>
      <c r="S90" s="31">
        <f>LOOKUP($D90,Inputs!$B$78:$B$89,Inputs!D$78:D$89)*(1-$T90)</f>
        <v>8.0000000000000016E-2</v>
      </c>
      <c r="T90" s="48">
        <v>0.6</v>
      </c>
      <c r="U90" s="31">
        <f>LOOKUP($D90,Inputs!$B$78:$B$89,Inputs!F$78:F$89)*(1-$T90)</f>
        <v>0</v>
      </c>
      <c r="V90" s="13" t="str">
        <f t="shared" si="31"/>
        <v/>
      </c>
      <c r="W90" s="72">
        <f>SUM(N90:O90)*Inputs!$C$22*(1-Inputs!$C$13)/Inputs!$C$15</f>
        <v>4497.3034200000002</v>
      </c>
      <c r="X90" s="15">
        <f>600+600</f>
        <v>1200</v>
      </c>
      <c r="Y90" s="71">
        <f>IF($X90&gt;0,$X90,$G90*LOOKUP($D90,Inputs!$B$63:$B$74,Inputs!$H$63:$H$74)/Inputs!$C$15)</f>
        <v>1200</v>
      </c>
      <c r="Z90" s="71">
        <f t="shared" si="33"/>
        <v>0</v>
      </c>
      <c r="AA90" s="108">
        <f>VLOOKUP(J90,Inputs!$D$127:$H$129,5,FALSE)</f>
        <v>0.58499999999999996</v>
      </c>
      <c r="AB90" s="108">
        <f t="shared" si="34"/>
        <v>0</v>
      </c>
      <c r="AD90" s="27">
        <v>13923540</v>
      </c>
      <c r="AE90" s="27">
        <v>4455532.8000000007</v>
      </c>
      <c r="AF90" s="27">
        <v>1113883.2000000002</v>
      </c>
      <c r="AG90" s="27">
        <v>11509050</v>
      </c>
      <c r="AH90" s="27">
        <v>0</v>
      </c>
      <c r="AI90" s="33" t="str">
        <f t="shared" si="18"/>
        <v/>
      </c>
      <c r="AJ90" s="33" t="str">
        <f t="shared" si="19"/>
        <v/>
      </c>
      <c r="AK90" s="33" t="str">
        <f t="shared" si="20"/>
        <v/>
      </c>
      <c r="AL90" s="33" t="str">
        <f t="shared" si="21"/>
        <v/>
      </c>
      <c r="AM90" s="33" t="str">
        <f t="shared" si="22"/>
        <v/>
      </c>
      <c r="AN90" s="28">
        <v>0.32000000000000006</v>
      </c>
      <c r="AO90" s="28">
        <v>8.0000000000000016E-2</v>
      </c>
      <c r="AP90" s="28">
        <v>0.6</v>
      </c>
      <c r="AQ90" s="28">
        <v>0</v>
      </c>
      <c r="AR90" s="33" t="str">
        <f t="shared" si="23"/>
        <v/>
      </c>
      <c r="AS90" s="33" t="str">
        <f t="shared" si="24"/>
        <v/>
      </c>
      <c r="AT90" s="33" t="str">
        <f t="shared" si="25"/>
        <v/>
      </c>
      <c r="AU90" s="33" t="str">
        <f t="shared" si="26"/>
        <v/>
      </c>
    </row>
    <row r="91" spans="1:47" s="1" customFormat="1" x14ac:dyDescent="0.25">
      <c r="B91" s="24">
        <v>1808</v>
      </c>
      <c r="C91" s="24" t="s">
        <v>129</v>
      </c>
      <c r="D91" s="54" t="s">
        <v>25</v>
      </c>
      <c r="E91" s="55">
        <v>1996</v>
      </c>
      <c r="F91" s="55"/>
      <c r="G91" s="27">
        <v>116121</v>
      </c>
      <c r="H91" s="15" t="s">
        <v>177</v>
      </c>
      <c r="I91" s="50" t="s">
        <v>270</v>
      </c>
      <c r="J91" s="8" t="str">
        <f>VLOOKUP($G91,Inputs!$B$127:$F$129,3,TRUE)</f>
        <v>Packaged VAV, DX</v>
      </c>
      <c r="L91" s="46">
        <v>32</v>
      </c>
      <c r="M91" s="29">
        <f t="shared" si="32"/>
        <v>3715872</v>
      </c>
      <c r="N91" s="29">
        <f t="shared" si="27"/>
        <v>2340999.36</v>
      </c>
      <c r="O91" s="29">
        <f t="shared" si="28"/>
        <v>260111.03999999998</v>
      </c>
      <c r="P91" s="29">
        <f t="shared" si="29"/>
        <v>0</v>
      </c>
      <c r="Q91" s="29">
        <f t="shared" si="30"/>
        <v>1114761.5999999999</v>
      </c>
      <c r="R91" s="31">
        <f>LOOKUP($D91,Inputs!$B$78:$B$89,Inputs!C$78:C$89)*(1-$U91)</f>
        <v>0.63</v>
      </c>
      <c r="S91" s="31">
        <f>LOOKUP($D91,Inputs!$B$78:$B$89,Inputs!D$78:D$89)*(1-$U91)</f>
        <v>6.9999999999999993E-2</v>
      </c>
      <c r="T91" s="31">
        <f>LOOKUP($D91,Inputs!$B$78:$B$89,Inputs!E$78:E$89)*(1-$U91)</f>
        <v>0</v>
      </c>
      <c r="U91" s="48">
        <v>0.3</v>
      </c>
      <c r="V91" s="13" t="str">
        <f t="shared" si="31"/>
        <v/>
      </c>
      <c r="W91" s="72">
        <f>SUM(N91:O91)*Inputs!$C$22*(1-Inputs!$C$13)/Inputs!$C$15</f>
        <v>2100.3966479999999</v>
      </c>
      <c r="X91" s="15">
        <v>300</v>
      </c>
      <c r="Y91" s="71">
        <f>IF($X91&gt;0,$X91,$G91*LOOKUP($D91,Inputs!$B$63:$B$74,Inputs!$H$63:$H$74)/Inputs!$C$15)</f>
        <v>300</v>
      </c>
      <c r="Z91" s="71">
        <f t="shared" si="33"/>
        <v>0</v>
      </c>
      <c r="AA91" s="108">
        <f>VLOOKUP(J91,Inputs!$D$127:$H$129,5,FALSE)</f>
        <v>1.2371134020618557</v>
      </c>
      <c r="AB91" s="108">
        <f t="shared" si="34"/>
        <v>0</v>
      </c>
      <c r="AD91" s="27">
        <v>3715872</v>
      </c>
      <c r="AE91" s="27">
        <v>2340999.36</v>
      </c>
      <c r="AF91" s="27">
        <v>260111.03999999998</v>
      </c>
      <c r="AG91" s="27">
        <v>0</v>
      </c>
      <c r="AH91" s="27">
        <v>1114761.5999999999</v>
      </c>
      <c r="AI91" s="33" t="str">
        <f t="shared" si="18"/>
        <v/>
      </c>
      <c r="AJ91" s="33" t="str">
        <f t="shared" si="19"/>
        <v/>
      </c>
      <c r="AK91" s="33" t="str">
        <f t="shared" si="20"/>
        <v/>
      </c>
      <c r="AL91" s="33" t="str">
        <f t="shared" si="21"/>
        <v/>
      </c>
      <c r="AM91" s="33" t="str">
        <f t="shared" si="22"/>
        <v/>
      </c>
      <c r="AN91" s="28">
        <v>0.63</v>
      </c>
      <c r="AO91" s="28">
        <v>6.9999999999999993E-2</v>
      </c>
      <c r="AP91" s="28">
        <v>0</v>
      </c>
      <c r="AQ91" s="28">
        <v>0.3</v>
      </c>
      <c r="AR91" s="33" t="str">
        <f t="shared" si="23"/>
        <v/>
      </c>
      <c r="AS91" s="33" t="str">
        <f t="shared" si="24"/>
        <v/>
      </c>
      <c r="AT91" s="33" t="str">
        <f t="shared" si="25"/>
        <v/>
      </c>
      <c r="AU91" s="33" t="str">
        <f t="shared" si="26"/>
        <v/>
      </c>
    </row>
    <row r="92" spans="1:47" s="1" customFormat="1" x14ac:dyDescent="0.25">
      <c r="B92" s="24">
        <v>1594</v>
      </c>
      <c r="C92" s="24" t="s">
        <v>130</v>
      </c>
      <c r="D92" s="54" t="s">
        <v>21</v>
      </c>
      <c r="E92" s="55">
        <v>1959</v>
      </c>
      <c r="F92" s="55"/>
      <c r="G92" s="27">
        <v>150887</v>
      </c>
      <c r="H92" s="15" t="s">
        <v>175</v>
      </c>
      <c r="I92" s="50" t="s">
        <v>272</v>
      </c>
      <c r="J92" s="8" t="str">
        <f>VLOOKUP($G92,Inputs!$B$127:$F$129,3,TRUE)</f>
        <v>Water-cooled chiller</v>
      </c>
      <c r="L92" s="46">
        <v>32</v>
      </c>
      <c r="M92" s="29">
        <f t="shared" si="32"/>
        <v>4828384</v>
      </c>
      <c r="N92" s="29">
        <f t="shared" si="27"/>
        <v>4345545.6000000006</v>
      </c>
      <c r="O92" s="29">
        <f t="shared" si="28"/>
        <v>482838.4</v>
      </c>
      <c r="P92" s="29">
        <f t="shared" si="29"/>
        <v>0</v>
      </c>
      <c r="Q92" s="29">
        <f t="shared" si="30"/>
        <v>0</v>
      </c>
      <c r="R92" s="31">
        <f>LOOKUP($D92,Inputs!$B$78:$B$89,Inputs!C$78:C$89)</f>
        <v>0.9</v>
      </c>
      <c r="S92" s="31">
        <f>LOOKUP($D92,Inputs!$B$78:$B$89,Inputs!D$78:D$89)</f>
        <v>0.1</v>
      </c>
      <c r="T92" s="31">
        <f>LOOKUP($D92,Inputs!$B$78:$B$89,Inputs!E$78:E$89)</f>
        <v>0</v>
      </c>
      <c r="U92" s="31">
        <f>LOOKUP($D92,Inputs!$B$78:$B$89,Inputs!F$78:F$89)</f>
        <v>0</v>
      </c>
      <c r="V92" s="13" t="str">
        <f t="shared" si="31"/>
        <v/>
      </c>
      <c r="W92" s="72">
        <f>SUM(N92:O92)*Inputs!$C$22*(1-Inputs!$C$13)/Inputs!$C$15</f>
        <v>3898.9200800000003</v>
      </c>
      <c r="X92" s="15">
        <v>0</v>
      </c>
      <c r="Y92" s="71">
        <f>IF($X92&gt;0,$X92,$G92*LOOKUP($D92,Inputs!$B$63:$B$74,Inputs!$H$63:$H$74)/Inputs!$C$15)</f>
        <v>150.887</v>
      </c>
      <c r="Z92" s="71">
        <f t="shared" si="33"/>
        <v>150.887</v>
      </c>
      <c r="AA92" s="108">
        <f>VLOOKUP(J92,Inputs!$D$127:$H$129,5,FALSE)</f>
        <v>0.58499999999999996</v>
      </c>
      <c r="AB92" s="108">
        <f t="shared" si="34"/>
        <v>88.268895000000001</v>
      </c>
      <c r="AD92" s="27">
        <v>4828384</v>
      </c>
      <c r="AE92" s="27">
        <v>4345545.6000000006</v>
      </c>
      <c r="AF92" s="27">
        <v>482838.4</v>
      </c>
      <c r="AG92" s="27">
        <v>0</v>
      </c>
      <c r="AH92" s="27">
        <v>0</v>
      </c>
      <c r="AI92" s="33" t="str">
        <f t="shared" si="18"/>
        <v/>
      </c>
      <c r="AJ92" s="33" t="str">
        <f t="shared" si="19"/>
        <v/>
      </c>
      <c r="AK92" s="33" t="str">
        <f t="shared" si="20"/>
        <v/>
      </c>
      <c r="AL92" s="33" t="str">
        <f t="shared" si="21"/>
        <v/>
      </c>
      <c r="AM92" s="33" t="str">
        <f t="shared" si="22"/>
        <v/>
      </c>
      <c r="AN92" s="28">
        <v>0.9</v>
      </c>
      <c r="AO92" s="28">
        <v>0.1</v>
      </c>
      <c r="AP92" s="28">
        <v>0</v>
      </c>
      <c r="AQ92" s="28">
        <v>0</v>
      </c>
      <c r="AR92" s="33" t="str">
        <f t="shared" si="23"/>
        <v/>
      </c>
      <c r="AS92" s="33" t="str">
        <f t="shared" si="24"/>
        <v/>
      </c>
      <c r="AT92" s="33" t="str">
        <f t="shared" si="25"/>
        <v/>
      </c>
      <c r="AU92" s="33" t="str">
        <f t="shared" si="26"/>
        <v/>
      </c>
    </row>
    <row r="93" spans="1:47" s="1" customFormat="1" x14ac:dyDescent="0.25">
      <c r="B93" s="24">
        <v>1439</v>
      </c>
      <c r="C93" s="24" t="s">
        <v>131</v>
      </c>
      <c r="D93" s="54" t="s">
        <v>132</v>
      </c>
      <c r="E93" s="55">
        <v>1911</v>
      </c>
      <c r="F93" s="55"/>
      <c r="G93" s="27">
        <v>18112</v>
      </c>
      <c r="H93" s="15" t="s">
        <v>175</v>
      </c>
      <c r="I93" s="50" t="s">
        <v>258</v>
      </c>
      <c r="J93" s="8" t="str">
        <f>VLOOKUP($G93,Inputs!$B$127:$F$129,3,TRUE)</f>
        <v>Packaged VAV, DX</v>
      </c>
      <c r="L93" s="46">
        <v>25.4</v>
      </c>
      <c r="M93" s="29">
        <f t="shared" si="32"/>
        <v>460044.79999999999</v>
      </c>
      <c r="N93" s="29">
        <f t="shared" si="27"/>
        <v>230022.39999999999</v>
      </c>
      <c r="O93" s="29">
        <f t="shared" si="28"/>
        <v>230022.39999999999</v>
      </c>
      <c r="P93" s="29">
        <f t="shared" si="29"/>
        <v>0</v>
      </c>
      <c r="Q93" s="29">
        <f t="shared" si="30"/>
        <v>0</v>
      </c>
      <c r="R93" s="31">
        <f>LOOKUP($D93,Inputs!$B$78:$B$89,Inputs!C$78:C$89)</f>
        <v>0.5</v>
      </c>
      <c r="S93" s="31">
        <f>LOOKUP($D93,Inputs!$B$78:$B$89,Inputs!D$78:D$89)</f>
        <v>0.5</v>
      </c>
      <c r="T93" s="31">
        <f>LOOKUP($D93,Inputs!$B$78:$B$89,Inputs!E$78:E$89)</f>
        <v>0</v>
      </c>
      <c r="U93" s="31">
        <f>LOOKUP($D93,Inputs!$B$78:$B$89,Inputs!F$78:F$89)</f>
        <v>0</v>
      </c>
      <c r="V93" s="13" t="str">
        <f t="shared" si="31"/>
        <v/>
      </c>
      <c r="W93" s="72">
        <f>SUM(N93:O93)*Inputs!$C$22*(1-Inputs!$C$13)/Inputs!$C$15</f>
        <v>371.48617599999994</v>
      </c>
      <c r="X93" s="15">
        <v>0</v>
      </c>
      <c r="Y93" s="71">
        <f>IF($X93&gt;0,$X93,$G93*LOOKUP($D93,Inputs!$B$63:$B$74,Inputs!$H$63:$H$74)/Inputs!$C$15)</f>
        <v>12.6784</v>
      </c>
      <c r="Z93" s="71">
        <f t="shared" si="33"/>
        <v>12.6784</v>
      </c>
      <c r="AA93" s="108">
        <f>VLOOKUP(J93,Inputs!$D$127:$H$129,5,FALSE)</f>
        <v>1.2371134020618557</v>
      </c>
      <c r="AB93" s="108">
        <f t="shared" si="34"/>
        <v>15.684618556701031</v>
      </c>
      <c r="AD93" s="27">
        <v>460044.79999999999</v>
      </c>
      <c r="AE93" s="27">
        <v>230022.39999999999</v>
      </c>
      <c r="AF93" s="27">
        <v>230022.39999999999</v>
      </c>
      <c r="AG93" s="27">
        <v>0</v>
      </c>
      <c r="AH93" s="27">
        <v>0</v>
      </c>
      <c r="AI93" s="33" t="str">
        <f t="shared" si="18"/>
        <v/>
      </c>
      <c r="AJ93" s="33" t="str">
        <f t="shared" si="19"/>
        <v/>
      </c>
      <c r="AK93" s="33" t="str">
        <f t="shared" si="20"/>
        <v/>
      </c>
      <c r="AL93" s="33" t="str">
        <f t="shared" si="21"/>
        <v/>
      </c>
      <c r="AM93" s="33" t="str">
        <f t="shared" si="22"/>
        <v/>
      </c>
      <c r="AN93" s="28">
        <v>0.5</v>
      </c>
      <c r="AO93" s="28">
        <v>0.5</v>
      </c>
      <c r="AP93" s="28">
        <v>0</v>
      </c>
      <c r="AQ93" s="28">
        <v>0</v>
      </c>
      <c r="AR93" s="33" t="str">
        <f t="shared" si="23"/>
        <v/>
      </c>
      <c r="AS93" s="33" t="str">
        <f t="shared" si="24"/>
        <v/>
      </c>
      <c r="AT93" s="33" t="str">
        <f t="shared" si="25"/>
        <v/>
      </c>
      <c r="AU93" s="33" t="str">
        <f t="shared" si="26"/>
        <v/>
      </c>
    </row>
    <row r="94" spans="1:47" x14ac:dyDescent="0.25">
      <c r="A94" s="1"/>
      <c r="B94" s="24">
        <v>1406</v>
      </c>
      <c r="C94" s="24" t="s">
        <v>133</v>
      </c>
      <c r="D94" s="54" t="s">
        <v>24</v>
      </c>
      <c r="E94" s="55">
        <v>1930</v>
      </c>
      <c r="F94" s="55"/>
      <c r="G94" s="27">
        <v>420885</v>
      </c>
      <c r="H94" s="15" t="s">
        <v>177</v>
      </c>
      <c r="I94" s="50" t="s">
        <v>273</v>
      </c>
      <c r="J94" s="8" t="str">
        <f>VLOOKUP($G94,Inputs!$B$127:$F$129,3,TRUE)</f>
        <v>Water-cooled chiller</v>
      </c>
      <c r="K94" s="1"/>
      <c r="L94" s="46">
        <v>32</v>
      </c>
      <c r="M94" s="29">
        <f t="shared" si="32"/>
        <v>13468320</v>
      </c>
      <c r="N94" s="29">
        <f t="shared" si="27"/>
        <v>7542259.1999999993</v>
      </c>
      <c r="O94" s="29">
        <f t="shared" si="28"/>
        <v>1885564.7999999998</v>
      </c>
      <c r="P94" s="29">
        <f t="shared" si="29"/>
        <v>0</v>
      </c>
      <c r="Q94" s="29">
        <f t="shared" si="30"/>
        <v>4040496</v>
      </c>
      <c r="R94" s="31">
        <f>LOOKUP($D94,Inputs!$B$78:$B$89,Inputs!C$78:C$89)*(1-$U94)</f>
        <v>0.55999999999999994</v>
      </c>
      <c r="S94" s="31">
        <f>LOOKUP($D94,Inputs!$B$78:$B$89,Inputs!D$78:D$89)*(1-$U94)</f>
        <v>0.13999999999999999</v>
      </c>
      <c r="T94" s="31">
        <f>LOOKUP($D94,Inputs!$B$78:$B$89,Inputs!E$78:E$89)*(1-$U94)</f>
        <v>0</v>
      </c>
      <c r="U94" s="48">
        <v>0.3</v>
      </c>
      <c r="V94" s="13" t="str">
        <f t="shared" si="31"/>
        <v/>
      </c>
      <c r="W94" s="72">
        <f>SUM(N94:O94)*Inputs!$C$22*(1-Inputs!$C$13)/Inputs!$C$15</f>
        <v>7612.9678799999992</v>
      </c>
      <c r="X94" s="15">
        <v>850</v>
      </c>
      <c r="Y94" s="71">
        <f>IF($X94&gt;0,$X94,$G94*LOOKUP($D94,Inputs!$B$63:$B$74,Inputs!$H$63:$H$74)/Inputs!$C$15)</f>
        <v>850</v>
      </c>
      <c r="Z94" s="71">
        <f t="shared" si="33"/>
        <v>0</v>
      </c>
      <c r="AA94" s="108">
        <f>VLOOKUP(J94,Inputs!$D$127:$H$129,5,FALSE)</f>
        <v>0.58499999999999996</v>
      </c>
      <c r="AB94" s="108">
        <f t="shared" si="34"/>
        <v>0</v>
      </c>
      <c r="AC94" s="1"/>
      <c r="AD94" s="27">
        <v>13468320</v>
      </c>
      <c r="AE94" s="27">
        <v>7542259.1999999993</v>
      </c>
      <c r="AF94" s="27">
        <v>1885564.7999999998</v>
      </c>
      <c r="AG94" s="27">
        <v>0</v>
      </c>
      <c r="AH94" s="27">
        <v>4040496</v>
      </c>
      <c r="AI94" s="33" t="str">
        <f t="shared" si="18"/>
        <v/>
      </c>
      <c r="AJ94" s="33" t="str">
        <f t="shared" si="19"/>
        <v/>
      </c>
      <c r="AK94" s="33" t="str">
        <f t="shared" si="20"/>
        <v/>
      </c>
      <c r="AL94" s="33" t="str">
        <f t="shared" si="21"/>
        <v/>
      </c>
      <c r="AM94" s="33" t="str">
        <f t="shared" si="22"/>
        <v/>
      </c>
      <c r="AN94" s="28">
        <v>0.55999999999999994</v>
      </c>
      <c r="AO94" s="28">
        <v>0.13999999999999999</v>
      </c>
      <c r="AP94" s="28">
        <v>0</v>
      </c>
      <c r="AQ94" s="28">
        <v>0.3</v>
      </c>
      <c r="AR94" s="33" t="str">
        <f t="shared" si="23"/>
        <v/>
      </c>
      <c r="AS94" s="33" t="str">
        <f t="shared" si="24"/>
        <v/>
      </c>
      <c r="AT94" s="33" t="str">
        <f t="shared" si="25"/>
        <v/>
      </c>
      <c r="AU94" s="33" t="str">
        <f t="shared" si="26"/>
        <v/>
      </c>
    </row>
    <row r="95" spans="1:47" s="1" customFormat="1" x14ac:dyDescent="0.25">
      <c r="B95" s="24">
        <v>1234</v>
      </c>
      <c r="C95" s="24" t="s">
        <v>134</v>
      </c>
      <c r="D95" s="54" t="s">
        <v>21</v>
      </c>
      <c r="E95" s="55">
        <v>1995</v>
      </c>
      <c r="F95" s="55"/>
      <c r="G95" s="27">
        <v>95712</v>
      </c>
      <c r="H95" s="15" t="s">
        <v>176</v>
      </c>
      <c r="I95" s="50" t="s">
        <v>265</v>
      </c>
      <c r="J95" s="8" t="str">
        <f>VLOOKUP($G95,Inputs!$B$127:$F$129,3,TRUE)</f>
        <v>Packaged VAV, DX</v>
      </c>
      <c r="L95" s="46">
        <v>32</v>
      </c>
      <c r="M95" s="29">
        <f t="shared" si="32"/>
        <v>3062784</v>
      </c>
      <c r="N95" s="29">
        <f t="shared" si="27"/>
        <v>2756505.6000000001</v>
      </c>
      <c r="O95" s="29">
        <f t="shared" si="28"/>
        <v>306278.40000000002</v>
      </c>
      <c r="P95" s="29">
        <f t="shared" si="29"/>
        <v>0</v>
      </c>
      <c r="Q95" s="29">
        <f t="shared" si="30"/>
        <v>0</v>
      </c>
      <c r="R95" s="31">
        <f>LOOKUP($D95,Inputs!$B$78:$B$89,Inputs!C$78:C$89)</f>
        <v>0.9</v>
      </c>
      <c r="S95" s="31">
        <f>LOOKUP($D95,Inputs!$B$78:$B$89,Inputs!D$78:D$89)</f>
        <v>0.1</v>
      </c>
      <c r="T95" s="31">
        <f>LOOKUP($D95,Inputs!$B$78:$B$89,Inputs!E$78:E$89)</f>
        <v>0</v>
      </c>
      <c r="U95" s="31">
        <f>LOOKUP($D95,Inputs!$B$78:$B$89,Inputs!F$78:F$89)</f>
        <v>0</v>
      </c>
      <c r="V95" s="13" t="str">
        <f t="shared" si="31"/>
        <v/>
      </c>
      <c r="W95" s="72">
        <f>SUM(N95:O95)*Inputs!$C$22*(1-Inputs!$C$13)/Inputs!$C$15</f>
        <v>2473.1980799999997</v>
      </c>
      <c r="X95" s="15">
        <v>200</v>
      </c>
      <c r="Y95" s="71">
        <f>IF($X95&gt;0,$X95,$G95*LOOKUP($D95,Inputs!$B$63:$B$74,Inputs!$H$63:$H$74)/Inputs!$C$15)</f>
        <v>200</v>
      </c>
      <c r="Z95" s="71">
        <f t="shared" si="33"/>
        <v>0</v>
      </c>
      <c r="AA95" s="108">
        <f>VLOOKUP(J95,Inputs!$D$127:$H$129,5,FALSE)</f>
        <v>1.2371134020618557</v>
      </c>
      <c r="AB95" s="108">
        <f t="shared" si="34"/>
        <v>0</v>
      </c>
      <c r="AD95" s="27">
        <v>3062784</v>
      </c>
      <c r="AE95" s="27">
        <v>2756505.6000000001</v>
      </c>
      <c r="AF95" s="27">
        <v>306278.40000000002</v>
      </c>
      <c r="AG95" s="27">
        <v>0</v>
      </c>
      <c r="AH95" s="27">
        <v>0</v>
      </c>
      <c r="AI95" s="33" t="str">
        <f t="shared" si="18"/>
        <v/>
      </c>
      <c r="AJ95" s="33" t="str">
        <f t="shared" si="19"/>
        <v/>
      </c>
      <c r="AK95" s="33" t="str">
        <f t="shared" si="20"/>
        <v/>
      </c>
      <c r="AL95" s="33" t="str">
        <f t="shared" si="21"/>
        <v/>
      </c>
      <c r="AM95" s="33" t="str">
        <f t="shared" si="22"/>
        <v/>
      </c>
      <c r="AN95" s="28">
        <v>0.9</v>
      </c>
      <c r="AO95" s="28">
        <v>0.1</v>
      </c>
      <c r="AP95" s="28">
        <v>0</v>
      </c>
      <c r="AQ95" s="28">
        <v>0</v>
      </c>
      <c r="AR95" s="33" t="str">
        <f t="shared" si="23"/>
        <v/>
      </c>
      <c r="AS95" s="33" t="str">
        <f t="shared" si="24"/>
        <v/>
      </c>
      <c r="AT95" s="33" t="str">
        <f t="shared" si="25"/>
        <v/>
      </c>
      <c r="AU95" s="33" t="str">
        <f t="shared" si="26"/>
        <v/>
      </c>
    </row>
    <row r="96" spans="1:47" s="1" customFormat="1" x14ac:dyDescent="0.25">
      <c r="B96" s="24">
        <v>1360</v>
      </c>
      <c r="C96" s="24" t="s">
        <v>135</v>
      </c>
      <c r="D96" s="54" t="s">
        <v>22</v>
      </c>
      <c r="E96" s="55">
        <v>1933</v>
      </c>
      <c r="F96" s="55"/>
      <c r="G96" s="27">
        <v>238065</v>
      </c>
      <c r="H96" s="15" t="s">
        <v>173</v>
      </c>
      <c r="I96" s="15" t="s">
        <v>266</v>
      </c>
      <c r="J96" s="8" t="str">
        <f>VLOOKUP($G96,Inputs!$B$127:$F$129,3,TRUE)</f>
        <v>Water-cooled chiller</v>
      </c>
      <c r="L96" s="46">
        <v>32</v>
      </c>
      <c r="M96" s="29">
        <f t="shared" si="32"/>
        <v>7618080</v>
      </c>
      <c r="N96" s="29">
        <f t="shared" si="27"/>
        <v>4570848</v>
      </c>
      <c r="O96" s="29">
        <f t="shared" si="28"/>
        <v>3047232</v>
      </c>
      <c r="P96" s="29">
        <f t="shared" si="29"/>
        <v>0</v>
      </c>
      <c r="Q96" s="29">
        <f t="shared" si="30"/>
        <v>0</v>
      </c>
      <c r="R96" s="31">
        <f>LOOKUP($D96,Inputs!$B$78:$B$89,Inputs!C$78:C$89)</f>
        <v>0.6</v>
      </c>
      <c r="S96" s="31">
        <f>LOOKUP($D96,Inputs!$B$78:$B$89,Inputs!D$78:D$89)</f>
        <v>0.4</v>
      </c>
      <c r="T96" s="31">
        <f>LOOKUP($D96,Inputs!$B$78:$B$89,Inputs!E$78:E$89)</f>
        <v>0</v>
      </c>
      <c r="U96" s="31">
        <f>LOOKUP($D96,Inputs!$B$78:$B$89,Inputs!F$78:F$89)</f>
        <v>0</v>
      </c>
      <c r="V96" s="13" t="str">
        <f t="shared" si="31"/>
        <v/>
      </c>
      <c r="W96" s="72">
        <f>SUM(N96:O96)*Inputs!$C$22*(1-Inputs!$C$13)/Inputs!$C$15</f>
        <v>6151.5995999999996</v>
      </c>
      <c r="X96" s="15">
        <v>0</v>
      </c>
      <c r="Y96" s="71">
        <f>IF($X96&gt;0,$X96,$G96*LOOKUP($D96,Inputs!$B$63:$B$74,Inputs!$H$63:$H$74)/Inputs!$C$15)</f>
        <v>238.065</v>
      </c>
      <c r="Z96" s="71">
        <f t="shared" si="33"/>
        <v>238.065</v>
      </c>
      <c r="AA96" s="108">
        <f>VLOOKUP(J96,Inputs!$D$127:$H$129,5,FALSE)</f>
        <v>0.58499999999999996</v>
      </c>
      <c r="AB96" s="108">
        <f t="shared" si="34"/>
        <v>139.26802499999999</v>
      </c>
      <c r="AD96" s="27">
        <v>7618080</v>
      </c>
      <c r="AE96" s="27">
        <v>4570848</v>
      </c>
      <c r="AF96" s="27">
        <v>3047232</v>
      </c>
      <c r="AG96" s="27">
        <v>0</v>
      </c>
      <c r="AH96" s="27">
        <v>0</v>
      </c>
      <c r="AI96" s="33" t="str">
        <f t="shared" si="18"/>
        <v/>
      </c>
      <c r="AJ96" s="33" t="str">
        <f t="shared" si="19"/>
        <v/>
      </c>
      <c r="AK96" s="33" t="str">
        <f t="shared" si="20"/>
        <v/>
      </c>
      <c r="AL96" s="33" t="str">
        <f t="shared" si="21"/>
        <v/>
      </c>
      <c r="AM96" s="33" t="str">
        <f t="shared" si="22"/>
        <v/>
      </c>
      <c r="AN96" s="28">
        <v>0.6</v>
      </c>
      <c r="AO96" s="28">
        <v>0.4</v>
      </c>
      <c r="AP96" s="28">
        <v>0</v>
      </c>
      <c r="AQ96" s="28">
        <v>0</v>
      </c>
      <c r="AR96" s="33" t="str">
        <f t="shared" si="23"/>
        <v/>
      </c>
      <c r="AS96" s="33" t="str">
        <f t="shared" si="24"/>
        <v/>
      </c>
      <c r="AT96" s="33" t="str">
        <f t="shared" si="25"/>
        <v/>
      </c>
      <c r="AU96" s="33" t="str">
        <f t="shared" si="26"/>
        <v/>
      </c>
    </row>
    <row r="97" spans="1:47" s="1" customFormat="1" x14ac:dyDescent="0.25">
      <c r="B97" s="24">
        <v>1202</v>
      </c>
      <c r="C97" s="24" t="s">
        <v>136</v>
      </c>
      <c r="D97" s="54" t="s">
        <v>26</v>
      </c>
      <c r="E97" s="55">
        <v>1912</v>
      </c>
      <c r="F97" s="55"/>
      <c r="G97" s="27">
        <v>43910</v>
      </c>
      <c r="H97" s="15" t="s">
        <v>175</v>
      </c>
      <c r="I97" s="50" t="s">
        <v>269</v>
      </c>
      <c r="J97" s="8" t="str">
        <f>VLOOKUP($G97,Inputs!$B$127:$F$129,3,TRUE)</f>
        <v>Packaged VAV, DX</v>
      </c>
      <c r="L97" s="46">
        <v>32</v>
      </c>
      <c r="M97" s="29">
        <f t="shared" si="32"/>
        <v>1405120</v>
      </c>
      <c r="N97" s="29">
        <f t="shared" si="27"/>
        <v>1011686.4000000001</v>
      </c>
      <c r="O97" s="29">
        <f t="shared" si="28"/>
        <v>112409.60000000002</v>
      </c>
      <c r="P97" s="29">
        <f t="shared" si="29"/>
        <v>0</v>
      </c>
      <c r="Q97" s="29">
        <f t="shared" si="30"/>
        <v>281024</v>
      </c>
      <c r="R97" s="31">
        <f>LOOKUP($D97,Inputs!$B$78:$B$89,Inputs!C$78:C$89)*(1-$U97)</f>
        <v>0.72000000000000008</v>
      </c>
      <c r="S97" s="31">
        <f>LOOKUP($D97,Inputs!$B$78:$B$89,Inputs!D$78:D$89)*(1-$U97)</f>
        <v>8.0000000000000016E-2</v>
      </c>
      <c r="T97" s="31">
        <f>LOOKUP($D97,Inputs!$B$78:$B$89,Inputs!E$78:E$89)*(1-$U97)</f>
        <v>0</v>
      </c>
      <c r="U97" s="48">
        <v>0.2</v>
      </c>
      <c r="V97" s="13" t="str">
        <f t="shared" si="31"/>
        <v/>
      </c>
      <c r="W97" s="72">
        <f>SUM(N97:O97)*Inputs!$C$22*(1-Inputs!$C$13)/Inputs!$C$15</f>
        <v>907.70752000000016</v>
      </c>
      <c r="X97" s="15">
        <v>0</v>
      </c>
      <c r="Y97" s="71">
        <f>IF($X97&gt;0,$X97,$G97*LOOKUP($D97,Inputs!$B$63:$B$74,Inputs!$H$63:$H$74)/Inputs!$C$15)</f>
        <v>43.91</v>
      </c>
      <c r="Z97" s="71">
        <f t="shared" si="33"/>
        <v>43.91</v>
      </c>
      <c r="AA97" s="108">
        <f>VLOOKUP(J97,Inputs!$D$127:$H$129,5,FALSE)</f>
        <v>1.2371134020618557</v>
      </c>
      <c r="AB97" s="108">
        <f t="shared" si="34"/>
        <v>54.321649484536081</v>
      </c>
      <c r="AD97" s="27">
        <v>1405120</v>
      </c>
      <c r="AE97" s="27">
        <v>1011686.4000000001</v>
      </c>
      <c r="AF97" s="27">
        <v>112409.60000000002</v>
      </c>
      <c r="AG97" s="27">
        <v>0</v>
      </c>
      <c r="AH97" s="27">
        <v>281024</v>
      </c>
      <c r="AI97" s="33" t="str">
        <f t="shared" si="18"/>
        <v/>
      </c>
      <c r="AJ97" s="33" t="str">
        <f t="shared" si="19"/>
        <v/>
      </c>
      <c r="AK97" s="33" t="str">
        <f t="shared" si="20"/>
        <v/>
      </c>
      <c r="AL97" s="33" t="str">
        <f t="shared" si="21"/>
        <v/>
      </c>
      <c r="AM97" s="33" t="str">
        <f t="shared" si="22"/>
        <v/>
      </c>
      <c r="AN97" s="28">
        <v>0.72000000000000008</v>
      </c>
      <c r="AO97" s="28">
        <v>8.0000000000000016E-2</v>
      </c>
      <c r="AP97" s="28">
        <v>0</v>
      </c>
      <c r="AQ97" s="28">
        <v>0.2</v>
      </c>
      <c r="AR97" s="33" t="str">
        <f t="shared" si="23"/>
        <v/>
      </c>
      <c r="AS97" s="33" t="str">
        <f t="shared" si="24"/>
        <v/>
      </c>
      <c r="AT97" s="33" t="str">
        <f t="shared" si="25"/>
        <v/>
      </c>
      <c r="AU97" s="33" t="str">
        <f t="shared" si="26"/>
        <v/>
      </c>
    </row>
    <row r="98" spans="1:47" s="1" customFormat="1" x14ac:dyDescent="0.25">
      <c r="B98" s="24">
        <v>1552</v>
      </c>
      <c r="C98" s="24" t="s">
        <v>137</v>
      </c>
      <c r="D98" s="54" t="s">
        <v>30</v>
      </c>
      <c r="E98" s="55">
        <v>1917</v>
      </c>
      <c r="F98" s="55"/>
      <c r="G98" s="27">
        <v>139436</v>
      </c>
      <c r="H98" s="15" t="s">
        <v>177</v>
      </c>
      <c r="I98" s="50" t="s">
        <v>281</v>
      </c>
      <c r="J98" s="8" t="str">
        <f>VLOOKUP($G98,Inputs!$B$127:$F$129,3,TRUE)</f>
        <v>Packaged VAV, DX</v>
      </c>
      <c r="L98" s="46">
        <v>21.4</v>
      </c>
      <c r="M98" s="29">
        <f t="shared" si="32"/>
        <v>2983930.4</v>
      </c>
      <c r="N98" s="29">
        <f t="shared" si="27"/>
        <v>2586073.0133333332</v>
      </c>
      <c r="O98" s="29">
        <f t="shared" si="28"/>
        <v>397857.38666666666</v>
      </c>
      <c r="P98" s="29">
        <f t="shared" si="29"/>
        <v>0</v>
      </c>
      <c r="Q98" s="29">
        <f t="shared" si="30"/>
        <v>0</v>
      </c>
      <c r="R98" s="31">
        <f>LOOKUP($D98,Inputs!$B$78:$B$89,Inputs!C$78:C$89)</f>
        <v>0.8666666666666667</v>
      </c>
      <c r="S98" s="31">
        <f>LOOKUP($D98,Inputs!$B$78:$B$89,Inputs!D$78:D$89)</f>
        <v>0.13333333333333333</v>
      </c>
      <c r="T98" s="31">
        <f>LOOKUP($D98,Inputs!$B$78:$B$89,Inputs!E$78:E$89)</f>
        <v>0</v>
      </c>
      <c r="U98" s="31">
        <f>LOOKUP($D98,Inputs!$B$78:$B$89,Inputs!F$78:F$89)</f>
        <v>0</v>
      </c>
      <c r="V98" s="13" t="str">
        <f t="shared" si="31"/>
        <v/>
      </c>
      <c r="W98" s="72">
        <f>SUM(N98:O98)*Inputs!$C$22*(1-Inputs!$C$13)/Inputs!$C$15</f>
        <v>2409.5237980000002</v>
      </c>
      <c r="X98" s="15">
        <v>0</v>
      </c>
      <c r="Y98" s="71">
        <f>IF($X98&gt;0,$X98,$G98*LOOKUP($D98,Inputs!$B$63:$B$74,Inputs!$H$63:$H$74)/Inputs!$C$15)</f>
        <v>209.154</v>
      </c>
      <c r="Z98" s="71">
        <f t="shared" si="33"/>
        <v>209.154</v>
      </c>
      <c r="AA98" s="108">
        <f>VLOOKUP(J98,Inputs!$D$127:$H$129,5,FALSE)</f>
        <v>1.2371134020618557</v>
      </c>
      <c r="AB98" s="108">
        <f t="shared" si="34"/>
        <v>258.74721649484536</v>
      </c>
      <c r="AD98" s="27">
        <v>2983930.4</v>
      </c>
      <c r="AE98" s="27">
        <v>2685537.36</v>
      </c>
      <c r="AF98" s="27">
        <v>298393.03999999998</v>
      </c>
      <c r="AG98" s="27">
        <v>0</v>
      </c>
      <c r="AH98" s="27">
        <v>0</v>
      </c>
      <c r="AI98" s="33" t="str">
        <f t="shared" si="18"/>
        <v/>
      </c>
      <c r="AJ98" s="33" t="str">
        <f t="shared" si="19"/>
        <v>FLAG</v>
      </c>
      <c r="AK98" s="33" t="str">
        <f t="shared" si="20"/>
        <v>FLAG</v>
      </c>
      <c r="AL98" s="33" t="str">
        <f t="shared" si="21"/>
        <v/>
      </c>
      <c r="AM98" s="33" t="str">
        <f t="shared" si="22"/>
        <v/>
      </c>
      <c r="AN98" s="28">
        <v>0.9</v>
      </c>
      <c r="AO98" s="28">
        <v>0.1</v>
      </c>
      <c r="AP98" s="28">
        <v>0</v>
      </c>
      <c r="AQ98" s="28">
        <v>0</v>
      </c>
      <c r="AR98" s="33" t="str">
        <f t="shared" si="23"/>
        <v>FLAG</v>
      </c>
      <c r="AS98" s="33" t="str">
        <f t="shared" si="24"/>
        <v>FLAG</v>
      </c>
      <c r="AT98" s="33" t="str">
        <f t="shared" si="25"/>
        <v/>
      </c>
      <c r="AU98" s="33" t="str">
        <f t="shared" si="26"/>
        <v/>
      </c>
    </row>
    <row r="99" spans="1:47" s="1" customFormat="1" x14ac:dyDescent="0.25">
      <c r="B99" s="24">
        <v>1553</v>
      </c>
      <c r="C99" s="24" t="s">
        <v>138</v>
      </c>
      <c r="D99" s="54" t="s">
        <v>21</v>
      </c>
      <c r="E99" s="55">
        <v>1923</v>
      </c>
      <c r="F99" s="55"/>
      <c r="G99" s="27">
        <v>18474</v>
      </c>
      <c r="H99" s="15" t="s">
        <v>176</v>
      </c>
      <c r="I99" s="50" t="s">
        <v>265</v>
      </c>
      <c r="J99" s="8" t="str">
        <f>VLOOKUP($G99,Inputs!$B$127:$F$129,3,TRUE)</f>
        <v>Packaged VAV, DX</v>
      </c>
      <c r="L99" s="46">
        <v>28</v>
      </c>
      <c r="M99" s="29">
        <f t="shared" si="32"/>
        <v>517272</v>
      </c>
      <c r="N99" s="29">
        <f t="shared" si="27"/>
        <v>465544.8</v>
      </c>
      <c r="O99" s="29">
        <f t="shared" si="28"/>
        <v>51727.200000000004</v>
      </c>
      <c r="P99" s="29">
        <f t="shared" si="29"/>
        <v>0</v>
      </c>
      <c r="Q99" s="29">
        <f t="shared" si="30"/>
        <v>0</v>
      </c>
      <c r="R99" s="31">
        <f>LOOKUP($D99,Inputs!$B$78:$B$89,Inputs!C$78:C$89)</f>
        <v>0.9</v>
      </c>
      <c r="S99" s="31">
        <f>LOOKUP($D99,Inputs!$B$78:$B$89,Inputs!D$78:D$89)</f>
        <v>0.1</v>
      </c>
      <c r="T99" s="31">
        <f>LOOKUP($D99,Inputs!$B$78:$B$89,Inputs!E$78:E$89)</f>
        <v>0</v>
      </c>
      <c r="U99" s="31">
        <f>LOOKUP($D99,Inputs!$B$78:$B$89,Inputs!F$78:F$89)</f>
        <v>0</v>
      </c>
      <c r="V99" s="13" t="str">
        <f t="shared" si="31"/>
        <v/>
      </c>
      <c r="W99" s="72">
        <f>SUM(N99:O99)*Inputs!$C$22*(1-Inputs!$C$13)/Inputs!$C$15</f>
        <v>417.69713999999993</v>
      </c>
      <c r="X99" s="15">
        <v>0</v>
      </c>
      <c r="Y99" s="71">
        <f>IF($X99&gt;0,$X99,$G99*LOOKUP($D99,Inputs!$B$63:$B$74,Inputs!$H$63:$H$74)/Inputs!$C$15)</f>
        <v>18.474</v>
      </c>
      <c r="Z99" s="71">
        <f t="shared" si="33"/>
        <v>18.474</v>
      </c>
      <c r="AA99" s="108">
        <f>VLOOKUP(J99,Inputs!$D$127:$H$129,5,FALSE)</f>
        <v>1.2371134020618557</v>
      </c>
      <c r="AB99" s="108">
        <f t="shared" si="34"/>
        <v>22.854432989690721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33" t="str">
        <f t="shared" si="18"/>
        <v>FLAG</v>
      </c>
      <c r="AJ99" s="33" t="str">
        <f t="shared" si="19"/>
        <v>FLAG</v>
      </c>
      <c r="AK99" s="33" t="str">
        <f t="shared" si="20"/>
        <v>FLAG</v>
      </c>
      <c r="AL99" s="33" t="str">
        <f t="shared" si="21"/>
        <v/>
      </c>
      <c r="AM99" s="33" t="str">
        <f t="shared" si="22"/>
        <v/>
      </c>
      <c r="AN99" s="28">
        <v>0.9</v>
      </c>
      <c r="AO99" s="28">
        <v>0.1</v>
      </c>
      <c r="AP99" s="28">
        <v>0</v>
      </c>
      <c r="AQ99" s="28">
        <v>0</v>
      </c>
      <c r="AR99" s="33" t="str">
        <f t="shared" si="23"/>
        <v/>
      </c>
      <c r="AS99" s="33" t="str">
        <f t="shared" si="24"/>
        <v/>
      </c>
      <c r="AT99" s="33" t="str">
        <f t="shared" si="25"/>
        <v/>
      </c>
      <c r="AU99" s="33" t="str">
        <f t="shared" si="26"/>
        <v/>
      </c>
    </row>
    <row r="100" spans="1:47" x14ac:dyDescent="0.25">
      <c r="A100" s="1"/>
      <c r="B100" s="24">
        <v>1797</v>
      </c>
      <c r="C100" s="24" t="s">
        <v>139</v>
      </c>
      <c r="D100" s="54" t="s">
        <v>26</v>
      </c>
      <c r="E100" s="55">
        <v>1964</v>
      </c>
      <c r="F100" s="55"/>
      <c r="G100" s="27">
        <v>222434</v>
      </c>
      <c r="H100" s="15" t="s">
        <v>176</v>
      </c>
      <c r="I100" s="50" t="s">
        <v>271</v>
      </c>
      <c r="J100" s="8" t="str">
        <f>VLOOKUP($G100,Inputs!$B$127:$F$129,3,TRUE)</f>
        <v>Water-cooled chiller</v>
      </c>
      <c r="K100" s="1"/>
      <c r="L100" s="46">
        <v>5</v>
      </c>
      <c r="M100" s="29">
        <f t="shared" si="32"/>
        <v>1112170</v>
      </c>
      <c r="N100" s="29">
        <f t="shared" si="27"/>
        <v>1000953</v>
      </c>
      <c r="O100" s="29">
        <f t="shared" si="28"/>
        <v>111217</v>
      </c>
      <c r="P100" s="29">
        <f t="shared" si="29"/>
        <v>0</v>
      </c>
      <c r="Q100" s="29">
        <f t="shared" si="30"/>
        <v>0</v>
      </c>
      <c r="R100" s="31">
        <f>LOOKUP($D100,Inputs!$B$78:$B$89,Inputs!C$78:C$89)</f>
        <v>0.9</v>
      </c>
      <c r="S100" s="31">
        <f>LOOKUP($D100,Inputs!$B$78:$B$89,Inputs!D$78:D$89)</f>
        <v>0.1</v>
      </c>
      <c r="T100" s="31">
        <f>LOOKUP($D100,Inputs!$B$78:$B$89,Inputs!E$78:E$89)</f>
        <v>0</v>
      </c>
      <c r="U100" s="31">
        <f>LOOKUP($D100,Inputs!$B$78:$B$89,Inputs!F$78:F$89)</f>
        <v>0</v>
      </c>
      <c r="V100" s="13" t="str">
        <f t="shared" si="31"/>
        <v/>
      </c>
      <c r="W100" s="72">
        <f>SUM(N100:O100)*Inputs!$C$22*(1-Inputs!$C$13)/Inputs!$C$15</f>
        <v>898.07727499999999</v>
      </c>
      <c r="X100" s="15">
        <v>0</v>
      </c>
      <c r="Y100" s="71">
        <f>IF($X100&gt;0,$X100,$G100*LOOKUP($D100,Inputs!$B$63:$B$74,Inputs!$H$63:$H$74)/Inputs!$C$15)</f>
        <v>222.434</v>
      </c>
      <c r="Z100" s="71">
        <f t="shared" si="33"/>
        <v>222.434</v>
      </c>
      <c r="AA100" s="108">
        <f>VLOOKUP(J100,Inputs!$D$127:$H$129,5,FALSE)</f>
        <v>0.58499999999999996</v>
      </c>
      <c r="AB100" s="108">
        <f t="shared" si="34"/>
        <v>130.12388999999999</v>
      </c>
      <c r="AC100" s="1"/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33" t="str">
        <f t="shared" si="18"/>
        <v>FLAG</v>
      </c>
      <c r="AJ100" s="33" t="str">
        <f t="shared" si="19"/>
        <v>FLAG</v>
      </c>
      <c r="AK100" s="33" t="str">
        <f t="shared" si="20"/>
        <v>FLAG</v>
      </c>
      <c r="AL100" s="33" t="str">
        <f t="shared" si="21"/>
        <v/>
      </c>
      <c r="AM100" s="33" t="str">
        <f t="shared" si="22"/>
        <v/>
      </c>
      <c r="AN100" s="28">
        <v>0.9</v>
      </c>
      <c r="AO100" s="28">
        <v>0.1</v>
      </c>
      <c r="AP100" s="28">
        <v>0</v>
      </c>
      <c r="AQ100" s="28">
        <v>0</v>
      </c>
      <c r="AR100" s="33" t="str">
        <f t="shared" si="23"/>
        <v/>
      </c>
      <c r="AS100" s="33" t="str">
        <f t="shared" si="24"/>
        <v/>
      </c>
      <c r="AT100" s="33" t="str">
        <f t="shared" si="25"/>
        <v/>
      </c>
      <c r="AU100" s="33" t="str">
        <f t="shared" si="26"/>
        <v/>
      </c>
    </row>
    <row r="101" spans="1:47" s="1" customFormat="1" x14ac:dyDescent="0.25">
      <c r="B101" s="24">
        <v>1802</v>
      </c>
      <c r="C101" s="24" t="s">
        <v>140</v>
      </c>
      <c r="D101" s="54" t="s">
        <v>23</v>
      </c>
      <c r="E101" s="55">
        <v>1968</v>
      </c>
      <c r="F101" s="55"/>
      <c r="G101" s="27">
        <v>153118</v>
      </c>
      <c r="H101" s="15" t="s">
        <v>173</v>
      </c>
      <c r="I101" s="50" t="s">
        <v>257</v>
      </c>
      <c r="J101" s="8" t="str">
        <f>VLOOKUP($G101,Inputs!$B$127:$F$129,3,TRUE)</f>
        <v>Water-cooled chiller</v>
      </c>
      <c r="L101" s="46">
        <v>32</v>
      </c>
      <c r="M101" s="29">
        <f t="shared" si="32"/>
        <v>4899776</v>
      </c>
      <c r="N101" s="49">
        <f>$M101*R101</f>
        <v>4409798.4000000004</v>
      </c>
      <c r="O101" s="29">
        <f t="shared" si="28"/>
        <v>489977.60000000003</v>
      </c>
      <c r="P101" s="29">
        <f t="shared" si="29"/>
        <v>0</v>
      </c>
      <c r="Q101" s="29">
        <f t="shared" si="30"/>
        <v>0</v>
      </c>
      <c r="R101" s="31">
        <f>LOOKUP($D101,Inputs!$B$78:$B$89,Inputs!C$78:C$89)</f>
        <v>0.9</v>
      </c>
      <c r="S101" s="31">
        <f>LOOKUP($D101,Inputs!$B$78:$B$89,Inputs!D$78:D$89)</f>
        <v>0.1</v>
      </c>
      <c r="T101" s="31">
        <f>LOOKUP($D101,Inputs!$B$78:$B$89,Inputs!E$78:E$89)</f>
        <v>0</v>
      </c>
      <c r="U101" s="31">
        <f>LOOKUP($D101,Inputs!$B$78:$B$89,Inputs!F$78:F$89)</f>
        <v>0</v>
      </c>
      <c r="V101" s="13" t="str">
        <f t="shared" si="31"/>
        <v/>
      </c>
      <c r="W101" s="72">
        <f>SUM(N101:O101)*Inputs!$C$22*(1-Inputs!$C$13)/Inputs!$C$15</f>
        <v>3956.5691200000001</v>
      </c>
      <c r="X101" s="50">
        <v>0</v>
      </c>
      <c r="Y101" s="71">
        <f>IF($X101&gt;0,$X101,$G101*LOOKUP($D101,Inputs!$B$63:$B$74,Inputs!$H$63:$H$74)/Inputs!$C$15)</f>
        <v>153.11799999999999</v>
      </c>
      <c r="Z101" s="71">
        <f t="shared" si="33"/>
        <v>153.11799999999999</v>
      </c>
      <c r="AA101" s="108">
        <f>VLOOKUP(J101,Inputs!$D$127:$H$129,5,FALSE)</f>
        <v>0.58499999999999996</v>
      </c>
      <c r="AB101" s="108">
        <f t="shared" si="34"/>
        <v>89.574029999999993</v>
      </c>
      <c r="AD101" s="27">
        <v>4899776</v>
      </c>
      <c r="AE101" s="27">
        <v>4409798.4000000004</v>
      </c>
      <c r="AF101" s="27">
        <v>489977.60000000003</v>
      </c>
      <c r="AG101" s="27">
        <v>0</v>
      </c>
      <c r="AH101" s="27">
        <v>0</v>
      </c>
      <c r="AI101" s="33" t="str">
        <f t="shared" si="18"/>
        <v/>
      </c>
      <c r="AJ101" s="33" t="str">
        <f t="shared" si="19"/>
        <v/>
      </c>
      <c r="AK101" s="33" t="str">
        <f t="shared" si="20"/>
        <v/>
      </c>
      <c r="AL101" s="33" t="str">
        <f t="shared" si="21"/>
        <v/>
      </c>
      <c r="AM101" s="33" t="str">
        <f t="shared" si="22"/>
        <v/>
      </c>
      <c r="AN101" s="28">
        <v>0.9</v>
      </c>
      <c r="AO101" s="28">
        <v>0.1</v>
      </c>
      <c r="AP101" s="28">
        <v>0</v>
      </c>
      <c r="AQ101" s="28">
        <v>0</v>
      </c>
      <c r="AR101" s="33" t="str">
        <f t="shared" si="23"/>
        <v/>
      </c>
      <c r="AS101" s="33" t="str">
        <f t="shared" si="24"/>
        <v/>
      </c>
      <c r="AT101" s="33" t="str">
        <f t="shared" si="25"/>
        <v/>
      </c>
      <c r="AU101" s="33" t="str">
        <f t="shared" si="26"/>
        <v/>
      </c>
    </row>
    <row r="102" spans="1:47" s="1" customFormat="1" x14ac:dyDescent="0.25">
      <c r="Y102" s="51"/>
      <c r="Z102" s="51"/>
      <c r="AA102" s="51"/>
      <c r="AB102" s="51"/>
    </row>
    <row r="103" spans="1:47" s="1" customFormat="1" x14ac:dyDescent="0.25">
      <c r="B103" s="73" t="s">
        <v>232</v>
      </c>
      <c r="Y103" s="51"/>
      <c r="Z103" s="51"/>
      <c r="AA103" s="51"/>
      <c r="AB103" s="51"/>
    </row>
    <row r="104" spans="1:47" x14ac:dyDescent="0.25">
      <c r="A104" s="1"/>
      <c r="B104" s="42" t="s">
        <v>196</v>
      </c>
      <c r="C104" s="68" t="s">
        <v>190</v>
      </c>
      <c r="D104" s="59" t="s">
        <v>28</v>
      </c>
      <c r="E104" s="60">
        <v>2028</v>
      </c>
      <c r="F104" s="60"/>
      <c r="G104" s="45">
        <v>200000</v>
      </c>
      <c r="H104" s="88" t="s">
        <v>177</v>
      </c>
      <c r="I104" s="15" t="s">
        <v>260</v>
      </c>
      <c r="J104" s="8" t="str">
        <f>VLOOKUP($G104,Inputs!$B$127:$F$129,3,TRUE)</f>
        <v>Water-cooled chiller</v>
      </c>
      <c r="L104" s="52">
        <f>LOOKUP($D104,Inputs!$B$63:$B$74,Inputs!$G$63:$G$74)</f>
        <v>35.940000000000005</v>
      </c>
      <c r="M104" s="29">
        <f t="shared" ref="M104:M114" si="35">L104*G104</f>
        <v>7188000.0000000009</v>
      </c>
      <c r="N104" s="49">
        <f t="shared" ref="N104:N114" si="36">$M104*R104</f>
        <v>5750400.0000000009</v>
      </c>
      <c r="O104" s="29">
        <f t="shared" ref="O104:O114" si="37">$M104*S104</f>
        <v>1437600.0000000002</v>
      </c>
      <c r="P104" s="29">
        <f t="shared" ref="P104:P114" si="38">$M104*T104</f>
        <v>0</v>
      </c>
      <c r="Q104" s="29">
        <f t="shared" ref="Q104:Q114" si="39">$M104*U104</f>
        <v>0</v>
      </c>
      <c r="R104" s="31">
        <f>LOOKUP($D104,Inputs!$B$78:$B$89,Inputs!C$78:C$89)</f>
        <v>0.8</v>
      </c>
      <c r="S104" s="31">
        <f>LOOKUP($D104,Inputs!$B$78:$B$89,Inputs!D$78:D$89)</f>
        <v>0.2</v>
      </c>
      <c r="T104" s="31">
        <f>LOOKUP($D104,Inputs!$B$78:$B$89,Inputs!E$78:E$89)</f>
        <v>0</v>
      </c>
      <c r="U104" s="31">
        <f>LOOKUP($D104,Inputs!$B$78:$B$89,Inputs!F$78:F$89)</f>
        <v>0</v>
      </c>
      <c r="V104" s="13" t="str">
        <f t="shared" ref="V104:V114" si="40">IF(SUM(R104:U104)=100%,"","FLAG")</f>
        <v/>
      </c>
      <c r="W104" s="72">
        <f>SUM(N104:O104)*Inputs!$C$22*(1-Inputs!$C$13)/Inputs!$C$15</f>
        <v>5804.3100000000013</v>
      </c>
      <c r="X104" s="15">
        <v>0</v>
      </c>
      <c r="Y104" s="71">
        <f>IF($X104&gt;0,$X104,$G104*LOOKUP($D104,Inputs!$B$63:$B$74,Inputs!$H$63:$H$74)/Inputs!$C$15)</f>
        <v>500</v>
      </c>
      <c r="Z104" s="71">
        <f t="shared" si="33"/>
        <v>500</v>
      </c>
      <c r="AA104" s="108">
        <f>VLOOKUP(J104,Inputs!$D$127:$H$129,5,FALSE)</f>
        <v>0.58499999999999996</v>
      </c>
      <c r="AB104" s="108">
        <f t="shared" si="34"/>
        <v>292.5</v>
      </c>
      <c r="AC104" s="1"/>
      <c r="AD104" s="29">
        <f t="shared" ref="AD104:AD114" si="41">AC104*U104</f>
        <v>0</v>
      </c>
      <c r="AE104" s="29"/>
      <c r="AF104" s="29"/>
      <c r="AG104" s="29"/>
      <c r="AH104" s="29"/>
    </row>
    <row r="105" spans="1:47" x14ac:dyDescent="0.25">
      <c r="A105" s="1"/>
      <c r="B105" s="42" t="s">
        <v>197</v>
      </c>
      <c r="C105" s="68" t="s">
        <v>191</v>
      </c>
      <c r="D105" s="60" t="s">
        <v>28</v>
      </c>
      <c r="E105" s="59">
        <v>2025</v>
      </c>
      <c r="F105" s="60"/>
      <c r="G105" s="45">
        <v>150000</v>
      </c>
      <c r="H105" s="88" t="s">
        <v>177</v>
      </c>
      <c r="I105" s="15" t="s">
        <v>260</v>
      </c>
      <c r="J105" s="8" t="str">
        <f>VLOOKUP($G105,Inputs!$B$127:$F$129,3,TRUE)</f>
        <v>Water-cooled chiller</v>
      </c>
      <c r="L105" s="52">
        <f>LOOKUP($D105,Inputs!$B$63:$B$74,Inputs!$G$63:$G$74)</f>
        <v>35.940000000000005</v>
      </c>
      <c r="M105" s="29">
        <f t="shared" si="35"/>
        <v>5391000.0000000009</v>
      </c>
      <c r="N105" s="49">
        <f t="shared" si="36"/>
        <v>4312800.0000000009</v>
      </c>
      <c r="O105" s="29">
        <f t="shared" si="37"/>
        <v>1078200.0000000002</v>
      </c>
      <c r="P105" s="29">
        <f t="shared" si="38"/>
        <v>0</v>
      </c>
      <c r="Q105" s="29">
        <f t="shared" si="39"/>
        <v>0</v>
      </c>
      <c r="R105" s="31">
        <f>LOOKUP($D105,Inputs!$B$78:$B$89,Inputs!C$78:C$89)</f>
        <v>0.8</v>
      </c>
      <c r="S105" s="31">
        <f>LOOKUP($D105,Inputs!$B$78:$B$89,Inputs!D$78:D$89)</f>
        <v>0.2</v>
      </c>
      <c r="T105" s="31">
        <f>LOOKUP($D105,Inputs!$B$78:$B$89,Inputs!E$78:E$89)</f>
        <v>0</v>
      </c>
      <c r="U105" s="31">
        <f>LOOKUP($D105,Inputs!$B$78:$B$89,Inputs!F$78:F$89)</f>
        <v>0</v>
      </c>
      <c r="V105" s="13" t="str">
        <f t="shared" si="40"/>
        <v/>
      </c>
      <c r="W105" s="72">
        <f>SUM(N105:O105)*Inputs!$C$22*(1-Inputs!$C$13)/Inputs!$C$15</f>
        <v>4353.232500000001</v>
      </c>
      <c r="X105" s="15">
        <v>0</v>
      </c>
      <c r="Y105" s="71">
        <f>IF($X105&gt;0,$X105,$G105*LOOKUP($D105,Inputs!$B$63:$B$74,Inputs!$H$63:$H$74)/Inputs!$C$15)</f>
        <v>375</v>
      </c>
      <c r="Z105" s="71">
        <f t="shared" si="33"/>
        <v>375</v>
      </c>
      <c r="AA105" s="108">
        <f>VLOOKUP(J105,Inputs!$D$127:$H$129,5,FALSE)</f>
        <v>0.58499999999999996</v>
      </c>
      <c r="AB105" s="108">
        <f t="shared" si="34"/>
        <v>219.375</v>
      </c>
      <c r="AC105" s="1"/>
      <c r="AD105" s="29">
        <f t="shared" si="41"/>
        <v>0</v>
      </c>
      <c r="AE105" s="29"/>
      <c r="AF105" s="29"/>
      <c r="AG105" s="29"/>
      <c r="AH105" s="29"/>
    </row>
    <row r="106" spans="1:47" x14ac:dyDescent="0.25">
      <c r="A106" s="1"/>
      <c r="B106" s="42" t="s">
        <v>180</v>
      </c>
      <c r="C106" s="68" t="s">
        <v>179</v>
      </c>
      <c r="D106" s="60" t="s">
        <v>25</v>
      </c>
      <c r="E106" s="59">
        <v>2028</v>
      </c>
      <c r="F106" s="60"/>
      <c r="G106" s="45">
        <v>100000</v>
      </c>
      <c r="H106" s="88" t="s">
        <v>177</v>
      </c>
      <c r="I106" s="15" t="s">
        <v>260</v>
      </c>
      <c r="J106" s="8" t="str">
        <f>VLOOKUP($G106,Inputs!$B$127:$F$129,3,TRUE)</f>
        <v>Packaged VAV, DX</v>
      </c>
      <c r="L106" s="52">
        <f>LOOKUP($D106,Inputs!$B$63:$B$74,Inputs!$G$63:$G$74)</f>
        <v>35.940000000000005</v>
      </c>
      <c r="M106" s="29">
        <f t="shared" si="35"/>
        <v>3594000.0000000005</v>
      </c>
      <c r="N106" s="49">
        <f t="shared" si="36"/>
        <v>3234600.0000000005</v>
      </c>
      <c r="O106" s="29">
        <f t="shared" si="37"/>
        <v>359400.00000000006</v>
      </c>
      <c r="P106" s="29">
        <f t="shared" si="38"/>
        <v>0</v>
      </c>
      <c r="Q106" s="29">
        <f t="shared" si="39"/>
        <v>0</v>
      </c>
      <c r="R106" s="31">
        <f>LOOKUP($D106,Inputs!$B$78:$B$89,Inputs!C$78:C$89)</f>
        <v>0.9</v>
      </c>
      <c r="S106" s="31">
        <f>LOOKUP($D106,Inputs!$B$78:$B$89,Inputs!D$78:D$89)</f>
        <v>0.1</v>
      </c>
      <c r="T106" s="31">
        <f>LOOKUP($D106,Inputs!$B$78:$B$89,Inputs!E$78:E$89)</f>
        <v>0</v>
      </c>
      <c r="U106" s="31">
        <f>LOOKUP($D106,Inputs!$B$78:$B$89,Inputs!F$78:F$89)</f>
        <v>0</v>
      </c>
      <c r="V106" s="13" t="str">
        <f t="shared" si="40"/>
        <v/>
      </c>
      <c r="W106" s="72">
        <f>SUM(N106:O106)*Inputs!$C$22*(1-Inputs!$C$13)/Inputs!$C$15</f>
        <v>2902.1550000000007</v>
      </c>
      <c r="X106" s="15">
        <v>0</v>
      </c>
      <c r="Y106" s="71">
        <f>IF($X106&gt;0,$X106,$G106*LOOKUP($D106,Inputs!$B$63:$B$74,Inputs!$H$63:$H$74)/Inputs!$C$15)</f>
        <v>250</v>
      </c>
      <c r="Z106" s="71">
        <f t="shared" si="33"/>
        <v>250</v>
      </c>
      <c r="AA106" s="108">
        <f>VLOOKUP(J106,Inputs!$D$127:$H$129,5,FALSE)</f>
        <v>1.2371134020618557</v>
      </c>
      <c r="AB106" s="108">
        <f t="shared" si="34"/>
        <v>309.27835051546396</v>
      </c>
      <c r="AC106" s="1"/>
      <c r="AD106" s="29">
        <f t="shared" si="41"/>
        <v>0</v>
      </c>
      <c r="AE106" s="29"/>
      <c r="AF106" s="29"/>
      <c r="AG106" s="29"/>
      <c r="AH106" s="29"/>
    </row>
    <row r="107" spans="1:47" x14ac:dyDescent="0.25">
      <c r="A107" s="1"/>
      <c r="B107" s="42" t="s">
        <v>182</v>
      </c>
      <c r="C107" s="68" t="s">
        <v>181</v>
      </c>
      <c r="D107" s="60" t="s">
        <v>28</v>
      </c>
      <c r="E107" s="60">
        <v>2040</v>
      </c>
      <c r="F107" s="60"/>
      <c r="G107" s="45">
        <v>1500000</v>
      </c>
      <c r="H107" s="88" t="s">
        <v>173</v>
      </c>
      <c r="I107" s="15" t="s">
        <v>266</v>
      </c>
      <c r="J107" s="8" t="str">
        <f>VLOOKUP($G107,Inputs!$B$127:$F$129,3,TRUE)</f>
        <v>Water-cooled chiller</v>
      </c>
      <c r="L107" s="52">
        <f>LOOKUP($D107,Inputs!$B$63:$B$74,Inputs!$G$63:$G$74)</f>
        <v>35.940000000000005</v>
      </c>
      <c r="M107" s="29">
        <f t="shared" si="35"/>
        <v>53910000.000000007</v>
      </c>
      <c r="N107" s="49">
        <f t="shared" si="36"/>
        <v>38815200.000000007</v>
      </c>
      <c r="O107" s="29">
        <f t="shared" si="37"/>
        <v>9703800.0000000019</v>
      </c>
      <c r="P107" s="29">
        <f t="shared" si="38"/>
        <v>0</v>
      </c>
      <c r="Q107" s="29">
        <f t="shared" si="39"/>
        <v>5391000.0000000009</v>
      </c>
      <c r="R107" s="31">
        <f>LOOKUP($D107,Inputs!$B$78:$B$89,Inputs!C$78:C$89)*(1-$U107)</f>
        <v>0.72000000000000008</v>
      </c>
      <c r="S107" s="31">
        <f>LOOKUP($D107,Inputs!$B$78:$B$89,Inputs!D$78:D$89)*(1-$U107)</f>
        <v>0.18000000000000002</v>
      </c>
      <c r="T107" s="31">
        <f>LOOKUP($D107,Inputs!$B$78:$B$89,Inputs!E$78:E$89)*(1-$U107)</f>
        <v>0</v>
      </c>
      <c r="U107" s="48">
        <v>0.1</v>
      </c>
      <c r="V107" s="13" t="str">
        <f t="shared" si="40"/>
        <v/>
      </c>
      <c r="W107" s="72">
        <f>SUM(N107:O107)*Inputs!$C$22*(1-Inputs!$C$13)/Inputs!$C$15</f>
        <v>39179.092500000006</v>
      </c>
      <c r="X107" s="15">
        <v>0</v>
      </c>
      <c r="Y107" s="71">
        <f>IF($X107&gt;0,$X107,$G107*LOOKUP($D107,Inputs!$B$63:$B$74,Inputs!$H$63:$H$74)/Inputs!$C$15)</f>
        <v>3750</v>
      </c>
      <c r="Z107" s="71">
        <f t="shared" si="33"/>
        <v>3750</v>
      </c>
      <c r="AA107" s="108">
        <f>VLOOKUP(J107,Inputs!$D$127:$H$129,5,FALSE)</f>
        <v>0.58499999999999996</v>
      </c>
      <c r="AB107" s="108">
        <f t="shared" si="34"/>
        <v>2193.75</v>
      </c>
      <c r="AC107" s="1"/>
      <c r="AD107" s="29">
        <f t="shared" si="41"/>
        <v>0</v>
      </c>
      <c r="AE107" s="29"/>
      <c r="AF107" s="29"/>
      <c r="AG107" s="29"/>
      <c r="AH107" s="29"/>
    </row>
    <row r="108" spans="1:47" x14ac:dyDescent="0.25">
      <c r="A108" s="1"/>
      <c r="B108" s="69" t="s">
        <v>184</v>
      </c>
      <c r="C108" s="68" t="s">
        <v>183</v>
      </c>
      <c r="D108" s="59" t="s">
        <v>26</v>
      </c>
      <c r="E108" s="59">
        <v>2030</v>
      </c>
      <c r="F108" s="59"/>
      <c r="G108" s="45">
        <v>165000</v>
      </c>
      <c r="H108" s="88" t="s">
        <v>177</v>
      </c>
      <c r="I108" s="50" t="s">
        <v>268</v>
      </c>
      <c r="J108" s="8" t="str">
        <f>VLOOKUP($G108,Inputs!$B$127:$F$129,3,TRUE)</f>
        <v>Water-cooled chiller</v>
      </c>
      <c r="L108" s="52">
        <f>LOOKUP($D108,Inputs!$B$63:$B$74,Inputs!$G$63:$G$74)</f>
        <v>10.1</v>
      </c>
      <c r="M108" s="29">
        <f t="shared" si="35"/>
        <v>1666500</v>
      </c>
      <c r="N108" s="49">
        <f t="shared" si="36"/>
        <v>1049895</v>
      </c>
      <c r="O108" s="29">
        <f t="shared" si="37"/>
        <v>116654.99999999999</v>
      </c>
      <c r="P108" s="29">
        <f t="shared" si="38"/>
        <v>0</v>
      </c>
      <c r="Q108" s="29">
        <f t="shared" si="39"/>
        <v>499950</v>
      </c>
      <c r="R108" s="31">
        <f>LOOKUP($D108,Inputs!$B$78:$B$89,Inputs!C$78:C$89)*(1-$U108)</f>
        <v>0.63</v>
      </c>
      <c r="S108" s="31">
        <f>LOOKUP($D108,Inputs!$B$78:$B$89,Inputs!D$78:D$89)*(1-$U108)</f>
        <v>6.9999999999999993E-2</v>
      </c>
      <c r="T108" s="31">
        <f>LOOKUP($D108,Inputs!$B$78:$B$89,Inputs!E$78:E$89)*(1-$U108)</f>
        <v>0</v>
      </c>
      <c r="U108" s="48">
        <v>0.3</v>
      </c>
      <c r="V108" s="13" t="str">
        <f t="shared" si="40"/>
        <v/>
      </c>
      <c r="W108" s="72">
        <f>SUM(N108:O108)*Inputs!$C$22*(1-Inputs!$C$13)/Inputs!$C$15</f>
        <v>941.98912499999994</v>
      </c>
      <c r="X108" s="15">
        <v>0</v>
      </c>
      <c r="Y108" s="71">
        <f>IF($X108&gt;0,$X108,$G108*LOOKUP($D108,Inputs!$B$63:$B$74,Inputs!$H$63:$H$74)/Inputs!$C$15)</f>
        <v>165</v>
      </c>
      <c r="Z108" s="71">
        <f t="shared" si="33"/>
        <v>165</v>
      </c>
      <c r="AA108" s="108">
        <f>VLOOKUP(J108,Inputs!$D$127:$H$129,5,FALSE)</f>
        <v>0.58499999999999996</v>
      </c>
      <c r="AB108" s="108">
        <f t="shared" si="34"/>
        <v>96.524999999999991</v>
      </c>
      <c r="AC108" s="1"/>
      <c r="AD108" s="29">
        <f t="shared" si="41"/>
        <v>0</v>
      </c>
      <c r="AE108" s="29"/>
      <c r="AF108" s="29"/>
      <c r="AG108" s="29"/>
      <c r="AH108" s="29"/>
    </row>
    <row r="109" spans="1:47" x14ac:dyDescent="0.25">
      <c r="A109" s="1"/>
      <c r="B109" s="42" t="s">
        <v>185</v>
      </c>
      <c r="C109" s="68" t="s">
        <v>192</v>
      </c>
      <c r="D109" s="60" t="s">
        <v>28</v>
      </c>
      <c r="E109" s="60">
        <v>2025</v>
      </c>
      <c r="F109" s="60"/>
      <c r="G109" s="45">
        <v>225000</v>
      </c>
      <c r="H109" s="88" t="s">
        <v>177</v>
      </c>
      <c r="I109" s="50" t="s">
        <v>268</v>
      </c>
      <c r="J109" s="8" t="str">
        <f>VLOOKUP($G109,Inputs!$B$127:$F$129,3,TRUE)</f>
        <v>Water-cooled chiller</v>
      </c>
      <c r="L109" s="52">
        <f>LOOKUP($D109,Inputs!$B$63:$B$74,Inputs!$G$63:$G$74)</f>
        <v>35.940000000000005</v>
      </c>
      <c r="M109" s="29">
        <f t="shared" si="35"/>
        <v>8086500.0000000009</v>
      </c>
      <c r="N109" s="49">
        <f t="shared" si="36"/>
        <v>4528440</v>
      </c>
      <c r="O109" s="29">
        <f t="shared" si="37"/>
        <v>1132110</v>
      </c>
      <c r="P109" s="29">
        <f t="shared" si="38"/>
        <v>0</v>
      </c>
      <c r="Q109" s="29">
        <f t="shared" si="39"/>
        <v>2425950</v>
      </c>
      <c r="R109" s="31">
        <f>LOOKUP($D109,Inputs!$B$78:$B$89,Inputs!C$78:C$89)*(1-$U109)</f>
        <v>0.55999999999999994</v>
      </c>
      <c r="S109" s="31">
        <f>LOOKUP($D109,Inputs!$B$78:$B$89,Inputs!D$78:D$89)*(1-$U109)</f>
        <v>0.13999999999999999</v>
      </c>
      <c r="T109" s="31">
        <f>LOOKUP($D109,Inputs!$B$78:$B$89,Inputs!E$78:E$89)*(1-$U109)</f>
        <v>0</v>
      </c>
      <c r="U109" s="48">
        <v>0.3</v>
      </c>
      <c r="V109" s="13" t="str">
        <f t="shared" si="40"/>
        <v/>
      </c>
      <c r="W109" s="72">
        <f>SUM(N109:O109)*Inputs!$C$22*(1-Inputs!$C$13)/Inputs!$C$15</f>
        <v>4570.8941249999998</v>
      </c>
      <c r="X109" s="15">
        <v>0</v>
      </c>
      <c r="Y109" s="71">
        <f>IF($X109&gt;0,$X109,$G109*LOOKUP($D109,Inputs!$B$63:$B$74,Inputs!$H$63:$H$74)/Inputs!$C$15)</f>
        <v>562.5</v>
      </c>
      <c r="Z109" s="71">
        <f t="shared" si="33"/>
        <v>562.5</v>
      </c>
      <c r="AA109" s="108">
        <f>VLOOKUP(J109,Inputs!$D$127:$H$129,5,FALSE)</f>
        <v>0.58499999999999996</v>
      </c>
      <c r="AB109" s="108">
        <f t="shared" si="34"/>
        <v>329.0625</v>
      </c>
      <c r="AC109" s="1"/>
      <c r="AD109" s="29">
        <f t="shared" si="41"/>
        <v>0</v>
      </c>
      <c r="AE109" s="29"/>
      <c r="AF109" s="29"/>
      <c r="AG109" s="29"/>
      <c r="AH109" s="29"/>
    </row>
    <row r="110" spans="1:47" x14ac:dyDescent="0.25">
      <c r="A110" s="1"/>
      <c r="B110" s="69" t="s">
        <v>187</v>
      </c>
      <c r="C110" s="68" t="s">
        <v>186</v>
      </c>
      <c r="D110" s="59" t="s">
        <v>25</v>
      </c>
      <c r="E110" s="59">
        <v>2040</v>
      </c>
      <c r="F110" s="59"/>
      <c r="G110" s="57">
        <v>87500</v>
      </c>
      <c r="H110" s="88" t="s">
        <v>177</v>
      </c>
      <c r="I110" s="50" t="s">
        <v>270</v>
      </c>
      <c r="J110" s="8" t="str">
        <f>VLOOKUP($G110,Inputs!$B$127:$F$129,3,TRUE)</f>
        <v>Packaged VAV, DX</v>
      </c>
      <c r="L110" s="52">
        <f>LOOKUP($D110,Inputs!$B$63:$B$74,Inputs!$G$63:$G$74)</f>
        <v>35.940000000000005</v>
      </c>
      <c r="M110" s="29">
        <f t="shared" si="35"/>
        <v>3144750.0000000005</v>
      </c>
      <c r="N110" s="49">
        <f t="shared" si="36"/>
        <v>2830275.0000000005</v>
      </c>
      <c r="O110" s="29">
        <f t="shared" si="37"/>
        <v>314475.00000000006</v>
      </c>
      <c r="P110" s="29">
        <f t="shared" si="38"/>
        <v>0</v>
      </c>
      <c r="Q110" s="29">
        <f t="shared" si="39"/>
        <v>0</v>
      </c>
      <c r="R110" s="31">
        <f>LOOKUP($D110,Inputs!$B$78:$B$89,Inputs!C$78:C$89)</f>
        <v>0.9</v>
      </c>
      <c r="S110" s="31">
        <f>LOOKUP($D110,Inputs!$B$78:$B$89,Inputs!D$78:D$89)</f>
        <v>0.1</v>
      </c>
      <c r="T110" s="31">
        <f>LOOKUP($D110,Inputs!$B$78:$B$89,Inputs!E$78:E$89)</f>
        <v>0</v>
      </c>
      <c r="U110" s="31">
        <f>LOOKUP($D110,Inputs!$B$78:$B$89,Inputs!F$78:F$89)</f>
        <v>0</v>
      </c>
      <c r="V110" s="13" t="str">
        <f t="shared" si="40"/>
        <v/>
      </c>
      <c r="W110" s="72">
        <f>SUM(N110:O110)*Inputs!$C$22*(1-Inputs!$C$13)/Inputs!$C$15</f>
        <v>2539.3856250000003</v>
      </c>
      <c r="X110" s="15">
        <v>0</v>
      </c>
      <c r="Y110" s="71">
        <f>IF($X110&gt;0,$X110,$G110*LOOKUP($D110,Inputs!$B$63:$B$74,Inputs!$H$63:$H$74)/Inputs!$C$15)</f>
        <v>218.75</v>
      </c>
      <c r="Z110" s="71">
        <f t="shared" si="33"/>
        <v>218.75</v>
      </c>
      <c r="AA110" s="108">
        <f>VLOOKUP(J110,Inputs!$D$127:$H$129,5,FALSE)</f>
        <v>1.2371134020618557</v>
      </c>
      <c r="AB110" s="108">
        <f t="shared" si="34"/>
        <v>270.61855670103091</v>
      </c>
      <c r="AC110" s="1"/>
      <c r="AD110" s="29">
        <f t="shared" si="41"/>
        <v>0</v>
      </c>
      <c r="AE110" s="29"/>
      <c r="AF110" s="29"/>
      <c r="AG110" s="29"/>
      <c r="AH110" s="29"/>
    </row>
    <row r="111" spans="1:47" x14ac:dyDescent="0.25">
      <c r="A111" s="1"/>
      <c r="B111" s="69" t="s">
        <v>195</v>
      </c>
      <c r="C111" s="68" t="s">
        <v>188</v>
      </c>
      <c r="D111" s="60" t="s">
        <v>25</v>
      </c>
      <c r="E111" s="60">
        <v>2028</v>
      </c>
      <c r="F111" s="60"/>
      <c r="G111" s="57">
        <v>90000</v>
      </c>
      <c r="H111" s="88" t="s">
        <v>177</v>
      </c>
      <c r="I111" s="50" t="s">
        <v>270</v>
      </c>
      <c r="J111" s="8" t="str">
        <f>VLOOKUP($G111,Inputs!$B$127:$F$129,3,TRUE)</f>
        <v>Packaged VAV, DX</v>
      </c>
      <c r="L111" s="52">
        <f>LOOKUP($D111,Inputs!$B$63:$B$74,Inputs!$G$63:$G$74)</f>
        <v>35.940000000000005</v>
      </c>
      <c r="M111" s="29">
        <f t="shared" si="35"/>
        <v>3234600.0000000005</v>
      </c>
      <c r="N111" s="49">
        <f t="shared" si="36"/>
        <v>2911140.0000000005</v>
      </c>
      <c r="O111" s="29">
        <f t="shared" si="37"/>
        <v>323460.00000000006</v>
      </c>
      <c r="P111" s="29">
        <f t="shared" si="38"/>
        <v>0</v>
      </c>
      <c r="Q111" s="29">
        <f t="shared" si="39"/>
        <v>0</v>
      </c>
      <c r="R111" s="31">
        <f>LOOKUP($D111,Inputs!$B$78:$B$89,Inputs!C$78:C$89)</f>
        <v>0.9</v>
      </c>
      <c r="S111" s="31">
        <f>LOOKUP($D111,Inputs!$B$78:$B$89,Inputs!D$78:D$89)</f>
        <v>0.1</v>
      </c>
      <c r="T111" s="31">
        <f>LOOKUP($D111,Inputs!$B$78:$B$89,Inputs!E$78:E$89)</f>
        <v>0</v>
      </c>
      <c r="U111" s="31">
        <f>LOOKUP($D111,Inputs!$B$78:$B$89,Inputs!F$78:F$89)</f>
        <v>0</v>
      </c>
      <c r="V111" s="13" t="str">
        <f t="shared" si="40"/>
        <v/>
      </c>
      <c r="W111" s="72">
        <f>SUM(N111:O111)*Inputs!$C$22*(1-Inputs!$C$13)/Inputs!$C$15</f>
        <v>2611.9395000000004</v>
      </c>
      <c r="X111" s="15">
        <v>0</v>
      </c>
      <c r="Y111" s="71">
        <f>IF($X111&gt;0,$X111,$G111*LOOKUP($D111,Inputs!$B$63:$B$74,Inputs!$H$63:$H$74)/Inputs!$C$15)</f>
        <v>225</v>
      </c>
      <c r="Z111" s="71">
        <f t="shared" si="33"/>
        <v>225</v>
      </c>
      <c r="AA111" s="108">
        <f>VLOOKUP(J111,Inputs!$D$127:$H$129,5,FALSE)</f>
        <v>1.2371134020618557</v>
      </c>
      <c r="AB111" s="108">
        <f t="shared" si="34"/>
        <v>278.35051546391753</v>
      </c>
      <c r="AC111" s="1"/>
      <c r="AD111" s="29">
        <f t="shared" si="41"/>
        <v>0</v>
      </c>
      <c r="AE111" s="29"/>
      <c r="AF111" s="29"/>
      <c r="AG111" s="29"/>
      <c r="AH111" s="29"/>
    </row>
    <row r="112" spans="1:47" x14ac:dyDescent="0.25">
      <c r="A112" s="1"/>
      <c r="B112" s="42">
        <v>1785</v>
      </c>
      <c r="C112" s="68" t="s">
        <v>153</v>
      </c>
      <c r="D112" s="60" t="s">
        <v>32</v>
      </c>
      <c r="E112" s="60">
        <v>2025</v>
      </c>
      <c r="F112" s="60"/>
      <c r="G112" s="45">
        <v>1050000</v>
      </c>
      <c r="H112" s="27" t="s">
        <v>175</v>
      </c>
      <c r="I112" s="91" t="s">
        <v>153</v>
      </c>
      <c r="J112" s="8" t="str">
        <f>VLOOKUP($G112,Inputs!$B$127:$F$129,3,TRUE)</f>
        <v>Water-cooled chiller</v>
      </c>
      <c r="L112" s="8">
        <f>LOOKUP($D112,Inputs!$B$63:$B$74,Inputs!$G$63:$G$74)</f>
        <v>14.140000000000002</v>
      </c>
      <c r="M112" s="29">
        <f t="shared" si="35"/>
        <v>14847000.000000002</v>
      </c>
      <c r="N112" s="49">
        <f t="shared" si="36"/>
        <v>7423500.0000000009</v>
      </c>
      <c r="O112" s="29">
        <f t="shared" si="37"/>
        <v>7423500.0000000009</v>
      </c>
      <c r="P112" s="29">
        <f t="shared" si="38"/>
        <v>0</v>
      </c>
      <c r="Q112" s="29">
        <f t="shared" si="39"/>
        <v>0</v>
      </c>
      <c r="R112" s="31">
        <f>LOOKUP($D112,Inputs!$B$78:$B$89,Inputs!C$78:C$89)</f>
        <v>0.5</v>
      </c>
      <c r="S112" s="31">
        <f>LOOKUP($D112,Inputs!$B$78:$B$89,Inputs!D$78:D$89)</f>
        <v>0.5</v>
      </c>
      <c r="T112" s="31">
        <f>LOOKUP($D112,Inputs!$B$78:$B$89,Inputs!E$78:E$89)</f>
        <v>0</v>
      </c>
      <c r="U112" s="31">
        <f>LOOKUP($D112,Inputs!$B$78:$B$89,Inputs!F$78:F$89)</f>
        <v>0</v>
      </c>
      <c r="V112" s="13" t="str">
        <f t="shared" si="40"/>
        <v/>
      </c>
      <c r="W112" s="72">
        <f>SUM(N112:O112)*Inputs!$C$22*(1-Inputs!$C$13)/Inputs!$C$15</f>
        <v>11988.952500000001</v>
      </c>
      <c r="X112" s="15">
        <v>0</v>
      </c>
      <c r="Y112" s="71">
        <f>IF($X112&gt;0,$X112,$G112*LOOKUP($D112,Inputs!$B$63:$B$74,Inputs!$H$63:$H$74)/Inputs!$C$15)</f>
        <v>735</v>
      </c>
      <c r="Z112" s="71">
        <f t="shared" si="33"/>
        <v>735</v>
      </c>
      <c r="AA112" s="108">
        <f>VLOOKUP(J112,Inputs!$D$127:$H$129,5,FALSE)</f>
        <v>0.58499999999999996</v>
      </c>
      <c r="AB112" s="108">
        <f t="shared" si="34"/>
        <v>429.97499999999997</v>
      </c>
      <c r="AC112" s="1"/>
      <c r="AD112" s="29">
        <f t="shared" si="41"/>
        <v>0</v>
      </c>
      <c r="AE112" s="29"/>
      <c r="AF112" s="29"/>
      <c r="AG112" s="29"/>
      <c r="AH112" s="29"/>
    </row>
    <row r="113" spans="1:34" x14ac:dyDescent="0.25">
      <c r="A113" s="1"/>
      <c r="B113" s="42">
        <v>1601</v>
      </c>
      <c r="C113" s="68" t="s">
        <v>193</v>
      </c>
      <c r="D113" s="60" t="s">
        <v>32</v>
      </c>
      <c r="E113" s="60">
        <v>2023</v>
      </c>
      <c r="F113" s="60"/>
      <c r="G113" s="45">
        <v>432000</v>
      </c>
      <c r="H113" s="27" t="s">
        <v>173</v>
      </c>
      <c r="I113" s="91" t="s">
        <v>193</v>
      </c>
      <c r="J113" s="8" t="str">
        <f>VLOOKUP($G113,Inputs!$B$127:$F$129,3,TRUE)</f>
        <v>Water-cooled chiller</v>
      </c>
      <c r="L113" s="8">
        <f>LOOKUP($D113,Inputs!$B$63:$B$74,Inputs!$G$63:$G$74)</f>
        <v>14.140000000000002</v>
      </c>
      <c r="M113" s="29">
        <f t="shared" si="35"/>
        <v>6108480.0000000009</v>
      </c>
      <c r="N113" s="49">
        <f t="shared" si="36"/>
        <v>3054240.0000000005</v>
      </c>
      <c r="O113" s="29">
        <f t="shared" si="37"/>
        <v>3054240.0000000005</v>
      </c>
      <c r="P113" s="29">
        <f t="shared" si="38"/>
        <v>0</v>
      </c>
      <c r="Q113" s="29">
        <f t="shared" si="39"/>
        <v>0</v>
      </c>
      <c r="R113" s="31">
        <f>LOOKUP($D113,Inputs!$B$78:$B$89,Inputs!C$78:C$89)</f>
        <v>0.5</v>
      </c>
      <c r="S113" s="31">
        <f>LOOKUP($D113,Inputs!$B$78:$B$89,Inputs!D$78:D$89)</f>
        <v>0.5</v>
      </c>
      <c r="T113" s="31">
        <f>LOOKUP($D113,Inputs!$B$78:$B$89,Inputs!E$78:E$89)</f>
        <v>0</v>
      </c>
      <c r="U113" s="31">
        <f>LOOKUP($D113,Inputs!$B$78:$B$89,Inputs!F$78:F$89)</f>
        <v>0</v>
      </c>
      <c r="V113" s="13" t="str">
        <f t="shared" si="40"/>
        <v/>
      </c>
      <c r="W113" s="72">
        <f>SUM(N113:O113)*Inputs!$C$22*(1-Inputs!$C$13)/Inputs!$C$15</f>
        <v>4932.597600000001</v>
      </c>
      <c r="X113" s="15">
        <v>0</v>
      </c>
      <c r="Y113" s="71">
        <f>IF($X113&gt;0,$X113,$G113*LOOKUP($D113,Inputs!$B$63:$B$74,Inputs!$H$63:$H$74)/Inputs!$C$15)</f>
        <v>302.39999999999998</v>
      </c>
      <c r="Z113" s="71">
        <f t="shared" si="33"/>
        <v>302.39999999999998</v>
      </c>
      <c r="AA113" s="108">
        <f>VLOOKUP(J113,Inputs!$D$127:$H$129,5,FALSE)</f>
        <v>0.58499999999999996</v>
      </c>
      <c r="AB113" s="108">
        <f t="shared" si="34"/>
        <v>176.90399999999997</v>
      </c>
      <c r="AC113" s="1"/>
      <c r="AD113" s="29">
        <f t="shared" si="41"/>
        <v>0</v>
      </c>
      <c r="AE113" s="29"/>
      <c r="AF113" s="29"/>
      <c r="AG113" s="29"/>
      <c r="AH113" s="29"/>
    </row>
    <row r="114" spans="1:34" x14ac:dyDescent="0.25">
      <c r="A114" s="1"/>
      <c r="B114" s="42" t="s">
        <v>189</v>
      </c>
      <c r="C114" s="68" t="s">
        <v>194</v>
      </c>
      <c r="D114" s="60" t="s">
        <v>24</v>
      </c>
      <c r="E114" s="60">
        <v>2025</v>
      </c>
      <c r="F114" s="60"/>
      <c r="G114" s="45">
        <v>292500</v>
      </c>
      <c r="H114" s="27" t="s">
        <v>175</v>
      </c>
      <c r="I114" s="50" t="s">
        <v>258</v>
      </c>
      <c r="J114" s="8" t="str">
        <f>VLOOKUP($G114,Inputs!$B$127:$F$129,3,TRUE)</f>
        <v>Water-cooled chiller</v>
      </c>
      <c r="L114" s="8">
        <f>LOOKUP($D114,Inputs!$B$63:$B$74,Inputs!$G$63:$G$74)</f>
        <v>41.440000000000005</v>
      </c>
      <c r="M114" s="29">
        <f t="shared" si="35"/>
        <v>12121200.000000002</v>
      </c>
      <c r="N114" s="49">
        <f t="shared" si="36"/>
        <v>9696960.0000000019</v>
      </c>
      <c r="O114" s="29">
        <f t="shared" si="37"/>
        <v>2424240.0000000005</v>
      </c>
      <c r="P114" s="29">
        <f t="shared" si="38"/>
        <v>0</v>
      </c>
      <c r="Q114" s="29">
        <f t="shared" si="39"/>
        <v>0</v>
      </c>
      <c r="R114" s="31">
        <f>LOOKUP($D114,Inputs!$B$78:$B$89,Inputs!C$78:C$89)</f>
        <v>0.8</v>
      </c>
      <c r="S114" s="31">
        <f>LOOKUP($D114,Inputs!$B$78:$B$89,Inputs!D$78:D$89)</f>
        <v>0.2</v>
      </c>
      <c r="T114" s="31">
        <f>LOOKUP($D114,Inputs!$B$78:$B$89,Inputs!E$78:E$89)</f>
        <v>0</v>
      </c>
      <c r="U114" s="31">
        <f>LOOKUP($D114,Inputs!$B$78:$B$89,Inputs!F$78:F$89)</f>
        <v>0</v>
      </c>
      <c r="V114" s="13" t="str">
        <f t="shared" si="40"/>
        <v/>
      </c>
      <c r="W114" s="72">
        <f>SUM(N114:O114)*Inputs!$C$22*(1-Inputs!$C$13)/Inputs!$C$15</f>
        <v>9787.8690000000024</v>
      </c>
      <c r="X114" s="15">
        <v>0</v>
      </c>
      <c r="Y114" s="71">
        <f>IF($X114&gt;0,$X114,$G114*LOOKUP($D114,Inputs!$B$63:$B$74,Inputs!$H$63:$H$74)/Inputs!$C$15)</f>
        <v>731.25</v>
      </c>
      <c r="Z114" s="71">
        <f t="shared" si="33"/>
        <v>731.25</v>
      </c>
      <c r="AA114" s="108">
        <f>VLOOKUP(J114,Inputs!$D$127:$H$129,5,FALSE)</f>
        <v>0.58499999999999996</v>
      </c>
      <c r="AB114" s="108">
        <f t="shared" si="34"/>
        <v>427.78125</v>
      </c>
      <c r="AC114" s="1"/>
      <c r="AD114" s="29">
        <f t="shared" si="41"/>
        <v>0</v>
      </c>
      <c r="AE114" s="29"/>
      <c r="AF114" s="29"/>
      <c r="AG114" s="29"/>
      <c r="AH114" s="29"/>
    </row>
    <row r="115" spans="1:34" x14ac:dyDescent="0.25">
      <c r="J115" s="1"/>
      <c r="W115" s="1"/>
      <c r="Z115" s="51"/>
      <c r="AA115" s="51"/>
      <c r="AB115" s="51"/>
    </row>
    <row r="116" spans="1:34" s="1" customFormat="1" x14ac:dyDescent="0.25">
      <c r="B116" s="87" t="s">
        <v>233</v>
      </c>
      <c r="Y116" s="51"/>
      <c r="Z116" s="51"/>
      <c r="AA116" s="51"/>
      <c r="AB116" s="51"/>
    </row>
    <row r="117" spans="1:34" x14ac:dyDescent="0.25">
      <c r="A117" s="1"/>
      <c r="B117" s="42">
        <v>1526</v>
      </c>
      <c r="C117" s="84" t="s">
        <v>234</v>
      </c>
      <c r="D117" s="83" t="s">
        <v>32</v>
      </c>
      <c r="E117" s="84">
        <v>2023</v>
      </c>
      <c r="F117" s="84"/>
      <c r="G117" s="45">
        <v>252000</v>
      </c>
      <c r="H117" s="94"/>
      <c r="I117" s="84"/>
      <c r="J117" s="8" t="str">
        <f>VLOOKUP($G117,Inputs!$B$127:$F$129,3,TRUE)</f>
        <v>Water-cooled chiller</v>
      </c>
      <c r="L117" s="52">
        <f>LOOKUP($D117,Inputs!$B$63:$B$74,Inputs!$G$63:$G$74)</f>
        <v>14.140000000000002</v>
      </c>
      <c r="M117" s="29">
        <f t="shared" ref="M117:M134" si="42">L117*G117</f>
        <v>3563280.0000000005</v>
      </c>
      <c r="N117" s="49">
        <f t="shared" ref="N117:N122" si="43">$M117*R117</f>
        <v>1781640.0000000002</v>
      </c>
      <c r="O117" s="29">
        <f t="shared" ref="O117:O122" si="44">$M117*S117</f>
        <v>1781640.0000000002</v>
      </c>
      <c r="P117" s="29">
        <f t="shared" ref="P117:P122" si="45">$M117*T117</f>
        <v>0</v>
      </c>
      <c r="Q117" s="29">
        <f t="shared" ref="Q117:Q122" si="46">$M117*U117</f>
        <v>0</v>
      </c>
      <c r="R117" s="31">
        <f>LOOKUP($D117,Inputs!$B$78:$B$89,Inputs!C$78:C$89)</f>
        <v>0.5</v>
      </c>
      <c r="S117" s="31">
        <f>LOOKUP($D117,Inputs!$B$78:$B$89,Inputs!D$78:D$89)</f>
        <v>0.5</v>
      </c>
      <c r="T117" s="31">
        <f>LOOKUP($D117,Inputs!$B$78:$B$89,Inputs!E$78:E$89)</f>
        <v>0</v>
      </c>
      <c r="U117" s="31">
        <f>LOOKUP($D117,Inputs!$B$78:$B$89,Inputs!F$78:F$89)</f>
        <v>0</v>
      </c>
      <c r="V117" s="13" t="str">
        <f t="shared" ref="V117:V122" si="47">IF(SUM(R117:U117)=100%,"","FLAG")</f>
        <v/>
      </c>
      <c r="W117" s="72">
        <f>SUM(N117:O117)*Inputs!$C$22*(1-Inputs!$C$13)/Inputs!$C$15</f>
        <v>2877.3486000000003</v>
      </c>
      <c r="X117" s="15">
        <v>0</v>
      </c>
      <c r="Y117" s="71">
        <f>IF($X117&gt;0,$X117,$G117*LOOKUP($D117,Inputs!$B$63:$B$74,Inputs!$H$63:$H$74)/Inputs!$C$15)</f>
        <v>176.4</v>
      </c>
      <c r="Z117" s="71">
        <f t="shared" si="33"/>
        <v>176.4</v>
      </c>
      <c r="AA117" s="108">
        <f>VLOOKUP(J117,Inputs!$D$127:$H$129,5,FALSE)</f>
        <v>0.58499999999999996</v>
      </c>
      <c r="AB117" s="108">
        <f t="shared" si="34"/>
        <v>103.194</v>
      </c>
      <c r="AC117" s="1"/>
      <c r="AD117" s="29">
        <f t="shared" ref="AD117:AD122" si="48">AC117*U117</f>
        <v>0</v>
      </c>
      <c r="AE117" s="29"/>
      <c r="AF117" s="29"/>
      <c r="AG117" s="29"/>
      <c r="AH117" s="29"/>
    </row>
    <row r="118" spans="1:34" x14ac:dyDescent="0.25">
      <c r="A118" s="1"/>
      <c r="B118" s="42">
        <v>1037</v>
      </c>
      <c r="C118" s="84" t="s">
        <v>235</v>
      </c>
      <c r="D118" s="84" t="s">
        <v>21</v>
      </c>
      <c r="E118" s="83">
        <v>2018</v>
      </c>
      <c r="F118" s="84"/>
      <c r="G118" s="45">
        <v>260000</v>
      </c>
      <c r="H118" s="84"/>
      <c r="I118" s="84"/>
      <c r="J118" s="8" t="str">
        <f>VLOOKUP($G118,Inputs!$B$127:$F$129,3,TRUE)</f>
        <v>Water-cooled chiller</v>
      </c>
      <c r="L118" s="52">
        <f>LOOKUP($D118,Inputs!$B$63:$B$74,Inputs!$G$63:$G$74)</f>
        <v>10.1</v>
      </c>
      <c r="M118" s="29">
        <f t="shared" si="42"/>
        <v>2626000</v>
      </c>
      <c r="N118" s="49">
        <f t="shared" si="43"/>
        <v>2363400</v>
      </c>
      <c r="O118" s="29">
        <f t="shared" si="44"/>
        <v>262600</v>
      </c>
      <c r="P118" s="29">
        <f t="shared" si="45"/>
        <v>0</v>
      </c>
      <c r="Q118" s="29">
        <f t="shared" si="46"/>
        <v>0</v>
      </c>
      <c r="R118" s="31">
        <f>LOOKUP($D118,Inputs!$B$78:$B$89,Inputs!C$78:C$89)</f>
        <v>0.9</v>
      </c>
      <c r="S118" s="31">
        <f>LOOKUP($D118,Inputs!$B$78:$B$89,Inputs!D$78:D$89)</f>
        <v>0.1</v>
      </c>
      <c r="T118" s="31">
        <f>LOOKUP($D118,Inputs!$B$78:$B$89,Inputs!E$78:E$89)</f>
        <v>0</v>
      </c>
      <c r="U118" s="31">
        <f>LOOKUP($D118,Inputs!$B$78:$B$89,Inputs!F$78:F$89)</f>
        <v>0</v>
      </c>
      <c r="V118" s="13" t="str">
        <f t="shared" si="47"/>
        <v/>
      </c>
      <c r="W118" s="72">
        <f>SUM(N118:O118)*Inputs!$C$22*(1-Inputs!$C$13)/Inputs!$C$15</f>
        <v>2120.4949999999999</v>
      </c>
      <c r="X118" s="15">
        <v>0</v>
      </c>
      <c r="Y118" s="71">
        <f>IF($X118&gt;0,$X118,$G118*LOOKUP($D118,Inputs!$B$63:$B$74,Inputs!$H$63:$H$74)/Inputs!$C$15)</f>
        <v>260</v>
      </c>
      <c r="Z118" s="71">
        <f t="shared" si="33"/>
        <v>260</v>
      </c>
      <c r="AA118" s="108">
        <f>VLOOKUP(J118,Inputs!$D$127:$H$129,5,FALSE)</f>
        <v>0.58499999999999996</v>
      </c>
      <c r="AB118" s="108">
        <f t="shared" si="34"/>
        <v>152.1</v>
      </c>
      <c r="AC118" s="1"/>
      <c r="AD118" s="29">
        <f t="shared" si="48"/>
        <v>0</v>
      </c>
      <c r="AE118" s="29"/>
      <c r="AF118" s="29"/>
      <c r="AG118" s="29"/>
      <c r="AH118" s="29"/>
    </row>
    <row r="119" spans="1:34" x14ac:dyDescent="0.25">
      <c r="A119" s="1"/>
      <c r="B119" s="42" t="s">
        <v>250</v>
      </c>
      <c r="C119" s="84" t="s">
        <v>247</v>
      </c>
      <c r="D119" s="84" t="s">
        <v>31</v>
      </c>
      <c r="E119" s="83"/>
      <c r="F119" s="84"/>
      <c r="G119" s="45">
        <v>28629</v>
      </c>
      <c r="H119" s="84"/>
      <c r="I119" s="84"/>
      <c r="J119" s="8" t="str">
        <f>VLOOKUP($G119,Inputs!$B$127:$F$129,3,TRUE)</f>
        <v>Packaged VAV, DX</v>
      </c>
      <c r="L119" s="52">
        <f>LOOKUP($D119,Inputs!$B$63:$B$74,Inputs!$G$63:$G$74)</f>
        <v>35.940000000000005</v>
      </c>
      <c r="M119" s="29">
        <f t="shared" si="42"/>
        <v>1028926.2600000001</v>
      </c>
      <c r="N119" s="49">
        <f t="shared" si="43"/>
        <v>823141.00800000015</v>
      </c>
      <c r="O119" s="29">
        <f t="shared" si="44"/>
        <v>205785.25200000004</v>
      </c>
      <c r="P119" s="29">
        <f t="shared" si="45"/>
        <v>0</v>
      </c>
      <c r="Q119" s="29">
        <f t="shared" si="46"/>
        <v>0</v>
      </c>
      <c r="R119" s="31">
        <f>LOOKUP($D119,Inputs!$B$78:$B$89,Inputs!C$78:C$89)</f>
        <v>0.8</v>
      </c>
      <c r="S119" s="31">
        <f>LOOKUP($D119,Inputs!$B$78:$B$89,Inputs!D$78:D$89)</f>
        <v>0.2</v>
      </c>
      <c r="T119" s="31">
        <f>LOOKUP($D119,Inputs!$B$78:$B$89,Inputs!E$78:E$89)</f>
        <v>0</v>
      </c>
      <c r="U119" s="31">
        <f>LOOKUP($D119,Inputs!$B$78:$B$89,Inputs!F$78:F$89)</f>
        <v>0</v>
      </c>
      <c r="V119" s="13" t="str">
        <f t="shared" si="47"/>
        <v/>
      </c>
      <c r="W119" s="72">
        <f>SUM(N119:O119)*Inputs!$C$22*(1-Inputs!$C$13)/Inputs!$C$15</f>
        <v>830.85795495000013</v>
      </c>
      <c r="X119" s="15">
        <v>0</v>
      </c>
      <c r="Y119" s="71">
        <f>IF($X119&gt;0,$X119,$G119*LOOKUP($D119,Inputs!$B$63:$B$74,Inputs!$H$63:$H$74)/Inputs!$C$15)</f>
        <v>71.572500000000005</v>
      </c>
      <c r="Z119" s="71">
        <f t="shared" si="33"/>
        <v>71.572500000000005</v>
      </c>
      <c r="AA119" s="108">
        <f>VLOOKUP(J119,Inputs!$D$127:$H$129,5,FALSE)</f>
        <v>1.2371134020618557</v>
      </c>
      <c r="AB119" s="108">
        <f t="shared" si="34"/>
        <v>88.543298969072168</v>
      </c>
      <c r="AC119" s="1"/>
      <c r="AD119" s="29">
        <f t="shared" si="48"/>
        <v>0</v>
      </c>
      <c r="AE119" s="29"/>
      <c r="AF119" s="29"/>
      <c r="AG119" s="29"/>
      <c r="AH119" s="29"/>
    </row>
    <row r="120" spans="1:34" x14ac:dyDescent="0.25">
      <c r="A120" s="1"/>
      <c r="B120" s="42">
        <v>1813</v>
      </c>
      <c r="C120" s="84" t="s">
        <v>248</v>
      </c>
      <c r="D120" s="84" t="s">
        <v>31</v>
      </c>
      <c r="E120" s="84"/>
      <c r="F120" s="84"/>
      <c r="G120" s="45">
        <v>24392</v>
      </c>
      <c r="H120" s="84"/>
      <c r="I120" s="84"/>
      <c r="J120" s="8" t="str">
        <f>VLOOKUP($G120,Inputs!$B$127:$F$129,3,TRUE)</f>
        <v>Packaged VAV, DX</v>
      </c>
      <c r="L120" s="52">
        <f>LOOKUP($D120,Inputs!$B$63:$B$74,Inputs!$G$63:$G$74)</f>
        <v>35.940000000000005</v>
      </c>
      <c r="M120" s="29">
        <f t="shared" si="42"/>
        <v>876648.4800000001</v>
      </c>
      <c r="N120" s="49">
        <f t="shared" si="43"/>
        <v>701318.7840000001</v>
      </c>
      <c r="O120" s="29">
        <f t="shared" si="44"/>
        <v>175329.69600000003</v>
      </c>
      <c r="P120" s="29">
        <f t="shared" si="45"/>
        <v>0</v>
      </c>
      <c r="Q120" s="29">
        <f t="shared" si="46"/>
        <v>0</v>
      </c>
      <c r="R120" s="31">
        <f>LOOKUP($D120,Inputs!$B$78:$B$89,Inputs!C$78:C$89)*(1-$U120)</f>
        <v>0.8</v>
      </c>
      <c r="S120" s="31">
        <f>LOOKUP($D120,Inputs!$B$78:$B$89,Inputs!D$78:D$89)*(1-$U120)</f>
        <v>0.2</v>
      </c>
      <c r="T120" s="31">
        <f>LOOKUP($D120,Inputs!$B$78:$B$89,Inputs!E$78:E$89)*(1-$U120)</f>
        <v>0</v>
      </c>
      <c r="U120" s="31">
        <f>LOOKUP($D120,Inputs!$B$78:$B$89,Inputs!F$78:F$89)</f>
        <v>0</v>
      </c>
      <c r="V120" s="13" t="str">
        <f t="shared" si="47"/>
        <v/>
      </c>
      <c r="W120" s="72">
        <f>SUM(N120:O120)*Inputs!$C$22*(1-Inputs!$C$13)/Inputs!$C$15</f>
        <v>707.89364760000001</v>
      </c>
      <c r="X120" s="15">
        <v>0</v>
      </c>
      <c r="Y120" s="71">
        <f>IF($X120&gt;0,$X120,$G120*LOOKUP($D120,Inputs!$B$63:$B$74,Inputs!$H$63:$H$74)/Inputs!$C$15)</f>
        <v>60.98</v>
      </c>
      <c r="Z120" s="71">
        <f t="shared" si="33"/>
        <v>60.98</v>
      </c>
      <c r="AA120" s="108">
        <f>VLOOKUP(J120,Inputs!$D$127:$H$129,5,FALSE)</f>
        <v>1.2371134020618557</v>
      </c>
      <c r="AB120" s="108">
        <f t="shared" si="34"/>
        <v>75.439175257731961</v>
      </c>
      <c r="AC120" s="1"/>
      <c r="AD120" s="29">
        <f t="shared" si="48"/>
        <v>0</v>
      </c>
      <c r="AE120" s="29"/>
      <c r="AF120" s="29"/>
      <c r="AG120" s="29"/>
      <c r="AH120" s="29"/>
    </row>
    <row r="121" spans="1:34" x14ac:dyDescent="0.25">
      <c r="A121" s="1"/>
      <c r="B121" s="69" t="s">
        <v>195</v>
      </c>
      <c r="C121" s="84" t="s">
        <v>236</v>
      </c>
      <c r="D121" s="83" t="s">
        <v>26</v>
      </c>
      <c r="E121" s="83"/>
      <c r="F121" s="83"/>
      <c r="G121" s="45"/>
      <c r="H121" s="84"/>
      <c r="I121" s="84"/>
      <c r="J121" s="8" t="str">
        <f>VLOOKUP($G121,Inputs!$B$127:$F$129,3,TRUE)</f>
        <v>Packaged Single Zone, DX</v>
      </c>
      <c r="L121" s="52">
        <f>LOOKUP($D121,Inputs!$B$63:$B$74,Inputs!$G$63:$G$74)</f>
        <v>10.1</v>
      </c>
      <c r="M121" s="29">
        <f t="shared" si="42"/>
        <v>0</v>
      </c>
      <c r="N121" s="49">
        <f t="shared" si="43"/>
        <v>0</v>
      </c>
      <c r="O121" s="29">
        <f t="shared" si="44"/>
        <v>0</v>
      </c>
      <c r="P121" s="29">
        <f t="shared" si="45"/>
        <v>0</v>
      </c>
      <c r="Q121" s="29">
        <f t="shared" si="46"/>
        <v>0</v>
      </c>
      <c r="R121" s="31">
        <f>LOOKUP($D121,Inputs!$B$78:$B$89,Inputs!C$78:C$89)*(1-$U121)</f>
        <v>0.9</v>
      </c>
      <c r="S121" s="31">
        <f>LOOKUP($D121,Inputs!$B$78:$B$89,Inputs!D$78:D$89)*(1-$U121)</f>
        <v>0.1</v>
      </c>
      <c r="T121" s="31">
        <f>LOOKUP($D121,Inputs!$B$78:$B$89,Inputs!E$78:E$89)*(1-$U121)</f>
        <v>0</v>
      </c>
      <c r="U121" s="31">
        <f>LOOKUP($D121,Inputs!$B$78:$B$89,Inputs!F$78:F$89)</f>
        <v>0</v>
      </c>
      <c r="V121" s="13" t="str">
        <f t="shared" si="47"/>
        <v/>
      </c>
      <c r="W121" s="72">
        <f>SUM(N121:O121)*Inputs!$C$22*(1-Inputs!$C$13)/Inputs!$C$15</f>
        <v>0</v>
      </c>
      <c r="X121" s="15">
        <v>0</v>
      </c>
      <c r="Y121" s="71">
        <f>IF($X121&gt;0,$X121,$G121*LOOKUP($D121,Inputs!$B$63:$B$74,Inputs!$H$63:$H$74)/Inputs!$C$15)</f>
        <v>0</v>
      </c>
      <c r="Z121" s="71">
        <f t="shared" si="33"/>
        <v>0</v>
      </c>
      <c r="AA121" s="108">
        <f>VLOOKUP(J121,Inputs!$D$127:$H$129,5,FALSE)</f>
        <v>1.2</v>
      </c>
      <c r="AB121" s="108">
        <f t="shared" si="34"/>
        <v>0</v>
      </c>
      <c r="AC121" s="1"/>
      <c r="AD121" s="29">
        <f t="shared" si="48"/>
        <v>0</v>
      </c>
      <c r="AE121" s="29"/>
      <c r="AF121" s="29"/>
      <c r="AG121" s="29"/>
      <c r="AH121" s="29"/>
    </row>
    <row r="122" spans="1:34" x14ac:dyDescent="0.25">
      <c r="A122" s="1"/>
      <c r="B122" s="42">
        <v>1781</v>
      </c>
      <c r="C122" s="84" t="s">
        <v>237</v>
      </c>
      <c r="D122" s="84" t="s">
        <v>24</v>
      </c>
      <c r="E122" s="84">
        <v>1959</v>
      </c>
      <c r="F122" s="84"/>
      <c r="G122" s="45">
        <v>3964</v>
      </c>
      <c r="H122" s="27"/>
      <c r="I122" s="84"/>
      <c r="J122" s="8" t="str">
        <f>VLOOKUP($G122,Inputs!$B$127:$F$129,3,TRUE)</f>
        <v>Packaged Single Zone, DX</v>
      </c>
      <c r="L122" s="52">
        <f>LOOKUP($D122,Inputs!$B$63:$B$74,Inputs!$G$63:$G$74)</f>
        <v>41.440000000000005</v>
      </c>
      <c r="M122" s="29">
        <f t="shared" si="42"/>
        <v>164268.16000000003</v>
      </c>
      <c r="N122" s="49">
        <f t="shared" si="43"/>
        <v>131414.52800000002</v>
      </c>
      <c r="O122" s="29">
        <f t="shared" si="44"/>
        <v>32853.632000000005</v>
      </c>
      <c r="P122" s="29">
        <f t="shared" si="45"/>
        <v>0</v>
      </c>
      <c r="Q122" s="29">
        <f t="shared" si="46"/>
        <v>0</v>
      </c>
      <c r="R122" s="31">
        <f>LOOKUP($D122,Inputs!$B$78:$B$89,Inputs!C$78:C$89)*(1-$U122)</f>
        <v>0.8</v>
      </c>
      <c r="S122" s="31">
        <f>LOOKUP($D122,Inputs!$B$78:$B$89,Inputs!D$78:D$89)*(1-$U122)</f>
        <v>0.2</v>
      </c>
      <c r="T122" s="31">
        <f>LOOKUP($D122,Inputs!$B$78:$B$89,Inputs!E$78:E$89)*(1-$U122)</f>
        <v>0</v>
      </c>
      <c r="U122" s="31">
        <f>LOOKUP($D122,Inputs!$B$78:$B$89,Inputs!F$78:F$89)</f>
        <v>0</v>
      </c>
      <c r="V122" s="13" t="str">
        <f t="shared" si="47"/>
        <v/>
      </c>
      <c r="W122" s="72">
        <f>SUM(N122:O122)*Inputs!$C$22*(1-Inputs!$C$13)/Inputs!$C$15</f>
        <v>132.64653920000003</v>
      </c>
      <c r="X122" s="15">
        <v>0</v>
      </c>
      <c r="Y122" s="71">
        <f>IF($X122&gt;0,$X122,$G122*LOOKUP($D122,Inputs!$B$63:$B$74,Inputs!$H$63:$H$74)/Inputs!$C$15)</f>
        <v>9.91</v>
      </c>
      <c r="Z122" s="71">
        <f t="shared" si="33"/>
        <v>9.91</v>
      </c>
      <c r="AA122" s="108">
        <f>VLOOKUP(J122,Inputs!$D$127:$H$129,5,FALSE)</f>
        <v>1.2</v>
      </c>
      <c r="AB122" s="108">
        <f t="shared" si="34"/>
        <v>11.891999999999999</v>
      </c>
      <c r="AC122" s="1"/>
      <c r="AD122" s="29">
        <f t="shared" si="48"/>
        <v>0</v>
      </c>
      <c r="AE122" s="29"/>
      <c r="AF122" s="29"/>
      <c r="AG122" s="29"/>
      <c r="AH122" s="29"/>
    </row>
    <row r="123" spans="1:34" x14ac:dyDescent="0.25">
      <c r="A123" s="1"/>
      <c r="B123" s="42">
        <v>1437</v>
      </c>
      <c r="C123" s="84" t="s">
        <v>238</v>
      </c>
      <c r="D123" s="84" t="s">
        <v>22</v>
      </c>
      <c r="E123" s="84">
        <v>1928</v>
      </c>
      <c r="F123" s="84">
        <v>2030</v>
      </c>
      <c r="G123" s="45">
        <v>7600</v>
      </c>
      <c r="H123" s="84"/>
      <c r="I123" s="84"/>
      <c r="J123" s="8" t="str">
        <f>VLOOKUP($G123,Inputs!$B$127:$F$129,3,TRUE)</f>
        <v>Packaged Single Zone, DX</v>
      </c>
      <c r="L123" s="52">
        <f>LOOKUP($D123,Inputs!$B$63:$B$74,Inputs!$G$63:$G$74)</f>
        <v>10.1</v>
      </c>
      <c r="M123" s="29">
        <f t="shared" si="42"/>
        <v>76760</v>
      </c>
      <c r="N123" s="49">
        <f t="shared" ref="N123:N134" si="49">$M123*R123</f>
        <v>46056</v>
      </c>
      <c r="O123" s="29">
        <f t="shared" ref="O123:O134" si="50">$M123*S123</f>
        <v>30704</v>
      </c>
      <c r="P123" s="29">
        <f t="shared" ref="P123:P134" si="51">$M123*T123</f>
        <v>0</v>
      </c>
      <c r="Q123" s="29">
        <f t="shared" ref="Q123:Q134" si="52">$M123*U123</f>
        <v>0</v>
      </c>
      <c r="R123" s="31">
        <f>LOOKUP($D123,Inputs!$B$78:$B$89,Inputs!C$78:C$89)</f>
        <v>0.6</v>
      </c>
      <c r="S123" s="31">
        <f>LOOKUP($D123,Inputs!$B$78:$B$89,Inputs!D$78:D$89)</f>
        <v>0.4</v>
      </c>
      <c r="T123" s="31">
        <f>LOOKUP($D123,Inputs!$B$78:$B$89,Inputs!E$78:E$89)</f>
        <v>0</v>
      </c>
      <c r="U123" s="31">
        <f>LOOKUP($D123,Inputs!$B$78:$B$89,Inputs!F$78:F$89)</f>
        <v>0</v>
      </c>
      <c r="V123" s="13" t="str">
        <f t="shared" ref="V123:V134" si="53">IF(SUM(R123:U123)=100%,"","FLAG")</f>
        <v/>
      </c>
      <c r="W123" s="72">
        <f>SUM(N123:O123)*Inputs!$C$22*(1-Inputs!$C$13)/Inputs!$C$15</f>
        <v>61.983699999999999</v>
      </c>
      <c r="X123" s="15">
        <v>0</v>
      </c>
      <c r="Y123" s="71">
        <f>IF($X123&gt;0,$X123,$G123*LOOKUP($D123,Inputs!$B$63:$B$74,Inputs!$H$63:$H$74)/Inputs!$C$15)</f>
        <v>7.6</v>
      </c>
      <c r="Z123" s="71">
        <f t="shared" si="33"/>
        <v>7.6</v>
      </c>
      <c r="AA123" s="108">
        <f>VLOOKUP(J123,Inputs!$D$127:$H$129,5,FALSE)</f>
        <v>1.2</v>
      </c>
      <c r="AB123" s="108">
        <f t="shared" si="34"/>
        <v>9.1199999999999992</v>
      </c>
      <c r="AC123" s="1"/>
      <c r="AD123" s="29"/>
      <c r="AE123" s="29"/>
      <c r="AF123" s="29"/>
      <c r="AG123" s="29"/>
      <c r="AH123" s="29"/>
    </row>
    <row r="124" spans="1:34" x14ac:dyDescent="0.25">
      <c r="A124" s="1"/>
      <c r="B124" s="42" t="s">
        <v>195</v>
      </c>
      <c r="C124" s="84" t="s">
        <v>239</v>
      </c>
      <c r="D124" s="84" t="s">
        <v>32</v>
      </c>
      <c r="E124" s="84"/>
      <c r="F124" s="84"/>
      <c r="G124" s="45"/>
      <c r="H124" s="84"/>
      <c r="I124" s="84"/>
      <c r="J124" s="8" t="str">
        <f>VLOOKUP($G124,Inputs!$B$127:$F$129,3,TRUE)</f>
        <v>Packaged Single Zone, DX</v>
      </c>
      <c r="L124" s="52">
        <f>LOOKUP($D124,Inputs!$B$63:$B$74,Inputs!$G$63:$G$74)</f>
        <v>14.140000000000002</v>
      </c>
      <c r="M124" s="29">
        <f t="shared" si="42"/>
        <v>0</v>
      </c>
      <c r="N124" s="49">
        <f t="shared" si="49"/>
        <v>0</v>
      </c>
      <c r="O124" s="29">
        <f t="shared" si="50"/>
        <v>0</v>
      </c>
      <c r="P124" s="29">
        <f t="shared" si="51"/>
        <v>0</v>
      </c>
      <c r="Q124" s="29">
        <f t="shared" si="52"/>
        <v>0</v>
      </c>
      <c r="R124" s="31">
        <f>LOOKUP($D124,Inputs!$B$78:$B$89,Inputs!C$78:C$89)</f>
        <v>0.5</v>
      </c>
      <c r="S124" s="31">
        <f>LOOKUP($D124,Inputs!$B$78:$B$89,Inputs!D$78:D$89)</f>
        <v>0.5</v>
      </c>
      <c r="T124" s="31">
        <f>LOOKUP($D124,Inputs!$B$78:$B$89,Inputs!E$78:E$89)</f>
        <v>0</v>
      </c>
      <c r="U124" s="31">
        <f>LOOKUP($D124,Inputs!$B$78:$B$89,Inputs!F$78:F$89)</f>
        <v>0</v>
      </c>
      <c r="V124" s="13" t="str">
        <f t="shared" si="53"/>
        <v/>
      </c>
      <c r="W124" s="72">
        <f>SUM(N124:O124)*Inputs!$C$22*(1-Inputs!$C$13)/Inputs!$C$15</f>
        <v>0</v>
      </c>
      <c r="X124" s="15">
        <v>0</v>
      </c>
      <c r="Y124" s="71">
        <f>IF($X124&gt;0,$X124,$G124*LOOKUP($D124,Inputs!$B$63:$B$74,Inputs!$H$63:$H$74)/Inputs!$C$15)</f>
        <v>0</v>
      </c>
      <c r="Z124" s="71">
        <f t="shared" si="33"/>
        <v>0</v>
      </c>
      <c r="AA124" s="108">
        <f>VLOOKUP(J124,Inputs!$D$127:$H$129,5,FALSE)</f>
        <v>1.2</v>
      </c>
      <c r="AB124" s="108">
        <f t="shared" si="34"/>
        <v>0</v>
      </c>
      <c r="AC124" s="1"/>
      <c r="AD124" s="29"/>
      <c r="AE124" s="29"/>
      <c r="AF124" s="29"/>
      <c r="AG124" s="29"/>
      <c r="AH124" s="29"/>
    </row>
    <row r="125" spans="1:34" x14ac:dyDescent="0.25">
      <c r="A125" s="1"/>
      <c r="B125" s="42">
        <v>1017</v>
      </c>
      <c r="C125" s="84" t="s">
        <v>240</v>
      </c>
      <c r="D125" s="84" t="s">
        <v>178</v>
      </c>
      <c r="E125" s="84">
        <v>2015</v>
      </c>
      <c r="F125" s="84"/>
      <c r="G125" s="45">
        <v>82670</v>
      </c>
      <c r="H125" s="84"/>
      <c r="I125" s="84"/>
      <c r="J125" s="8" t="str">
        <f>VLOOKUP($G125,Inputs!$B$127:$F$129,3,TRUE)</f>
        <v>Packaged VAV, DX</v>
      </c>
      <c r="L125" s="52">
        <f>LOOKUP($D125,Inputs!$B$63:$B$74,Inputs!$G$63:$G$74)</f>
        <v>18.713333333333338</v>
      </c>
      <c r="M125" s="29">
        <f t="shared" si="42"/>
        <v>1547031.2666666671</v>
      </c>
      <c r="N125" s="49">
        <f t="shared" si="49"/>
        <v>1340760.4311111115</v>
      </c>
      <c r="O125" s="29">
        <f t="shared" si="50"/>
        <v>206270.83555555562</v>
      </c>
      <c r="P125" s="29">
        <f t="shared" si="51"/>
        <v>0</v>
      </c>
      <c r="Q125" s="29">
        <f t="shared" si="52"/>
        <v>0</v>
      </c>
      <c r="R125" s="31">
        <f>LOOKUP($D125,Inputs!$B$78:$B$89,Inputs!C$78:C$89)</f>
        <v>0.8666666666666667</v>
      </c>
      <c r="S125" s="31">
        <f>LOOKUP($D125,Inputs!$B$78:$B$89,Inputs!D$78:D$89)</f>
        <v>0.13333333333333333</v>
      </c>
      <c r="T125" s="31">
        <f>LOOKUP($D125,Inputs!$B$78:$B$89,Inputs!E$78:E$89)</f>
        <v>0</v>
      </c>
      <c r="U125" s="31">
        <f>LOOKUP($D125,Inputs!$B$78:$B$89,Inputs!F$78:F$89)</f>
        <v>0</v>
      </c>
      <c r="V125" s="13" t="str">
        <f t="shared" si="53"/>
        <v/>
      </c>
      <c r="W125" s="72">
        <f>SUM(N125:O125)*Inputs!$C$22*(1-Inputs!$C$13)/Inputs!$C$15</f>
        <v>1249.2277478333335</v>
      </c>
      <c r="X125" s="15">
        <v>0</v>
      </c>
      <c r="Y125" s="71">
        <f>IF($X125&gt;0,$X125,$G125*LOOKUP($D125,Inputs!$B$63:$B$74,Inputs!$H$63:$H$74)/Inputs!$C$15)</f>
        <v>124.005</v>
      </c>
      <c r="Z125" s="71">
        <f t="shared" si="33"/>
        <v>124.005</v>
      </c>
      <c r="AA125" s="108">
        <f>VLOOKUP(J125,Inputs!$D$127:$H$129,5,FALSE)</f>
        <v>1.2371134020618557</v>
      </c>
      <c r="AB125" s="108">
        <f t="shared" si="34"/>
        <v>153.4082474226804</v>
      </c>
      <c r="AC125" s="1"/>
      <c r="AD125" s="29"/>
      <c r="AE125" s="29"/>
      <c r="AF125" s="29"/>
      <c r="AG125" s="29"/>
      <c r="AH125" s="29"/>
    </row>
    <row r="126" spans="1:34" x14ac:dyDescent="0.25">
      <c r="A126" s="1"/>
      <c r="B126" s="42">
        <v>2010</v>
      </c>
      <c r="C126" s="84" t="s">
        <v>241</v>
      </c>
      <c r="D126" s="84" t="s">
        <v>32</v>
      </c>
      <c r="E126" s="84">
        <v>1952</v>
      </c>
      <c r="F126" s="86">
        <v>2030</v>
      </c>
      <c r="G126" s="45">
        <v>29861</v>
      </c>
      <c r="H126" s="84"/>
      <c r="I126" s="84"/>
      <c r="J126" s="8" t="str">
        <f>VLOOKUP($G126,Inputs!$B$127:$F$129,3,TRUE)</f>
        <v>Packaged VAV, DX</v>
      </c>
      <c r="L126" s="52">
        <f>LOOKUP($D126,Inputs!$B$63:$B$74,Inputs!$G$63:$G$74)</f>
        <v>14.140000000000002</v>
      </c>
      <c r="M126" s="29">
        <f t="shared" si="42"/>
        <v>422234.5400000001</v>
      </c>
      <c r="N126" s="49">
        <f t="shared" si="49"/>
        <v>211117.27000000005</v>
      </c>
      <c r="O126" s="29">
        <f t="shared" si="50"/>
        <v>211117.27000000005</v>
      </c>
      <c r="P126" s="29">
        <f t="shared" si="51"/>
        <v>0</v>
      </c>
      <c r="Q126" s="29">
        <f t="shared" si="52"/>
        <v>0</v>
      </c>
      <c r="R126" s="31">
        <f>LOOKUP($D126,Inputs!$B$78:$B$89,Inputs!C$78:C$89)</f>
        <v>0.5</v>
      </c>
      <c r="S126" s="31">
        <f>LOOKUP($D126,Inputs!$B$78:$B$89,Inputs!D$78:D$89)</f>
        <v>0.5</v>
      </c>
      <c r="T126" s="31">
        <f>LOOKUP($D126,Inputs!$B$78:$B$89,Inputs!E$78:E$89)</f>
        <v>0</v>
      </c>
      <c r="U126" s="31">
        <f>LOOKUP($D126,Inputs!$B$78:$B$89,Inputs!F$78:F$89)</f>
        <v>0</v>
      </c>
      <c r="V126" s="13" t="str">
        <f t="shared" si="53"/>
        <v/>
      </c>
      <c r="W126" s="72">
        <f>SUM(N126:O126)*Inputs!$C$22*(1-Inputs!$C$13)/Inputs!$C$15</f>
        <v>340.95439105000003</v>
      </c>
      <c r="X126" s="15">
        <v>0</v>
      </c>
      <c r="Y126" s="71">
        <f>IF($X126&gt;0,$X126,$G126*LOOKUP($D126,Inputs!$B$63:$B$74,Inputs!$H$63:$H$74)/Inputs!$C$15)</f>
        <v>20.902699999999996</v>
      </c>
      <c r="Z126" s="71">
        <f t="shared" si="33"/>
        <v>20.902699999999996</v>
      </c>
      <c r="AA126" s="108">
        <f>VLOOKUP(J126,Inputs!$D$127:$H$129,5,FALSE)</f>
        <v>1.2371134020618557</v>
      </c>
      <c r="AB126" s="108">
        <f t="shared" si="34"/>
        <v>25.859010309278347</v>
      </c>
      <c r="AC126" s="1"/>
      <c r="AD126" s="29"/>
      <c r="AE126" s="29"/>
      <c r="AF126" s="29"/>
      <c r="AG126" s="29"/>
      <c r="AH126" s="29"/>
    </row>
    <row r="127" spans="1:34" x14ac:dyDescent="0.25">
      <c r="A127" s="1"/>
      <c r="B127" s="42">
        <v>1022</v>
      </c>
      <c r="C127" s="84" t="s">
        <v>242</v>
      </c>
      <c r="D127" s="84" t="s">
        <v>24</v>
      </c>
      <c r="E127" s="84">
        <v>2012</v>
      </c>
      <c r="F127" s="84"/>
      <c r="G127" s="45">
        <v>120694</v>
      </c>
      <c r="H127" s="84"/>
      <c r="I127" s="84"/>
      <c r="J127" s="8" t="str">
        <f>VLOOKUP($G127,Inputs!$B$127:$F$129,3,TRUE)</f>
        <v>Packaged VAV, DX</v>
      </c>
      <c r="L127" s="52">
        <f>LOOKUP($D127,Inputs!$B$63:$B$74,Inputs!$G$63:$G$74)</f>
        <v>41.440000000000005</v>
      </c>
      <c r="M127" s="29">
        <f t="shared" si="42"/>
        <v>5001559.3600000003</v>
      </c>
      <c r="N127" s="49">
        <f t="shared" si="49"/>
        <v>4001247.4880000004</v>
      </c>
      <c r="O127" s="29">
        <f t="shared" si="50"/>
        <v>1000311.8720000001</v>
      </c>
      <c r="P127" s="29">
        <f t="shared" si="51"/>
        <v>0</v>
      </c>
      <c r="Q127" s="29">
        <f t="shared" si="52"/>
        <v>0</v>
      </c>
      <c r="R127" s="31">
        <f>LOOKUP($D127,Inputs!$B$78:$B$89,Inputs!C$78:C$89)</f>
        <v>0.8</v>
      </c>
      <c r="S127" s="31">
        <f>LOOKUP($D127,Inputs!$B$78:$B$89,Inputs!D$78:D$89)</f>
        <v>0.2</v>
      </c>
      <c r="T127" s="31">
        <f>LOOKUP($D127,Inputs!$B$78:$B$89,Inputs!E$78:E$89)</f>
        <v>0</v>
      </c>
      <c r="U127" s="31">
        <f>LOOKUP($D127,Inputs!$B$78:$B$89,Inputs!F$78:F$89)</f>
        <v>0</v>
      </c>
      <c r="V127" s="13" t="str">
        <f t="shared" si="53"/>
        <v/>
      </c>
      <c r="W127" s="72">
        <f>SUM(N127:O127)*Inputs!$C$22*(1-Inputs!$C$13)/Inputs!$C$15</f>
        <v>4038.7591831999998</v>
      </c>
      <c r="X127" s="15">
        <v>0</v>
      </c>
      <c r="Y127" s="71">
        <f>IF($X127&gt;0,$X127,$G127*LOOKUP($D127,Inputs!$B$63:$B$74,Inputs!$H$63:$H$74)/Inputs!$C$15)</f>
        <v>301.73500000000001</v>
      </c>
      <c r="Z127" s="71">
        <f t="shared" si="33"/>
        <v>301.73500000000001</v>
      </c>
      <c r="AA127" s="108">
        <f>VLOOKUP(J127,Inputs!$D$127:$H$129,5,FALSE)</f>
        <v>1.2371134020618557</v>
      </c>
      <c r="AB127" s="108">
        <f t="shared" si="34"/>
        <v>373.28041237113405</v>
      </c>
      <c r="AC127" s="1"/>
      <c r="AD127" s="29"/>
      <c r="AE127" s="29"/>
      <c r="AF127" s="29"/>
      <c r="AG127" s="29"/>
      <c r="AH127" s="29"/>
    </row>
    <row r="128" spans="1:34" x14ac:dyDescent="0.25">
      <c r="A128" s="1"/>
      <c r="B128" s="42">
        <v>1800</v>
      </c>
      <c r="C128" s="84" t="s">
        <v>243</v>
      </c>
      <c r="D128" s="84" t="s">
        <v>26</v>
      </c>
      <c r="E128" s="84">
        <v>1968</v>
      </c>
      <c r="F128" s="84"/>
      <c r="G128" s="45">
        <v>128540</v>
      </c>
      <c r="H128" s="84"/>
      <c r="I128" s="84"/>
      <c r="J128" s="8" t="str">
        <f>VLOOKUP($G128,Inputs!$B$127:$F$129,3,TRUE)</f>
        <v>Packaged VAV, DX</v>
      </c>
      <c r="L128" s="52">
        <f>LOOKUP($D128,Inputs!$B$63:$B$74,Inputs!$G$63:$G$74)</f>
        <v>10.1</v>
      </c>
      <c r="M128" s="29">
        <f t="shared" si="42"/>
        <v>1298254</v>
      </c>
      <c r="N128" s="49">
        <f t="shared" si="49"/>
        <v>1168428.6000000001</v>
      </c>
      <c r="O128" s="29">
        <f t="shared" si="50"/>
        <v>129825.40000000001</v>
      </c>
      <c r="P128" s="29">
        <f t="shared" si="51"/>
        <v>0</v>
      </c>
      <c r="Q128" s="29">
        <f t="shared" si="52"/>
        <v>0</v>
      </c>
      <c r="R128" s="31">
        <f>LOOKUP($D128,Inputs!$B$78:$B$89,Inputs!C$78:C$89)</f>
        <v>0.9</v>
      </c>
      <c r="S128" s="31">
        <f>LOOKUP($D128,Inputs!$B$78:$B$89,Inputs!D$78:D$89)</f>
        <v>0.1</v>
      </c>
      <c r="T128" s="31">
        <f>LOOKUP($D128,Inputs!$B$78:$B$89,Inputs!E$78:E$89)</f>
        <v>0</v>
      </c>
      <c r="U128" s="31">
        <f>LOOKUP($D128,Inputs!$B$78:$B$89,Inputs!F$78:F$89)</f>
        <v>0</v>
      </c>
      <c r="V128" s="13" t="str">
        <f t="shared" si="53"/>
        <v/>
      </c>
      <c r="W128" s="72">
        <f>SUM(N128:O128)*Inputs!$C$22*(1-Inputs!$C$13)/Inputs!$C$15</f>
        <v>1048.340105</v>
      </c>
      <c r="X128" s="15">
        <v>0</v>
      </c>
      <c r="Y128" s="71">
        <f>IF($X128&gt;0,$X128,$G128*LOOKUP($D128,Inputs!$B$63:$B$74,Inputs!$H$63:$H$74)/Inputs!$C$15)</f>
        <v>128.54</v>
      </c>
      <c r="Z128" s="71">
        <f t="shared" si="33"/>
        <v>128.54</v>
      </c>
      <c r="AA128" s="108">
        <f>VLOOKUP(J128,Inputs!$D$127:$H$129,5,FALSE)</f>
        <v>1.2371134020618557</v>
      </c>
      <c r="AB128" s="108">
        <f t="shared" si="34"/>
        <v>159.01855670103092</v>
      </c>
      <c r="AC128" s="1"/>
      <c r="AD128" s="29"/>
      <c r="AE128" s="29"/>
      <c r="AF128" s="29"/>
      <c r="AG128" s="29"/>
      <c r="AH128" s="29"/>
    </row>
    <row r="129" spans="1:48" x14ac:dyDescent="0.25">
      <c r="A129" s="1"/>
      <c r="B129" s="42">
        <v>1286</v>
      </c>
      <c r="C129" s="84" t="s">
        <v>244</v>
      </c>
      <c r="D129" s="84" t="s">
        <v>21</v>
      </c>
      <c r="E129" s="84">
        <v>1993</v>
      </c>
      <c r="F129" s="84"/>
      <c r="G129" s="45">
        <v>75228</v>
      </c>
      <c r="H129" s="84"/>
      <c r="I129" s="84"/>
      <c r="J129" s="8" t="str">
        <f>VLOOKUP($G129,Inputs!$B$127:$F$129,3,TRUE)</f>
        <v>Packaged VAV, DX</v>
      </c>
      <c r="L129" s="52">
        <f>LOOKUP($D129,Inputs!$B$63:$B$74,Inputs!$G$63:$G$74)</f>
        <v>10.1</v>
      </c>
      <c r="M129" s="29">
        <f t="shared" si="42"/>
        <v>759802.79999999993</v>
      </c>
      <c r="N129" s="49">
        <f t="shared" si="49"/>
        <v>683822.5199999999</v>
      </c>
      <c r="O129" s="29">
        <f t="shared" si="50"/>
        <v>75980.28</v>
      </c>
      <c r="P129" s="29">
        <f t="shared" si="51"/>
        <v>0</v>
      </c>
      <c r="Q129" s="29">
        <f t="shared" si="52"/>
        <v>0</v>
      </c>
      <c r="R129" s="31">
        <f>LOOKUP($D129,Inputs!$B$78:$B$89,Inputs!C$78:C$89)</f>
        <v>0.9</v>
      </c>
      <c r="S129" s="31">
        <f>LOOKUP($D129,Inputs!$B$78:$B$89,Inputs!D$78:D$89)</f>
        <v>0.1</v>
      </c>
      <c r="T129" s="31">
        <f>LOOKUP($D129,Inputs!$B$78:$B$89,Inputs!E$78:E$89)</f>
        <v>0</v>
      </c>
      <c r="U129" s="31">
        <f>LOOKUP($D129,Inputs!$B$78:$B$89,Inputs!F$78:F$89)</f>
        <v>0</v>
      </c>
      <c r="V129" s="13" t="str">
        <f t="shared" si="53"/>
        <v/>
      </c>
      <c r="W129" s="72">
        <f>SUM(N129:O129)*Inputs!$C$22*(1-Inputs!$C$13)/Inputs!$C$15</f>
        <v>613.54076099999997</v>
      </c>
      <c r="X129" s="15">
        <v>0</v>
      </c>
      <c r="Y129" s="71">
        <f>IF($X129&gt;0,$X129,$G129*LOOKUP($D129,Inputs!$B$63:$B$74,Inputs!$H$63:$H$74)/Inputs!$C$15)</f>
        <v>75.227999999999994</v>
      </c>
      <c r="Z129" s="71">
        <f t="shared" si="33"/>
        <v>75.227999999999994</v>
      </c>
      <c r="AA129" s="108">
        <f>VLOOKUP(J129,Inputs!$D$127:$H$129,5,FALSE)</f>
        <v>1.2371134020618557</v>
      </c>
      <c r="AB129" s="108">
        <f t="shared" si="34"/>
        <v>93.06556701030928</v>
      </c>
      <c r="AC129" s="1"/>
      <c r="AD129" s="29"/>
      <c r="AE129" s="29"/>
      <c r="AF129" s="29"/>
      <c r="AG129" s="29"/>
      <c r="AH129" s="29"/>
    </row>
    <row r="130" spans="1:48" x14ac:dyDescent="0.25">
      <c r="A130" s="1"/>
      <c r="B130" s="42">
        <v>1033</v>
      </c>
      <c r="C130" s="84" t="s">
        <v>245</v>
      </c>
      <c r="D130" s="84" t="s">
        <v>26</v>
      </c>
      <c r="E130" s="84">
        <v>2018</v>
      </c>
      <c r="F130" s="84"/>
      <c r="G130" s="45">
        <v>80000</v>
      </c>
      <c r="H130" s="84"/>
      <c r="I130" s="84"/>
      <c r="J130" s="8" t="str">
        <f>VLOOKUP($G130,Inputs!$B$127:$F$129,3,TRUE)</f>
        <v>Packaged VAV, DX</v>
      </c>
      <c r="L130" s="52">
        <f>LOOKUP($D130,Inputs!$B$63:$B$74,Inputs!$G$63:$G$74)</f>
        <v>10.1</v>
      </c>
      <c r="M130" s="29">
        <f t="shared" si="42"/>
        <v>808000</v>
      </c>
      <c r="N130" s="49">
        <f t="shared" si="49"/>
        <v>727200</v>
      </c>
      <c r="O130" s="29">
        <f t="shared" si="50"/>
        <v>80800</v>
      </c>
      <c r="P130" s="29">
        <f t="shared" si="51"/>
        <v>0</v>
      </c>
      <c r="Q130" s="29">
        <f t="shared" si="52"/>
        <v>0</v>
      </c>
      <c r="R130" s="31">
        <f>LOOKUP($D130,Inputs!$B$78:$B$89,Inputs!C$78:C$89)</f>
        <v>0.9</v>
      </c>
      <c r="S130" s="31">
        <f>LOOKUP($D130,Inputs!$B$78:$B$89,Inputs!D$78:D$89)</f>
        <v>0.1</v>
      </c>
      <c r="T130" s="31">
        <f>LOOKUP($D130,Inputs!$B$78:$B$89,Inputs!E$78:E$89)</f>
        <v>0</v>
      </c>
      <c r="U130" s="31">
        <f>LOOKUP($D130,Inputs!$B$78:$B$89,Inputs!F$78:F$89)</f>
        <v>0</v>
      </c>
      <c r="V130" s="13" t="str">
        <f t="shared" si="53"/>
        <v/>
      </c>
      <c r="W130" s="72">
        <f>SUM(N130:O130)*Inputs!$C$22*(1-Inputs!$C$13)/Inputs!$C$15</f>
        <v>652.46</v>
      </c>
      <c r="X130" s="15">
        <v>0</v>
      </c>
      <c r="Y130" s="71">
        <f>IF($X130&gt;0,$X130,$G130*LOOKUP($D130,Inputs!$B$63:$B$74,Inputs!$H$63:$H$74)/Inputs!$C$15)</f>
        <v>80</v>
      </c>
      <c r="Z130" s="71">
        <f t="shared" si="33"/>
        <v>80</v>
      </c>
      <c r="AA130" s="108">
        <f>VLOOKUP(J130,Inputs!$D$127:$H$129,5,FALSE)</f>
        <v>1.2371134020618557</v>
      </c>
      <c r="AB130" s="108">
        <f t="shared" si="34"/>
        <v>98.969072164948457</v>
      </c>
      <c r="AC130" s="1"/>
      <c r="AD130" s="29"/>
      <c r="AE130" s="29"/>
      <c r="AF130" s="29"/>
      <c r="AG130" s="29"/>
      <c r="AH130" s="29"/>
    </row>
    <row r="131" spans="1:48" x14ac:dyDescent="0.25">
      <c r="A131" s="1"/>
      <c r="B131" s="42">
        <v>1787</v>
      </c>
      <c r="C131" s="84" t="s">
        <v>246</v>
      </c>
      <c r="D131" s="84" t="s">
        <v>32</v>
      </c>
      <c r="E131" s="84">
        <v>2021</v>
      </c>
      <c r="F131" s="84"/>
      <c r="G131" s="45">
        <v>54000</v>
      </c>
      <c r="H131" s="84"/>
      <c r="I131" s="84"/>
      <c r="J131" s="8" t="str">
        <f>VLOOKUP($G131,Inputs!$B$127:$F$129,3,TRUE)</f>
        <v>Packaged VAV, DX</v>
      </c>
      <c r="L131" s="52">
        <f>LOOKUP($D131,Inputs!$B$63:$B$74,Inputs!$G$63:$G$74)</f>
        <v>14.140000000000002</v>
      </c>
      <c r="M131" s="29">
        <f t="shared" si="42"/>
        <v>763560.00000000012</v>
      </c>
      <c r="N131" s="49">
        <f t="shared" si="49"/>
        <v>381780.00000000006</v>
      </c>
      <c r="O131" s="29">
        <f t="shared" si="50"/>
        <v>381780.00000000006</v>
      </c>
      <c r="P131" s="29">
        <f t="shared" si="51"/>
        <v>0</v>
      </c>
      <c r="Q131" s="29">
        <f t="shared" si="52"/>
        <v>0</v>
      </c>
      <c r="R131" s="31">
        <f>LOOKUP($D131,Inputs!$B$78:$B$89,Inputs!C$78:C$89)</f>
        <v>0.5</v>
      </c>
      <c r="S131" s="31">
        <f>LOOKUP($D131,Inputs!$B$78:$B$89,Inputs!D$78:D$89)</f>
        <v>0.5</v>
      </c>
      <c r="T131" s="31">
        <f>LOOKUP($D131,Inputs!$B$78:$B$89,Inputs!E$78:E$89)</f>
        <v>0</v>
      </c>
      <c r="U131" s="31">
        <f>LOOKUP($D131,Inputs!$B$78:$B$89,Inputs!F$78:F$89)</f>
        <v>0</v>
      </c>
      <c r="V131" s="13" t="str">
        <f t="shared" si="53"/>
        <v/>
      </c>
      <c r="W131" s="72">
        <f>SUM(N131:O131)*Inputs!$C$22*(1-Inputs!$C$13)/Inputs!$C$15</f>
        <v>616.57470000000012</v>
      </c>
      <c r="X131" s="15">
        <v>0</v>
      </c>
      <c r="Y131" s="71">
        <f>IF($X131&gt;0,$X131,$G131*LOOKUP($D131,Inputs!$B$63:$B$74,Inputs!$H$63:$H$74)/Inputs!$C$15)</f>
        <v>37.799999999999997</v>
      </c>
      <c r="Z131" s="71">
        <f t="shared" si="33"/>
        <v>37.799999999999997</v>
      </c>
      <c r="AA131" s="108">
        <f>VLOOKUP(J131,Inputs!$D$127:$H$129,5,FALSE)</f>
        <v>1.2371134020618557</v>
      </c>
      <c r="AB131" s="108">
        <f t="shared" si="34"/>
        <v>46.762886597938142</v>
      </c>
      <c r="AC131" s="1"/>
      <c r="AD131" s="29"/>
      <c r="AE131" s="29"/>
      <c r="AF131" s="29"/>
      <c r="AG131" s="29"/>
      <c r="AH131" s="29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s="1" customFormat="1" x14ac:dyDescent="0.25">
      <c r="B132" s="24">
        <v>1520</v>
      </c>
      <c r="C132" s="24" t="s">
        <v>249</v>
      </c>
      <c r="D132" s="85" t="s">
        <v>24</v>
      </c>
      <c r="E132" s="55">
        <v>1970</v>
      </c>
      <c r="F132" s="55"/>
      <c r="G132" s="27">
        <v>102794</v>
      </c>
      <c r="H132" s="54"/>
      <c r="I132" s="78"/>
      <c r="J132" s="8" t="str">
        <f>VLOOKUP($G132,Inputs!$B$127:$F$129,3,TRUE)</f>
        <v>Packaged VAV, DX</v>
      </c>
      <c r="L132" s="52">
        <f>LOOKUP($D132,Inputs!$B$63:$B$74,Inputs!$G$63:$G$74)</f>
        <v>41.440000000000005</v>
      </c>
      <c r="M132" s="29">
        <f t="shared" si="42"/>
        <v>4259783.3600000003</v>
      </c>
      <c r="N132" s="49">
        <f t="shared" si="49"/>
        <v>3407826.6880000005</v>
      </c>
      <c r="O132" s="29">
        <f t="shared" si="50"/>
        <v>851956.67200000014</v>
      </c>
      <c r="P132" s="29">
        <f t="shared" si="51"/>
        <v>0</v>
      </c>
      <c r="Q132" s="29">
        <f t="shared" si="52"/>
        <v>0</v>
      </c>
      <c r="R132" s="31">
        <f>LOOKUP($D132,Inputs!$B$78:$B$89,Inputs!C$78:C$89)</f>
        <v>0.8</v>
      </c>
      <c r="S132" s="31">
        <f>LOOKUP($D132,Inputs!$B$78:$B$89,Inputs!D$78:D$89)</f>
        <v>0.2</v>
      </c>
      <c r="T132" s="31">
        <f>LOOKUP($D132,Inputs!$B$78:$B$89,Inputs!E$78:E$89)</f>
        <v>0</v>
      </c>
      <c r="U132" s="31">
        <f>LOOKUP($D132,Inputs!$B$78:$B$89,Inputs!F$78:F$89)</f>
        <v>0</v>
      </c>
      <c r="V132" s="13" t="str">
        <f t="shared" si="53"/>
        <v/>
      </c>
      <c r="W132" s="72">
        <f>SUM(N132:O132)*Inputs!$C$22*(1-Inputs!$C$13)/Inputs!$C$15</f>
        <v>3439.7750632000002</v>
      </c>
      <c r="X132" s="15">
        <v>0</v>
      </c>
      <c r="Y132" s="71">
        <f>IF($X132&gt;0,$X132,$G132*LOOKUP($D132,Inputs!$B$63:$B$74,Inputs!$H$63:$H$74)/Inputs!$C$15)</f>
        <v>256.98500000000001</v>
      </c>
      <c r="Z132" s="71">
        <f t="shared" si="33"/>
        <v>256.98500000000001</v>
      </c>
      <c r="AA132" s="108">
        <f>VLOOKUP(J132,Inputs!$D$127:$H$129,5,FALSE)</f>
        <v>1.2371134020618557</v>
      </c>
      <c r="AB132" s="108">
        <f t="shared" si="34"/>
        <v>317.919587628866</v>
      </c>
      <c r="AD132" s="27">
        <v>1932527.2000000002</v>
      </c>
      <c r="AE132" s="27">
        <v>695709.79200000013</v>
      </c>
      <c r="AF132" s="27">
        <v>77301.088000000018</v>
      </c>
      <c r="AG132" s="27">
        <v>1159516.32</v>
      </c>
      <c r="AH132" s="27">
        <v>0</v>
      </c>
    </row>
    <row r="133" spans="1:48" x14ac:dyDescent="0.25">
      <c r="A133" s="1"/>
      <c r="B133" s="42"/>
      <c r="C133" s="84"/>
      <c r="D133" s="84"/>
      <c r="E133" s="84"/>
      <c r="F133" s="84"/>
      <c r="G133" s="45"/>
      <c r="H133" s="84"/>
      <c r="I133" s="84"/>
      <c r="J133" s="102"/>
      <c r="L133" s="52" t="e">
        <f>LOOKUP($D133,Inputs!$B$63:$B$74,Inputs!$G$63:$G$74)</f>
        <v>#N/A</v>
      </c>
      <c r="M133" s="29" t="e">
        <f t="shared" si="42"/>
        <v>#N/A</v>
      </c>
      <c r="N133" s="49" t="e">
        <f t="shared" si="49"/>
        <v>#N/A</v>
      </c>
      <c r="O133" s="29" t="e">
        <f t="shared" si="50"/>
        <v>#N/A</v>
      </c>
      <c r="P133" s="29" t="e">
        <f t="shared" si="51"/>
        <v>#N/A</v>
      </c>
      <c r="Q133" s="29" t="e">
        <f t="shared" si="52"/>
        <v>#N/A</v>
      </c>
      <c r="R133" s="31" t="e">
        <f>LOOKUP($D133,Inputs!$B$78:$B$89,Inputs!C$78:C$89)</f>
        <v>#N/A</v>
      </c>
      <c r="S133" s="31" t="e">
        <f>LOOKUP($D133,Inputs!$B$78:$B$89,Inputs!D$78:D$89)</f>
        <v>#N/A</v>
      </c>
      <c r="T133" s="31" t="e">
        <f>LOOKUP($D133,Inputs!$B$78:$B$89,Inputs!E$78:E$89)</f>
        <v>#N/A</v>
      </c>
      <c r="U133" s="31" t="e">
        <f>LOOKUP($D133,Inputs!$B$78:$B$89,Inputs!F$78:F$89)</f>
        <v>#N/A</v>
      </c>
      <c r="V133" s="13" t="e">
        <f t="shared" si="53"/>
        <v>#N/A</v>
      </c>
      <c r="W133" s="72" t="e">
        <f>SUM(N133:O133)*Inputs!$C$22*(1-Inputs!$C$13)/Inputs!$C$15</f>
        <v>#N/A</v>
      </c>
      <c r="X133" s="15">
        <v>0</v>
      </c>
      <c r="Y133" s="71" t="e">
        <f>IF($X133&gt;0,$X133,$G133*LOOKUP($D133,Inputs!$B$63:$B$74,Inputs!$H$63:$H$74)/Inputs!$C$15)</f>
        <v>#N/A</v>
      </c>
      <c r="Z133" s="71"/>
      <c r="AA133" s="108" t="e">
        <f>VLOOKUP(J133,Inputs!$D$127:$H$129,5,FALSE)</f>
        <v>#N/A</v>
      </c>
      <c r="AB133" s="108"/>
      <c r="AC133" s="1"/>
      <c r="AD133" s="29"/>
      <c r="AE133" s="29"/>
      <c r="AF133" s="29"/>
      <c r="AG133" s="29"/>
      <c r="AH133" s="29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69"/>
      <c r="C134" s="84"/>
      <c r="D134" s="83"/>
      <c r="E134" s="83"/>
      <c r="F134" s="83"/>
      <c r="G134" s="57"/>
      <c r="H134" s="84"/>
      <c r="I134" s="84"/>
      <c r="J134" s="102"/>
      <c r="L134" s="52" t="e">
        <f>LOOKUP($D134,Inputs!$B$63:$B$74,Inputs!$G$63:$G$74)</f>
        <v>#N/A</v>
      </c>
      <c r="M134" s="29" t="e">
        <f t="shared" si="42"/>
        <v>#N/A</v>
      </c>
      <c r="N134" s="49" t="e">
        <f t="shared" si="49"/>
        <v>#N/A</v>
      </c>
      <c r="O134" s="29" t="e">
        <f t="shared" si="50"/>
        <v>#N/A</v>
      </c>
      <c r="P134" s="29" t="e">
        <f t="shared" si="51"/>
        <v>#N/A</v>
      </c>
      <c r="Q134" s="29" t="e">
        <f t="shared" si="52"/>
        <v>#N/A</v>
      </c>
      <c r="R134" s="31" t="e">
        <f>LOOKUP($D134,Inputs!$B$78:$B$89,Inputs!C$78:C$89)</f>
        <v>#N/A</v>
      </c>
      <c r="S134" s="31" t="e">
        <f>LOOKUP($D134,Inputs!$B$78:$B$89,Inputs!D$78:D$89)</f>
        <v>#N/A</v>
      </c>
      <c r="T134" s="31" t="e">
        <f>LOOKUP($D134,Inputs!$B$78:$B$89,Inputs!E$78:E$89)</f>
        <v>#N/A</v>
      </c>
      <c r="U134" s="31" t="e">
        <f>LOOKUP($D134,Inputs!$B$78:$B$89,Inputs!F$78:F$89)</f>
        <v>#N/A</v>
      </c>
      <c r="V134" s="13" t="e">
        <f t="shared" si="53"/>
        <v>#N/A</v>
      </c>
      <c r="W134" s="72" t="e">
        <f>SUM(N134:O134)*Inputs!$C$22*(1-Inputs!$C$13)/Inputs!$C$15</f>
        <v>#N/A</v>
      </c>
      <c r="X134" s="15">
        <v>0</v>
      </c>
      <c r="Y134" s="71" t="e">
        <f>IF($X134&gt;0,$X134,$G134*LOOKUP($D134,Inputs!$B$63:$B$74,Inputs!$H$63:$H$74)/Inputs!$C$15)</f>
        <v>#N/A</v>
      </c>
      <c r="Z134" s="71"/>
      <c r="AA134" s="108" t="e">
        <f>VLOOKUP(J134,Inputs!$D$127:$H$129,5,FALSE)</f>
        <v>#N/A</v>
      </c>
      <c r="AB134" s="108"/>
      <c r="AC134" s="1"/>
      <c r="AD134" s="29"/>
      <c r="AE134" s="29"/>
      <c r="AF134" s="29"/>
      <c r="AG134" s="29"/>
      <c r="AH134" s="29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s="1" customFormat="1" x14ac:dyDescent="0.25">
      <c r="G135" s="117"/>
    </row>
    <row r="136" spans="1:48" s="1" customFormat="1" x14ac:dyDescent="0.25">
      <c r="G136" s="117"/>
    </row>
    <row r="137" spans="1:48" s="1" customFormat="1" x14ac:dyDescent="0.25">
      <c r="B137" s="73" t="s">
        <v>223</v>
      </c>
    </row>
    <row r="138" spans="1:48" s="1" customFormat="1" x14ac:dyDescent="0.25"/>
    <row r="139" spans="1:48" s="1" customFormat="1" x14ac:dyDescent="0.25"/>
    <row r="140" spans="1:48" x14ac:dyDescent="0.25">
      <c r="A140" s="1"/>
      <c r="B140" s="1"/>
      <c r="C140" s="1"/>
      <c r="D140" s="1"/>
      <c r="E140" s="1"/>
      <c r="F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X140" s="1"/>
      <c r="AC140" s="1"/>
      <c r="AD140" s="1"/>
      <c r="AE140" s="1"/>
      <c r="AF140" s="1"/>
      <c r="AG140" s="1"/>
      <c r="AH140" s="1"/>
    </row>
    <row r="141" spans="1:48" s="1" customFormat="1" x14ac:dyDescent="0.25"/>
    <row r="142" spans="1:48" s="1" customFormat="1" x14ac:dyDescent="0.25"/>
    <row r="143" spans="1:48" s="1" customFormat="1" x14ac:dyDescent="0.25"/>
    <row r="144" spans="1:48" s="1" customFormat="1" x14ac:dyDescent="0.25"/>
    <row r="145" spans="1:34" s="1" customFormat="1" x14ac:dyDescent="0.25"/>
    <row r="146" spans="1:34" s="1" customFormat="1" x14ac:dyDescent="0.25"/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s="1" customFormat="1" x14ac:dyDescent="0.25"/>
    <row r="149" spans="1:34" s="1" customFormat="1" x14ac:dyDescent="0.25"/>
    <row r="150" spans="1:34" s="1" customFormat="1" x14ac:dyDescent="0.25"/>
    <row r="151" spans="1:34" s="1" customFormat="1" x14ac:dyDescent="0.25"/>
    <row r="152" spans="1:34" s="1" customFormat="1" x14ac:dyDescent="0.25"/>
    <row r="153" spans="1:34" s="1" customFormat="1" x14ac:dyDescent="0.25"/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s="1" customFormat="1" x14ac:dyDescent="0.25"/>
    <row r="156" spans="1:34" s="1" customFormat="1" x14ac:dyDescent="0.25"/>
    <row r="157" spans="1:34" s="1" customFormat="1" x14ac:dyDescent="0.25"/>
    <row r="158" spans="1:34" s="1" customFormat="1" x14ac:dyDescent="0.25"/>
    <row r="159" spans="1:34" s="1" customFormat="1" x14ac:dyDescent="0.25"/>
    <row r="160" spans="1:34" s="1" customFormat="1" x14ac:dyDescent="0.25"/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s="1" customFormat="1" x14ac:dyDescent="0.25"/>
    <row r="163" spans="1:34" s="1" customFormat="1" x14ac:dyDescent="0.25"/>
    <row r="164" spans="1:34" s="1" customFormat="1" x14ac:dyDescent="0.25"/>
    <row r="165" spans="1:34" s="1" customFormat="1" x14ac:dyDescent="0.25"/>
    <row r="166" spans="1:34" s="1" customFormat="1" x14ac:dyDescent="0.25"/>
    <row r="167" spans="1:34" s="1" customFormat="1" x14ac:dyDescent="0.25"/>
    <row r="168" spans="1:34" s="1" customFormat="1" x14ac:dyDescent="0.25"/>
    <row r="169" spans="1:34" s="1" customFormat="1" x14ac:dyDescent="0.25"/>
    <row r="170" spans="1:3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s="1" customFormat="1" x14ac:dyDescent="0.25"/>
    <row r="172" spans="1:34" s="1" customFormat="1" x14ac:dyDescent="0.25"/>
    <row r="173" spans="1:34" s="1" customFormat="1" x14ac:dyDescent="0.25"/>
    <row r="174" spans="1:3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s="1" customFormat="1" x14ac:dyDescent="0.25"/>
    <row r="177" spans="1:34" s="1" customFormat="1" x14ac:dyDescent="0.25"/>
    <row r="178" spans="1:34" s="1" customFormat="1" x14ac:dyDescent="0.25"/>
    <row r="179" spans="1:3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s="1" customFormat="1" x14ac:dyDescent="0.25"/>
    <row r="181" spans="1:34" s="1" customFormat="1" x14ac:dyDescent="0.25"/>
    <row r="182" spans="1:34" s="1" customFormat="1" x14ac:dyDescent="0.25"/>
    <row r="183" spans="1:34" s="1" customFormat="1" x14ac:dyDescent="0.25"/>
    <row r="184" spans="1:34" s="1" customFormat="1" x14ac:dyDescent="0.25"/>
    <row r="185" spans="1:34" s="1" customFormat="1" x14ac:dyDescent="0.25"/>
    <row r="186" spans="1:3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s="1" customFormat="1" x14ac:dyDescent="0.25"/>
    <row r="188" spans="1:34" s="1" customFormat="1" x14ac:dyDescent="0.25"/>
    <row r="189" spans="1:34" s="1" customFormat="1" x14ac:dyDescent="0.25"/>
    <row r="190" spans="1:34" s="1" customFormat="1" x14ac:dyDescent="0.25"/>
    <row r="191" spans="1:34" s="1" customFormat="1" x14ac:dyDescent="0.25"/>
    <row r="192" spans="1:34" s="1" customFormat="1" x14ac:dyDescent="0.25"/>
    <row r="193" spans="1:3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s="1" customFormat="1" x14ac:dyDescent="0.25"/>
    <row r="195" spans="1:34" s="1" customFormat="1" x14ac:dyDescent="0.25"/>
    <row r="196" spans="1:34" s="1" customFormat="1" x14ac:dyDescent="0.25"/>
    <row r="197" spans="1:34" s="1" customFormat="1" x14ac:dyDescent="0.25"/>
    <row r="198" spans="1:34" s="1" customFormat="1" x14ac:dyDescent="0.25"/>
    <row r="199" spans="1:34" s="1" customFormat="1" x14ac:dyDescent="0.25"/>
    <row r="200" spans="1:3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s="1" customFormat="1" x14ac:dyDescent="0.25"/>
    <row r="202" spans="1:34" s="1" customFormat="1" x14ac:dyDescent="0.25"/>
    <row r="203" spans="1:34" s="1" customFormat="1" x14ac:dyDescent="0.25"/>
    <row r="204" spans="1:34" s="1" customFormat="1" x14ac:dyDescent="0.25"/>
    <row r="205" spans="1:34" s="1" customFormat="1" x14ac:dyDescent="0.25"/>
    <row r="206" spans="1:34" s="1" customFormat="1" x14ac:dyDescent="0.25"/>
    <row r="207" spans="1:3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s="1" customFormat="1" x14ac:dyDescent="0.25"/>
    <row r="209" spans="1:34" s="1" customFormat="1" x14ac:dyDescent="0.25"/>
    <row r="210" spans="1:34" s="1" customFormat="1" x14ac:dyDescent="0.25"/>
    <row r="211" spans="1:34" s="1" customFormat="1" x14ac:dyDescent="0.25"/>
    <row r="212" spans="1:34" s="1" customFormat="1" x14ac:dyDescent="0.25"/>
    <row r="213" spans="1:34" s="1" customFormat="1" x14ac:dyDescent="0.25"/>
    <row r="214" spans="1:3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s="1" customFormat="1" x14ac:dyDescent="0.25"/>
    <row r="216" spans="1:34" s="1" customFormat="1" x14ac:dyDescent="0.25"/>
    <row r="217" spans="1:34" s="1" customFormat="1" x14ac:dyDescent="0.25"/>
    <row r="218" spans="1:3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s="1" customFormat="1" x14ac:dyDescent="0.25"/>
    <row r="221" spans="1:34" s="1" customFormat="1" x14ac:dyDescent="0.25"/>
    <row r="222" spans="1:34" s="1" customFormat="1" x14ac:dyDescent="0.25"/>
    <row r="223" spans="1:3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s="1" customFormat="1" x14ac:dyDescent="0.25"/>
    <row r="225" spans="1:34" s="1" customFormat="1" x14ac:dyDescent="0.25"/>
    <row r="226" spans="1:34" s="1" customFormat="1" x14ac:dyDescent="0.25"/>
    <row r="227" spans="1:34" s="1" customFormat="1" x14ac:dyDescent="0.25"/>
    <row r="228" spans="1:34" s="1" customFormat="1" x14ac:dyDescent="0.25"/>
    <row r="229" spans="1:34" s="1" customFormat="1" x14ac:dyDescent="0.25"/>
    <row r="230" spans="1:3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s="1" customFormat="1" x14ac:dyDescent="0.25"/>
    <row r="232" spans="1:34" s="1" customFormat="1" x14ac:dyDescent="0.25"/>
    <row r="233" spans="1:34" s="1" customFormat="1" x14ac:dyDescent="0.25"/>
    <row r="234" spans="1:34" s="1" customFormat="1" x14ac:dyDescent="0.25"/>
    <row r="235" spans="1:34" s="1" customFormat="1" x14ac:dyDescent="0.25"/>
    <row r="236" spans="1:34" s="1" customFormat="1" x14ac:dyDescent="0.25"/>
    <row r="237" spans="1:3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s="1" customFormat="1" x14ac:dyDescent="0.25"/>
    <row r="239" spans="1:34" s="1" customFormat="1" x14ac:dyDescent="0.25"/>
    <row r="240" spans="1:34" s="1" customFormat="1" x14ac:dyDescent="0.25"/>
    <row r="241" spans="1:34" s="1" customFormat="1" x14ac:dyDescent="0.25"/>
    <row r="242" spans="1:34" s="1" customFormat="1" x14ac:dyDescent="0.25"/>
    <row r="243" spans="1:34" s="1" customFormat="1" x14ac:dyDescent="0.25"/>
    <row r="244" spans="1:3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s="1" customFormat="1" x14ac:dyDescent="0.25"/>
    <row r="246" spans="1:34" s="1" customFormat="1" x14ac:dyDescent="0.25"/>
    <row r="247" spans="1:34" s="1" customFormat="1" x14ac:dyDescent="0.25"/>
    <row r="248" spans="1:34" s="1" customFormat="1" x14ac:dyDescent="0.25"/>
    <row r="249" spans="1:34" s="1" customFormat="1" x14ac:dyDescent="0.25"/>
    <row r="250" spans="1:34" s="1" customFormat="1" x14ac:dyDescent="0.25"/>
    <row r="251" spans="1:3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s="1" customFormat="1" x14ac:dyDescent="0.25"/>
    <row r="253" spans="1:34" s="1" customFormat="1" x14ac:dyDescent="0.25"/>
    <row r="254" spans="1:34" s="1" customFormat="1" x14ac:dyDescent="0.25"/>
    <row r="255" spans="1:34" s="1" customFormat="1" x14ac:dyDescent="0.25"/>
    <row r="256" spans="1:34" s="1" customFormat="1" x14ac:dyDescent="0.25"/>
    <row r="257" spans="1:34" s="1" customFormat="1" x14ac:dyDescent="0.25"/>
    <row r="258" spans="1:3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s="1" customFormat="1" x14ac:dyDescent="0.25"/>
    <row r="260" spans="1:34" s="1" customFormat="1" x14ac:dyDescent="0.25"/>
    <row r="261" spans="1:34" s="1" customFormat="1" x14ac:dyDescent="0.25"/>
    <row r="262" spans="1:3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s="1" customFormat="1" x14ac:dyDescent="0.25"/>
    <row r="265" spans="1:34" s="1" customFormat="1" x14ac:dyDescent="0.25"/>
    <row r="266" spans="1:34" s="1" customFormat="1" x14ac:dyDescent="0.25"/>
    <row r="267" spans="1:3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s="1" customFormat="1" x14ac:dyDescent="0.25"/>
    <row r="269" spans="1:34" s="1" customFormat="1" x14ac:dyDescent="0.25"/>
    <row r="270" spans="1:34" s="1" customFormat="1" x14ac:dyDescent="0.25"/>
    <row r="271" spans="1:3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s="1" customFormat="1" x14ac:dyDescent="0.25"/>
    <row r="274" spans="1:34" s="1" customFormat="1" x14ac:dyDescent="0.25"/>
    <row r="275" spans="1:34" s="1" customFormat="1" x14ac:dyDescent="0.25"/>
    <row r="276" spans="1:3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s="1" customFormat="1" x14ac:dyDescent="0.25"/>
    <row r="278" spans="1:34" s="1" customFormat="1" x14ac:dyDescent="0.25"/>
    <row r="279" spans="1:34" s="1" customFormat="1" x14ac:dyDescent="0.25"/>
    <row r="280" spans="1:3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s="1" customFormat="1" x14ac:dyDescent="0.25"/>
    <row r="283" spans="1:34" s="1" customFormat="1" x14ac:dyDescent="0.25"/>
    <row r="284" spans="1:34" s="1" customFormat="1" x14ac:dyDescent="0.25"/>
    <row r="285" spans="1:3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s="1" customFormat="1" x14ac:dyDescent="0.25"/>
    <row r="287" spans="1:34" s="1" customFormat="1" x14ac:dyDescent="0.25"/>
    <row r="288" spans="1:34" s="1" customFormat="1" x14ac:dyDescent="0.25"/>
    <row r="289" spans="1:3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5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AD295" s="1"/>
      <c r="AE295" s="1"/>
      <c r="AF295" s="1"/>
      <c r="AG295" s="1"/>
      <c r="AH295" s="1"/>
    </row>
  </sheetData>
  <autoFilter ref="A13:AU132" xr:uid="{23BE8FD3-2990-4A3C-B965-1EEBAA3B29F0}"/>
  <conditionalFormatting sqref="S135:S137">
    <cfRule type="containsText" dxfId="128" priority="490" operator="containsText" text="In progress">
      <formula>NOT(ISERROR(SEARCH("In progress",S135)))</formula>
    </cfRule>
    <cfRule type="containsText" dxfId="127" priority="491" operator="containsText" text="Complete">
      <formula>NOT(ISERROR(SEARCH("Complete",S135)))</formula>
    </cfRule>
    <cfRule type="containsText" dxfId="126" priority="492" operator="containsText" text="Outstanding">
      <formula>NOT(ISERROR(SEARCH("Outstanding",S135)))</formula>
    </cfRule>
  </conditionalFormatting>
  <conditionalFormatting sqref="S142:S144">
    <cfRule type="containsText" dxfId="125" priority="487" operator="containsText" text="In progress">
      <formula>NOT(ISERROR(SEARCH("In progress",S142)))</formula>
    </cfRule>
    <cfRule type="containsText" dxfId="124" priority="488" operator="containsText" text="Complete">
      <formula>NOT(ISERROR(SEARCH("Complete",S142)))</formula>
    </cfRule>
    <cfRule type="containsText" dxfId="123" priority="489" operator="containsText" text="Outstanding">
      <formula>NOT(ISERROR(SEARCH("Outstanding",S142)))</formula>
    </cfRule>
  </conditionalFormatting>
  <conditionalFormatting sqref="S149:S151">
    <cfRule type="containsText" dxfId="122" priority="484" operator="containsText" text="In progress">
      <formula>NOT(ISERROR(SEARCH("In progress",S149)))</formula>
    </cfRule>
    <cfRule type="containsText" dxfId="121" priority="485" operator="containsText" text="Complete">
      <formula>NOT(ISERROR(SEARCH("Complete",S149)))</formula>
    </cfRule>
    <cfRule type="containsText" dxfId="120" priority="486" operator="containsText" text="Outstanding">
      <formula>NOT(ISERROR(SEARCH("Outstanding",S149)))</formula>
    </cfRule>
  </conditionalFormatting>
  <conditionalFormatting sqref="S156:S158">
    <cfRule type="containsText" dxfId="119" priority="481" operator="containsText" text="In progress">
      <formula>NOT(ISERROR(SEARCH("In progress",S156)))</formula>
    </cfRule>
    <cfRule type="containsText" dxfId="118" priority="482" operator="containsText" text="Complete">
      <formula>NOT(ISERROR(SEARCH("Complete",S156)))</formula>
    </cfRule>
    <cfRule type="containsText" dxfId="117" priority="483" operator="containsText" text="Outstanding">
      <formula>NOT(ISERROR(SEARCH("Outstanding",S156)))</formula>
    </cfRule>
  </conditionalFormatting>
  <conditionalFormatting sqref="S177">
    <cfRule type="containsText" dxfId="116" priority="508" operator="containsText" text="In progress">
      <formula>NOT(ISERROR(SEARCH("In progress",S177)))</formula>
    </cfRule>
    <cfRule type="containsText" dxfId="115" priority="509" operator="containsText" text="Complete">
      <formula>NOT(ISERROR(SEARCH("Complete",S177)))</formula>
    </cfRule>
    <cfRule type="containsText" dxfId="114" priority="510" operator="containsText" text="Outstanding">
      <formula>NOT(ISERROR(SEARCH("Outstanding",S177)))</formula>
    </cfRule>
  </conditionalFormatting>
  <conditionalFormatting sqref="S221">
    <cfRule type="containsText" dxfId="113" priority="505" operator="containsText" text="In progress">
      <formula>NOT(ISERROR(SEARCH("In progress",S221)))</formula>
    </cfRule>
    <cfRule type="containsText" dxfId="112" priority="506" operator="containsText" text="Complete">
      <formula>NOT(ISERROR(SEARCH("Complete",S221)))</formula>
    </cfRule>
    <cfRule type="containsText" dxfId="111" priority="507" operator="containsText" text="Outstanding">
      <formula>NOT(ISERROR(SEARCH("Outstanding",S221)))</formula>
    </cfRule>
  </conditionalFormatting>
  <conditionalFormatting sqref="S188:S190">
    <cfRule type="containsText" dxfId="110" priority="457" operator="containsText" text="In progress">
      <formula>NOT(ISERROR(SEARCH("In progress",S188)))</formula>
    </cfRule>
    <cfRule type="containsText" dxfId="109" priority="458" operator="containsText" text="Complete">
      <formula>NOT(ISERROR(SEARCH("Complete",S188)))</formula>
    </cfRule>
    <cfRule type="containsText" dxfId="108" priority="459" operator="containsText" text="Outstanding">
      <formula>NOT(ISERROR(SEARCH("Outstanding",S188)))</formula>
    </cfRule>
  </conditionalFormatting>
  <conditionalFormatting sqref="S195:S197">
    <cfRule type="containsText" dxfId="107" priority="454" operator="containsText" text="In progress">
      <formula>NOT(ISERROR(SEARCH("In progress",S195)))</formula>
    </cfRule>
    <cfRule type="containsText" dxfId="106" priority="455" operator="containsText" text="Complete">
      <formula>NOT(ISERROR(SEARCH("Complete",S195)))</formula>
    </cfRule>
    <cfRule type="containsText" dxfId="105" priority="456" operator="containsText" text="Outstanding">
      <formula>NOT(ISERROR(SEARCH("Outstanding",S195)))</formula>
    </cfRule>
  </conditionalFormatting>
  <conditionalFormatting sqref="S181:S183">
    <cfRule type="containsText" dxfId="104" priority="460" operator="containsText" text="In progress">
      <formula>NOT(ISERROR(SEARCH("In progress",S181)))</formula>
    </cfRule>
    <cfRule type="containsText" dxfId="103" priority="461" operator="containsText" text="Complete">
      <formula>NOT(ISERROR(SEARCH("Complete",S181)))</formula>
    </cfRule>
    <cfRule type="containsText" dxfId="102" priority="462" operator="containsText" text="Outstanding">
      <formula>NOT(ISERROR(SEARCH("Outstanding",S181)))</formula>
    </cfRule>
  </conditionalFormatting>
  <conditionalFormatting sqref="S202:S204">
    <cfRule type="containsText" dxfId="101" priority="451" operator="containsText" text="In progress">
      <formula>NOT(ISERROR(SEARCH("In progress",S202)))</formula>
    </cfRule>
    <cfRule type="containsText" dxfId="100" priority="452" operator="containsText" text="Complete">
      <formula>NOT(ISERROR(SEARCH("Complete",S202)))</formula>
    </cfRule>
    <cfRule type="containsText" dxfId="99" priority="453" operator="containsText" text="Outstanding">
      <formula>NOT(ISERROR(SEARCH("Outstanding",S202)))</formula>
    </cfRule>
  </conditionalFormatting>
  <conditionalFormatting sqref="S209:S211">
    <cfRule type="containsText" dxfId="98" priority="448" operator="containsText" text="In progress">
      <formula>NOT(ISERROR(SEARCH("In progress",S209)))</formula>
    </cfRule>
    <cfRule type="containsText" dxfId="97" priority="449" operator="containsText" text="Complete">
      <formula>NOT(ISERROR(SEARCH("Complete",S209)))</formula>
    </cfRule>
    <cfRule type="containsText" dxfId="96" priority="450" operator="containsText" text="Outstanding">
      <formula>NOT(ISERROR(SEARCH("Outstanding",S209)))</formula>
    </cfRule>
  </conditionalFormatting>
  <conditionalFormatting sqref="S232:S234">
    <cfRule type="containsText" dxfId="95" priority="424" operator="containsText" text="In progress">
      <formula>NOT(ISERROR(SEARCH("In progress",S232)))</formula>
    </cfRule>
    <cfRule type="containsText" dxfId="94" priority="425" operator="containsText" text="Complete">
      <formula>NOT(ISERROR(SEARCH("Complete",S232)))</formula>
    </cfRule>
    <cfRule type="containsText" dxfId="93" priority="426" operator="containsText" text="Outstanding">
      <formula>NOT(ISERROR(SEARCH("Outstanding",S232)))</formula>
    </cfRule>
  </conditionalFormatting>
  <conditionalFormatting sqref="S239:S241">
    <cfRule type="containsText" dxfId="92" priority="421" operator="containsText" text="In progress">
      <formula>NOT(ISERROR(SEARCH("In progress",S239)))</formula>
    </cfRule>
    <cfRule type="containsText" dxfId="91" priority="422" operator="containsText" text="Complete">
      <formula>NOT(ISERROR(SEARCH("Complete",S239)))</formula>
    </cfRule>
    <cfRule type="containsText" dxfId="90" priority="423" operator="containsText" text="Outstanding">
      <formula>NOT(ISERROR(SEARCH("Outstanding",S239)))</formula>
    </cfRule>
  </conditionalFormatting>
  <conditionalFormatting sqref="S225:S227">
    <cfRule type="containsText" dxfId="89" priority="427" operator="containsText" text="In progress">
      <formula>NOT(ISERROR(SEARCH("In progress",S225)))</formula>
    </cfRule>
    <cfRule type="containsText" dxfId="88" priority="428" operator="containsText" text="Complete">
      <formula>NOT(ISERROR(SEARCH("Complete",S225)))</formula>
    </cfRule>
    <cfRule type="containsText" dxfId="87" priority="429" operator="containsText" text="Outstanding">
      <formula>NOT(ISERROR(SEARCH("Outstanding",S225)))</formula>
    </cfRule>
  </conditionalFormatting>
  <conditionalFormatting sqref="S246:S248">
    <cfRule type="containsText" dxfId="86" priority="418" operator="containsText" text="In progress">
      <formula>NOT(ISERROR(SEARCH("In progress",S246)))</formula>
    </cfRule>
    <cfRule type="containsText" dxfId="85" priority="419" operator="containsText" text="Complete">
      <formula>NOT(ISERROR(SEARCH("Complete",S246)))</formula>
    </cfRule>
    <cfRule type="containsText" dxfId="84" priority="420" operator="containsText" text="Outstanding">
      <formula>NOT(ISERROR(SEARCH("Outstanding",S246)))</formula>
    </cfRule>
  </conditionalFormatting>
  <conditionalFormatting sqref="S253:S255">
    <cfRule type="containsText" dxfId="83" priority="415" operator="containsText" text="In progress">
      <formula>NOT(ISERROR(SEARCH("In progress",S253)))</formula>
    </cfRule>
    <cfRule type="containsText" dxfId="82" priority="416" operator="containsText" text="Complete">
      <formula>NOT(ISERROR(SEARCH("Complete",S253)))</formula>
    </cfRule>
    <cfRule type="containsText" dxfId="81" priority="417" operator="containsText" text="Outstanding">
      <formula>NOT(ISERROR(SEARCH("Outstanding",S253)))</formula>
    </cfRule>
  </conditionalFormatting>
  <conditionalFormatting sqref="S170:S174">
    <cfRule type="containsText" dxfId="80" priority="412" operator="containsText" text="In progress">
      <formula>NOT(ISERROR(SEARCH("In progress",S170)))</formula>
    </cfRule>
    <cfRule type="containsText" dxfId="79" priority="413" operator="containsText" text="Complete">
      <formula>NOT(ISERROR(SEARCH("Complete",S170)))</formula>
    </cfRule>
    <cfRule type="containsText" dxfId="78" priority="414" operator="containsText" text="Outstanding">
      <formula>NOT(ISERROR(SEARCH("Outstanding",S170)))</formula>
    </cfRule>
  </conditionalFormatting>
  <conditionalFormatting sqref="S169">
    <cfRule type="containsText" dxfId="77" priority="409" operator="containsText" text="In progress">
      <formula>NOT(ISERROR(SEARCH("In progress",S169)))</formula>
    </cfRule>
    <cfRule type="containsText" dxfId="76" priority="410" operator="containsText" text="Complete">
      <formula>NOT(ISERROR(SEARCH("Complete",S169)))</formula>
    </cfRule>
    <cfRule type="containsText" dxfId="75" priority="411" operator="containsText" text="Outstanding">
      <formula>NOT(ISERROR(SEARCH("Outstanding",S169)))</formula>
    </cfRule>
  </conditionalFormatting>
  <conditionalFormatting sqref="S168">
    <cfRule type="containsText" dxfId="74" priority="406" operator="containsText" text="In progress">
      <formula>NOT(ISERROR(SEARCH("In progress",S168)))</formula>
    </cfRule>
    <cfRule type="containsText" dxfId="73" priority="407" operator="containsText" text="Complete">
      <formula>NOT(ISERROR(SEARCH("Complete",S168)))</formula>
    </cfRule>
    <cfRule type="containsText" dxfId="72" priority="408" operator="containsText" text="Outstanding">
      <formula>NOT(ISERROR(SEARCH("Outstanding",S168)))</formula>
    </cfRule>
  </conditionalFormatting>
  <conditionalFormatting sqref="S267:S271">
    <cfRule type="containsText" dxfId="71" priority="403" operator="containsText" text="In progress">
      <formula>NOT(ISERROR(SEARCH("In progress",S267)))</formula>
    </cfRule>
    <cfRule type="containsText" dxfId="70" priority="404" operator="containsText" text="Complete">
      <formula>NOT(ISERROR(SEARCH("Complete",S267)))</formula>
    </cfRule>
    <cfRule type="containsText" dxfId="69" priority="405" operator="containsText" text="Outstanding">
      <formula>NOT(ISERROR(SEARCH("Outstanding",S267)))</formula>
    </cfRule>
  </conditionalFormatting>
  <conditionalFormatting sqref="S266">
    <cfRule type="containsText" dxfId="68" priority="400" operator="containsText" text="In progress">
      <formula>NOT(ISERROR(SEARCH("In progress",S266)))</formula>
    </cfRule>
    <cfRule type="containsText" dxfId="67" priority="401" operator="containsText" text="Complete">
      <formula>NOT(ISERROR(SEARCH("Complete",S266)))</formula>
    </cfRule>
    <cfRule type="containsText" dxfId="66" priority="402" operator="containsText" text="Outstanding">
      <formula>NOT(ISERROR(SEARCH("Outstanding",S266)))</formula>
    </cfRule>
  </conditionalFormatting>
  <conditionalFormatting sqref="S265">
    <cfRule type="containsText" dxfId="65" priority="397" operator="containsText" text="In progress">
      <formula>NOT(ISERROR(SEARCH("In progress",S265)))</formula>
    </cfRule>
    <cfRule type="containsText" dxfId="64" priority="398" operator="containsText" text="Complete">
      <formula>NOT(ISERROR(SEARCH("Complete",S265)))</formula>
    </cfRule>
    <cfRule type="containsText" dxfId="63" priority="399" operator="containsText" text="Outstanding">
      <formula>NOT(ISERROR(SEARCH("Outstanding",S265)))</formula>
    </cfRule>
  </conditionalFormatting>
  <conditionalFormatting sqref="S276:S280">
    <cfRule type="containsText" dxfId="62" priority="394" operator="containsText" text="In progress">
      <formula>NOT(ISERROR(SEARCH("In progress",S276)))</formula>
    </cfRule>
    <cfRule type="containsText" dxfId="61" priority="395" operator="containsText" text="Complete">
      <formula>NOT(ISERROR(SEARCH("Complete",S276)))</formula>
    </cfRule>
    <cfRule type="containsText" dxfId="60" priority="396" operator="containsText" text="Outstanding">
      <formula>NOT(ISERROR(SEARCH("Outstanding",S276)))</formula>
    </cfRule>
  </conditionalFormatting>
  <conditionalFormatting sqref="S275">
    <cfRule type="containsText" dxfId="59" priority="391" operator="containsText" text="In progress">
      <formula>NOT(ISERROR(SEARCH("In progress",S275)))</formula>
    </cfRule>
    <cfRule type="containsText" dxfId="58" priority="392" operator="containsText" text="Complete">
      <formula>NOT(ISERROR(SEARCH("Complete",S275)))</formula>
    </cfRule>
    <cfRule type="containsText" dxfId="57" priority="393" operator="containsText" text="Outstanding">
      <formula>NOT(ISERROR(SEARCH("Outstanding",S275)))</formula>
    </cfRule>
  </conditionalFormatting>
  <conditionalFormatting sqref="S274">
    <cfRule type="containsText" dxfId="56" priority="388" operator="containsText" text="In progress">
      <formula>NOT(ISERROR(SEARCH("In progress",S274)))</formula>
    </cfRule>
    <cfRule type="containsText" dxfId="55" priority="389" operator="containsText" text="Complete">
      <formula>NOT(ISERROR(SEARCH("Complete",S274)))</formula>
    </cfRule>
    <cfRule type="containsText" dxfId="54" priority="390" operator="containsText" text="Outstanding">
      <formula>NOT(ISERROR(SEARCH("Outstanding",S274)))</formula>
    </cfRule>
  </conditionalFormatting>
  <conditionalFormatting sqref="S283">
    <cfRule type="containsText" dxfId="53" priority="385" operator="containsText" text="In progress">
      <formula>NOT(ISERROR(SEARCH("In progress",S283)))</formula>
    </cfRule>
    <cfRule type="containsText" dxfId="52" priority="386" operator="containsText" text="Complete">
      <formula>NOT(ISERROR(SEARCH("Complete",S283)))</formula>
    </cfRule>
    <cfRule type="containsText" dxfId="51" priority="387" operator="containsText" text="Outstanding">
      <formula>NOT(ISERROR(SEARCH("Outstanding",S283)))</formula>
    </cfRule>
  </conditionalFormatting>
  <pageMargins left="0.7" right="0.7" top="0.75" bottom="0.75" header="0.3" footer="0.3"/>
  <pageSetup paperSize="256" orientation="portrait" horizontalDpi="1200" verticalDpi="12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02" operator="containsText" text="In progress" id="{C1A9C40D-3D3E-446E-B9D6-7464526DF50B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03" operator="containsText" text="Complete" id="{2570927A-6974-44F7-A5C4-1F44ECBBDAB6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04" operator="containsText" text="Outstanding" id="{6305E67C-690B-4C51-BAA7-BEBB404D27AF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S159:S162</xm:sqref>
        </x14:conditionalFormatting>
        <x14:conditionalFormatting xmlns:xm="http://schemas.microsoft.com/office/excel/2006/main">
          <x14:cfRule type="containsText" priority="499" operator="containsText" text="In progress" id="{8FB345C9-4EE4-4BA2-A0E3-3B573602F8BB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00" operator="containsText" text="Complete" id="{4802D15E-ABFC-4510-B16A-8D9B551605AB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01" operator="containsText" text="Outstanding" id="{D6FA2144-EB6F-432F-8298-A46727556EB5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S166:S167</xm:sqref>
        </x14:conditionalFormatting>
        <x14:conditionalFormatting xmlns:xm="http://schemas.microsoft.com/office/excel/2006/main">
          <x14:cfRule type="containsText" priority="511" operator="containsText" text="In progress" id="{96C1245B-5558-4BB5-8C3C-DCA5AF64C713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12" operator="containsText" text="Complete" id="{86A2DAA2-73F6-4819-8E93-C310A0AE3099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13" operator="containsText" text="Outstanding" id="{2D203BCD-2FBC-4F40-918C-AB13617E60E7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S152:S155</xm:sqref>
        </x14:conditionalFormatting>
        <x14:conditionalFormatting xmlns:xm="http://schemas.microsoft.com/office/excel/2006/main">
          <x14:cfRule type="containsText" priority="514" operator="containsText" text="In progress" id="{81FD61F5-856A-404C-8330-B91C930E2FA0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15" operator="containsText" text="Complete" id="{94EFD1C7-E074-45DD-BD3B-1F700513948A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16" operator="containsText" text="Outstanding" id="{8064317F-0809-44AC-BDAA-3F3540688525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S145:S148</xm:sqref>
        </x14:conditionalFormatting>
        <x14:conditionalFormatting xmlns:xm="http://schemas.microsoft.com/office/excel/2006/main">
          <x14:cfRule type="containsText" priority="517" operator="containsText" text="In progress" id="{E65AEFA9-B10E-4D84-8BF6-3F559E50549F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18" operator="containsText" text="Complete" id="{6B25F90D-E212-4699-A87B-B28913FF778A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19" operator="containsText" text="Outstanding" id="{92E4452C-81AC-43D4-A640-7D23FD18A632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S138:S141</xm:sqref>
        </x14:conditionalFormatting>
        <x14:conditionalFormatting xmlns:xm="http://schemas.microsoft.com/office/excel/2006/main">
          <x14:cfRule type="containsText" priority="463" operator="containsText" text="In progress" id="{A861A4BB-0042-4630-92D8-D72D085782BD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64" operator="containsText" text="Complete" id="{9624C54D-68BE-4A1E-A46F-8615FE832374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65" operator="containsText" text="Outstanding" id="{9BD40BC1-0F9C-4ABE-AA43-A2CC0542E4BC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S178:S180</xm:sqref>
        </x14:conditionalFormatting>
        <x14:conditionalFormatting xmlns:xm="http://schemas.microsoft.com/office/excel/2006/main">
          <x14:cfRule type="containsText" priority="466" operator="containsText" text="In progress" id="{0244B8C2-7B68-4AFF-9BAE-BDF7A493BFC5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67" operator="containsText" text="Complete" id="{BA1B75E7-A220-40DC-950F-08523E342505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68" operator="containsText" text="Outstanding" id="{8283B9C1-CB13-442C-A2E9-9A6E153E4905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S184:S187</xm:sqref>
        </x14:conditionalFormatting>
        <x14:conditionalFormatting xmlns:xm="http://schemas.microsoft.com/office/excel/2006/main">
          <x14:cfRule type="containsText" priority="469" operator="containsText" text="In progress" id="{4BF07956-C3A2-4DC6-82D1-296B0272D2F2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0" operator="containsText" text="Complete" id="{F7F6E101-86C4-46FA-9758-FA7F815D627A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71" operator="containsText" text="Outstanding" id="{03A70707-8A59-4B12-BBBB-8374F6C33B23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S191:S194</xm:sqref>
        </x14:conditionalFormatting>
        <x14:conditionalFormatting xmlns:xm="http://schemas.microsoft.com/office/excel/2006/main">
          <x14:cfRule type="containsText" priority="472" operator="containsText" text="In progress" id="{95D735F3-BEEE-4048-83FD-88E65039231A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3" operator="containsText" text="Complete" id="{A4FDABF7-13CF-409C-8A40-CDEE1B3CAE4E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74" operator="containsText" text="Outstanding" id="{2DA42CB8-5AB6-4478-A075-052FC78437FE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S198:S201</xm:sqref>
        </x14:conditionalFormatting>
        <x14:conditionalFormatting xmlns:xm="http://schemas.microsoft.com/office/excel/2006/main">
          <x14:cfRule type="containsText" priority="475" operator="containsText" text="In progress" id="{F906B36C-1590-445B-90B2-931A9F8DBF27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6" operator="containsText" text="Complete" id="{5CC994E2-E2A1-4B1C-8C0E-697FF21B1076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77" operator="containsText" text="Outstanding" id="{7773D5C9-05FC-447A-9B5E-95CF3CC8C026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S205:S208</xm:sqref>
        </x14:conditionalFormatting>
        <x14:conditionalFormatting xmlns:xm="http://schemas.microsoft.com/office/excel/2006/main">
          <x14:cfRule type="containsText" priority="478" operator="containsText" text="In progress" id="{77147AE2-7418-4561-A404-D87F02CD9A09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9" operator="containsText" text="Complete" id="{558753AE-C1DB-47EB-B883-0FE9968CB1F3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80" operator="containsText" text="Outstanding" id="{2C9AD9C8-22FE-46D9-9022-474DC3543D18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S212:S215</xm:sqref>
        </x14:conditionalFormatting>
        <x14:conditionalFormatting xmlns:xm="http://schemas.microsoft.com/office/excel/2006/main">
          <x14:cfRule type="containsText" priority="430" operator="containsText" text="In progress" id="{D82A2D5C-B160-47FF-B487-F3968B588181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31" operator="containsText" text="Complete" id="{C50FFE62-6DD4-49A1-A06C-5BCA5C02E689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32" operator="containsText" text="Outstanding" id="{A4604573-A0C5-4381-937E-55EBB5C3BFD6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S222:S224</xm:sqref>
        </x14:conditionalFormatting>
        <x14:conditionalFormatting xmlns:xm="http://schemas.microsoft.com/office/excel/2006/main">
          <x14:cfRule type="containsText" priority="433" operator="containsText" text="In progress" id="{1A83C700-A047-4E75-A448-D0A4668428D0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34" operator="containsText" text="Complete" id="{299AD033-AF5A-4DD2-95A2-2689E5EDDCEB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35" operator="containsText" text="Outstanding" id="{A162CC89-2149-45BF-A186-9A5AF03EBF47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S228:S231</xm:sqref>
        </x14:conditionalFormatting>
        <x14:conditionalFormatting xmlns:xm="http://schemas.microsoft.com/office/excel/2006/main">
          <x14:cfRule type="containsText" priority="436" operator="containsText" text="In progress" id="{488D8F61-AB7C-46DC-82C3-73E97A5A1F3A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37" operator="containsText" text="Complete" id="{71C57D65-46C9-40A8-A6C3-C1888E73CE1E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38" operator="containsText" text="Outstanding" id="{651EE954-9D46-40BB-8923-6F204545A317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S235:S238</xm:sqref>
        </x14:conditionalFormatting>
        <x14:conditionalFormatting xmlns:xm="http://schemas.microsoft.com/office/excel/2006/main">
          <x14:cfRule type="containsText" priority="439" operator="containsText" text="In progress" id="{B38F385D-6009-452D-98AB-1F95B7B527D7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40" operator="containsText" text="Complete" id="{133E8220-7F9C-4273-B47C-E7A9D637090B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41" operator="containsText" text="Outstanding" id="{0083B22B-4F96-4A5B-810D-31BB8B847920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S242:S245</xm:sqref>
        </x14:conditionalFormatting>
        <x14:conditionalFormatting xmlns:xm="http://schemas.microsoft.com/office/excel/2006/main">
          <x14:cfRule type="containsText" priority="442" operator="containsText" text="In progress" id="{C5A18E52-931B-43B3-8766-528A4BFAC246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43" operator="containsText" text="Complete" id="{02349A30-83EB-4516-AFF7-A7DF09D72D80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44" operator="containsText" text="Outstanding" id="{8FA59429-3B5B-4A2B-BBAB-E8993C6BACBC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S249:S252</xm:sqref>
        </x14:conditionalFormatting>
        <x14:conditionalFormatting xmlns:xm="http://schemas.microsoft.com/office/excel/2006/main">
          <x14:cfRule type="containsText" priority="445" operator="containsText" text="In progress" id="{C1AAF339-EE68-40B6-AD77-871269E79B60}">
            <xm:f>NOT(ISERROR(SEARCH("In progress",'https://arup.sharepoint.com/teams/prj-26714700/DataDocumentsLibrary/4-04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46" operator="containsText" text="Complete" id="{EDDA7C76-33FF-4A72-8F53-5175AA6EB15B}">
            <xm:f>NOT(ISERROR(SEARCH("Complete",'https://arup.sharepoint.com/teams/prj-26714700/DataDocumentsLibrary/4-04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47" operator="containsText" text="Outstanding" id="{9CBDCDBB-4F43-4752-8570-8D1D6E536DFD}">
            <xm:f>NOT(ISERROR(SEARCH("Outstanding",'https://arup.sharepoint.com/teams/prj-26714700/DataDocumentsLibrary/4-04 Calculations/Mech/[UCB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S256:S259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E819D8A-8099-4C65-870D-66821EC1556E}">
          <x14:formula1>
            <xm:f>'\\global.arup.com\americas\Jobs\S-F\260000\267147-00\4 Internal Project Data\4-04 Calculations\Mech\[2019-05-31 FME inputs.xlsx]Global Inputs'!#REF!</xm:f>
          </x14:formula1>
          <xm:sqref>I104:I114 I14:I101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2633-D0FB-48E9-8059-3C412CB4CC7F}">
  <dimension ref="A2:XDJ292"/>
  <sheetViews>
    <sheetView showGridLines="0" topLeftCell="A88" zoomScaleNormal="100" workbookViewId="0">
      <selection activeCell="G101" sqref="G101"/>
    </sheetView>
  </sheetViews>
  <sheetFormatPr defaultRowHeight="15" x14ac:dyDescent="0.25"/>
  <cols>
    <col min="1" max="1" width="3.7109375" customWidth="1"/>
    <col min="2" max="2" width="42.42578125" bestFit="1" customWidth="1"/>
    <col min="3" max="3" width="25.85546875" bestFit="1" customWidth="1"/>
    <col min="4" max="4" width="16.5703125" customWidth="1"/>
    <col min="5" max="5" width="16.7109375" customWidth="1"/>
    <col min="6" max="6" width="15.28515625" customWidth="1"/>
    <col min="7" max="7" width="14.28515625" customWidth="1"/>
    <col min="8" max="8" width="19.7109375" bestFit="1" customWidth="1"/>
    <col min="9" max="9" width="31.7109375" bestFit="1" customWidth="1"/>
    <col min="10" max="11" width="16.85546875" bestFit="1" customWidth="1"/>
    <col min="12" max="12" width="7.28515625" bestFit="1" customWidth="1"/>
  </cols>
  <sheetData>
    <row r="2" spans="1:12" x14ac:dyDescent="0.25">
      <c r="B2" t="s">
        <v>3</v>
      </c>
      <c r="C2" s="8" t="str">
        <f>Inputs!C2</f>
        <v>UC Berkeley</v>
      </c>
      <c r="H2" s="15" t="s">
        <v>0</v>
      </c>
    </row>
    <row r="3" spans="1:12" x14ac:dyDescent="0.25">
      <c r="B3" t="s">
        <v>4</v>
      </c>
      <c r="C3" s="8" t="str">
        <f>Inputs!C3</f>
        <v>Campus energy study update</v>
      </c>
      <c r="H3" s="8" t="s">
        <v>6</v>
      </c>
    </row>
    <row r="4" spans="1:12" x14ac:dyDescent="0.25">
      <c r="B4" t="s">
        <v>5</v>
      </c>
      <c r="C4" s="8">
        <f>Inputs!C4</f>
        <v>267147</v>
      </c>
      <c r="H4" s="18" t="s">
        <v>1</v>
      </c>
    </row>
    <row r="5" spans="1:12" x14ac:dyDescent="0.25">
      <c r="H5" s="19" t="s">
        <v>2</v>
      </c>
    </row>
    <row r="6" spans="1:12" x14ac:dyDescent="0.25">
      <c r="H6" s="13" t="s">
        <v>7</v>
      </c>
    </row>
    <row r="7" spans="1:12" s="1" customFormat="1" x14ac:dyDescent="0.25">
      <c r="B7" s="3"/>
      <c r="C7" s="3"/>
      <c r="D7" s="9"/>
      <c r="E7" s="9"/>
      <c r="F7" s="9"/>
      <c r="G7" s="9"/>
      <c r="H7" s="9"/>
      <c r="I7" s="9"/>
    </row>
    <row r="8" spans="1:12" s="1" customFormat="1" ht="23.25" x14ac:dyDescent="0.35">
      <c r="B8" s="2" t="s">
        <v>230</v>
      </c>
      <c r="C8" s="2"/>
      <c r="D8" s="10"/>
      <c r="E8" s="10"/>
      <c r="F8" s="10"/>
      <c r="G8" s="10"/>
      <c r="H8" s="10"/>
      <c r="I8" s="10"/>
    </row>
    <row r="11" spans="1:12" s="1" customFormat="1" ht="20.25" thickBot="1" x14ac:dyDescent="0.35">
      <c r="B11" s="26" t="s">
        <v>274</v>
      </c>
      <c r="C11" s="26"/>
      <c r="D11" s="26"/>
      <c r="E11" s="26"/>
      <c r="F11" s="26"/>
      <c r="G11" s="26"/>
      <c r="H11" s="26"/>
      <c r="I11" s="26"/>
      <c r="J11" s="26"/>
      <c r="K11" s="26"/>
    </row>
    <row r="12" spans="1:12" s="1" customFormat="1" ht="18" thickTop="1" thickBot="1" x14ac:dyDescent="0.3">
      <c r="B12" s="20" t="s">
        <v>172</v>
      </c>
      <c r="C12" s="20" t="s">
        <v>152</v>
      </c>
      <c r="D12" s="20" t="s">
        <v>156</v>
      </c>
      <c r="E12" s="20"/>
      <c r="F12" s="20" t="s">
        <v>7</v>
      </c>
      <c r="G12" s="20"/>
      <c r="H12" s="20" t="s">
        <v>251</v>
      </c>
      <c r="I12" s="20"/>
      <c r="J12" s="30" t="s">
        <v>254</v>
      </c>
      <c r="K12" s="20"/>
    </row>
    <row r="13" spans="1:12" s="1" customFormat="1" ht="30.75" thickTop="1" thickBot="1" x14ac:dyDescent="0.3">
      <c r="B13" s="21"/>
      <c r="C13" s="21"/>
      <c r="D13" s="21" t="s">
        <v>226</v>
      </c>
      <c r="E13" s="21" t="s">
        <v>227</v>
      </c>
      <c r="F13" s="21" t="s">
        <v>228</v>
      </c>
      <c r="G13" s="21" t="s">
        <v>229</v>
      </c>
      <c r="H13" s="21" t="s">
        <v>252</v>
      </c>
      <c r="I13" s="21" t="s">
        <v>253</v>
      </c>
      <c r="J13" s="21" t="s">
        <v>255</v>
      </c>
      <c r="K13" s="21" t="s">
        <v>256</v>
      </c>
      <c r="L13"/>
    </row>
    <row r="14" spans="1:12" x14ac:dyDescent="0.25">
      <c r="A14" s="1"/>
      <c r="B14" s="68" t="s">
        <v>175</v>
      </c>
      <c r="C14" s="29">
        <f>SUMIFS('Peak Load Calc'!G$14:G$114,'Peak Load Calc'!$H$14:$H$114,Outputs!$B14)</f>
        <v>2459914</v>
      </c>
      <c r="D14" s="74">
        <f>SUMIFS('Peak Load Calc'!W$14:W$114,'Peak Load Calc'!$H$14:$H$114,Outputs!$B14)*H14</f>
        <v>38695.150648037496</v>
      </c>
      <c r="E14" s="74">
        <f>SUMIFS('Peak Load Calc'!Y$14:Y$114,'Peak Load Calc'!$H$14:$H$114,Outputs!$B14)*I14</f>
        <v>4418.7866800000002</v>
      </c>
      <c r="F14" s="77">
        <f>$D14*Inputs!$C$15/Outputs!$C14</f>
        <v>15.730285956353553</v>
      </c>
      <c r="G14" s="77">
        <f>$C14/$E14</f>
        <v>556.69444536299727</v>
      </c>
      <c r="H14" s="58">
        <f>Inputs!$C$95</f>
        <v>0.85</v>
      </c>
      <c r="I14" s="58">
        <f>Inputs!$D$95</f>
        <v>0.95</v>
      </c>
      <c r="J14" s="15"/>
      <c r="K14" s="15"/>
    </row>
    <row r="15" spans="1:12" x14ac:dyDescent="0.25">
      <c r="A15" s="1"/>
      <c r="B15" s="68" t="s">
        <v>176</v>
      </c>
      <c r="C15" s="29">
        <f>SUMIFS('Peak Load Calc'!G$14:G$114,'Peak Load Calc'!$H$14:$H$114,Outputs!$B15)</f>
        <v>2225965</v>
      </c>
      <c r="D15" s="74">
        <f>SUMIFS('Peak Load Calc'!W$14:W$114,'Peak Load Calc'!$H$14:$H$114,Outputs!$B15)*H15</f>
        <v>29627.347072597495</v>
      </c>
      <c r="E15" s="74">
        <f>SUMIFS('Peak Load Calc'!Y$14:Y$114,'Peak Load Calc'!$H$14:$H$114,Outputs!$B15)*I15</f>
        <v>2670.9482749999997</v>
      </c>
      <c r="F15" s="77">
        <f>$D15*Inputs!$C$15/Outputs!$C15</f>
        <v>13.309889002117057</v>
      </c>
      <c r="G15" s="77">
        <f t="shared" ref="G15:G19" si="0">$C15/$E15</f>
        <v>833.39876733479616</v>
      </c>
      <c r="H15" s="58">
        <f>Inputs!$C$95</f>
        <v>0.85</v>
      </c>
      <c r="I15" s="58">
        <f>Inputs!$D$95</f>
        <v>0.95</v>
      </c>
      <c r="J15" s="15"/>
      <c r="K15" s="15"/>
    </row>
    <row r="16" spans="1:12" x14ac:dyDescent="0.25">
      <c r="A16" s="1"/>
      <c r="B16" s="68" t="s">
        <v>177</v>
      </c>
      <c r="C16" s="29">
        <f>SUMIFS('Peak Load Calc'!G$14:G$114,'Peak Load Calc'!$H$14:$H$114,Outputs!$B16)</f>
        <v>5941627</v>
      </c>
      <c r="D16" s="74">
        <f>SUMIFS('Peak Load Calc'!W$14:W$114,'Peak Load Calc'!$H$14:$H$114,Outputs!$B16)*H16</f>
        <v>105758.09278035749</v>
      </c>
      <c r="E16" s="74">
        <f>SUMIFS('Peak Load Calc'!Y$14:Y$114,'Peak Load Calc'!$H$14:$H$114,Outputs!$B16)*I16</f>
        <v>13373.224385</v>
      </c>
      <c r="F16" s="77">
        <f>$D16*Inputs!$C$15/Outputs!$C16</f>
        <v>17.799517334285287</v>
      </c>
      <c r="G16" s="77">
        <f t="shared" si="0"/>
        <v>444.29277704069574</v>
      </c>
      <c r="H16" s="58">
        <f>Inputs!$C$95</f>
        <v>0.85</v>
      </c>
      <c r="I16" s="58">
        <f>Inputs!$D$95</f>
        <v>0.95</v>
      </c>
      <c r="J16" s="15"/>
      <c r="K16" s="15"/>
    </row>
    <row r="17" spans="1:14" x14ac:dyDescent="0.25">
      <c r="A17" s="1"/>
      <c r="B17" s="68" t="s">
        <v>174</v>
      </c>
      <c r="C17" s="29">
        <f>SUMIFS('Peak Load Calc'!G$14:G$114,'Peak Load Calc'!$H$14:$H$114,Outputs!$B17)</f>
        <v>0</v>
      </c>
      <c r="D17" s="74">
        <f>SUMIFS('Peak Load Calc'!W$14:W$114,'Peak Load Calc'!$H$14:$H$114,Outputs!$B17)*H17</f>
        <v>0</v>
      </c>
      <c r="E17" s="74">
        <f>SUMIFS('Peak Load Calc'!Y$14:Y$114,'Peak Load Calc'!$H$14:$H$114,Outputs!$B17)*I17</f>
        <v>0</v>
      </c>
      <c r="F17" s="77" t="e">
        <f>$D17*Inputs!$C$15/Outputs!$C17</f>
        <v>#DIV/0!</v>
      </c>
      <c r="G17" s="77" t="e">
        <f t="shared" si="0"/>
        <v>#DIV/0!</v>
      </c>
      <c r="H17" s="58">
        <f>Inputs!$C$95</f>
        <v>0.85</v>
      </c>
      <c r="I17" s="58">
        <f>Inputs!$D$95</f>
        <v>0.95</v>
      </c>
      <c r="J17" s="15"/>
      <c r="K17" s="15"/>
    </row>
    <row r="18" spans="1:14" x14ac:dyDescent="0.25">
      <c r="A18" s="1"/>
      <c r="B18" s="68" t="s">
        <v>173</v>
      </c>
      <c r="C18" s="29">
        <f>SUMIFS('Peak Load Calc'!G$14:G$114,'Peak Load Calc'!$H$14:$H$114,Outputs!$B18)</f>
        <v>2792734</v>
      </c>
      <c r="D18" s="74">
        <f>SUMIFS('Peak Load Calc'!W$14:W$114,'Peak Load Calc'!$H$14:$H$114,Outputs!$B18)*H18</f>
        <v>53997.922524175003</v>
      </c>
      <c r="E18" s="74">
        <f>SUMIFS('Peak Load Calc'!Y$14:Y$114,'Peak Load Calc'!$H$14:$H$114,Outputs!$B18)*I18</f>
        <v>4667.4772999999996</v>
      </c>
      <c r="F18" s="77">
        <f>$D18*Inputs!$C$15/Outputs!$C18</f>
        <v>19.335147036622537</v>
      </c>
      <c r="G18" s="77">
        <f t="shared" si="0"/>
        <v>598.33906423069277</v>
      </c>
      <c r="H18" s="58">
        <f>Inputs!$C$95</f>
        <v>0.85</v>
      </c>
      <c r="I18" s="58">
        <f>Inputs!$D$95</f>
        <v>0.95</v>
      </c>
      <c r="J18" s="15"/>
      <c r="K18" s="15"/>
    </row>
    <row r="19" spans="1:14" x14ac:dyDescent="0.25">
      <c r="A19" s="1"/>
      <c r="B19" s="68" t="s">
        <v>222</v>
      </c>
      <c r="C19" s="29">
        <f>SUM(C14:C18)</f>
        <v>13420240</v>
      </c>
      <c r="D19" s="74">
        <f>SUM(D14:D18)/AVERAGE(H14:H18)*H19</f>
        <v>214662.12990604003</v>
      </c>
      <c r="E19" s="74">
        <f>SUM(E14:E18)/AVERAGE(I14:I18)*I19</f>
        <v>23807.782080000004</v>
      </c>
      <c r="F19" s="77">
        <f>$D19*Inputs!$C$15/Outputs!$C19</f>
        <v>15.995401714577389</v>
      </c>
      <c r="G19" s="77">
        <f t="shared" si="0"/>
        <v>563.69131550787438</v>
      </c>
      <c r="H19" s="58">
        <f>Inputs!$C$94</f>
        <v>0.8</v>
      </c>
      <c r="I19" s="58">
        <f>Inputs!$D$94</f>
        <v>0.9</v>
      </c>
      <c r="J19" s="15"/>
      <c r="K19" s="15"/>
    </row>
    <row r="20" spans="1:14" x14ac:dyDescent="0.25">
      <c r="A20" s="1"/>
    </row>
    <row r="21" spans="1:14" x14ac:dyDescent="0.25">
      <c r="A21" s="1"/>
    </row>
    <row r="22" spans="1:14" s="1" customFormat="1" ht="20.25" thickBot="1" x14ac:dyDescent="0.35">
      <c r="B22" s="26" t="s">
        <v>291</v>
      </c>
      <c r="C22" s="26"/>
      <c r="D22" s="26"/>
      <c r="E22" s="26"/>
      <c r="F22" s="26"/>
      <c r="G22" s="26"/>
      <c r="H22" s="26"/>
      <c r="I22" s="26"/>
      <c r="J22" s="26"/>
      <c r="K22" s="26"/>
      <c r="L22"/>
      <c r="M22"/>
      <c r="N22"/>
    </row>
    <row r="23" spans="1:14" ht="18" thickTop="1" thickBot="1" x14ac:dyDescent="0.3">
      <c r="A23" s="1"/>
      <c r="B23" s="20" t="s">
        <v>172</v>
      </c>
      <c r="C23" s="20" t="s">
        <v>156</v>
      </c>
      <c r="D23" s="20"/>
      <c r="E23" s="20"/>
      <c r="F23" s="20"/>
      <c r="G23" s="20"/>
      <c r="H23" s="20"/>
      <c r="I23" s="20"/>
      <c r="J23" s="20"/>
    </row>
    <row r="24" spans="1:14" ht="30.75" thickTop="1" thickBot="1" x14ac:dyDescent="0.3">
      <c r="A24" s="1"/>
      <c r="B24" s="21"/>
      <c r="C24" s="21" t="s">
        <v>286</v>
      </c>
      <c r="D24" s="21" t="s">
        <v>294</v>
      </c>
      <c r="E24" s="21" t="s">
        <v>295</v>
      </c>
      <c r="F24" s="21" t="s">
        <v>292</v>
      </c>
      <c r="G24" s="21" t="s">
        <v>293</v>
      </c>
      <c r="H24" s="21" t="s">
        <v>297</v>
      </c>
      <c r="I24" s="21" t="s">
        <v>298</v>
      </c>
      <c r="J24" s="21" t="s">
        <v>308</v>
      </c>
    </row>
    <row r="25" spans="1:14" x14ac:dyDescent="0.25">
      <c r="A25" s="1"/>
      <c r="B25" s="100" t="s">
        <v>175</v>
      </c>
      <c r="C25" s="74">
        <f>SUMIFS('Peak Load Calc'!P$14:P$114,'Peak Load Calc'!$H$14:$H$114,Outputs!$B14)/Inputs!$C$23</f>
        <v>0</v>
      </c>
      <c r="D25" s="74">
        <f>SUMIFS('Peak Load Calc'!Q$14:Q$114,'Peak Load Calc'!$H$14:$H$114,Outputs!$B14)</f>
        <v>6952856.8999999994</v>
      </c>
      <c r="E25" s="74">
        <f>SUMIFS('Peak Load Calc'!X$14:X$101,'Peak Load Calc'!$H$14:$H$101,Outputs!$B25)-C25</f>
        <v>2340</v>
      </c>
      <c r="F25" s="105">
        <f>C25*Inputs!$C$21/Inputs!$C$15</f>
        <v>0</v>
      </c>
      <c r="G25" s="104">
        <f>D25/Inputs!$C$17/Inputs!$C$15/Inputs!$C$15</f>
        <v>2.0377657971864007</v>
      </c>
      <c r="H25" s="105">
        <f>E25*Inputs!$C$20/Inputs!$C$15</f>
        <v>2.9249999999999998</v>
      </c>
      <c r="I25" s="74">
        <f>D25/Inputs!$C$14</f>
        <v>7167.8937113402053</v>
      </c>
      <c r="J25" s="105">
        <f>SUMIF('Peak Load Calc'!$H$14:$H$114,Outputs!$B25,'Peak Load Calc'!$AB$14:$AB$114)/Inputs!$C$15</f>
        <v>1.804850794484536</v>
      </c>
    </row>
    <row r="26" spans="1:14" x14ac:dyDescent="0.25">
      <c r="A26" s="1"/>
      <c r="B26" s="100" t="s">
        <v>176</v>
      </c>
      <c r="C26" s="74">
        <f>SUMIFS('Peak Load Calc'!P$14:P$114,'Peak Load Calc'!$H$14:$H$114,Outputs!$B15)/Inputs!$C$23</f>
        <v>0</v>
      </c>
      <c r="D26" s="74">
        <f>SUMIFS('Peak Load Calc'!Q$14:Q$114,'Peak Load Calc'!$H$14:$H$114,Outputs!$B15)</f>
        <v>1151393.02</v>
      </c>
      <c r="E26" s="74">
        <f>SUMIFS('Peak Load Calc'!X$14:X$101,'Peak Load Calc'!$H$14:$H$101,Outputs!$B26)-C26</f>
        <v>785</v>
      </c>
      <c r="F26" s="105">
        <f>C26*Inputs!$C$21/Inputs!$C$15</f>
        <v>0</v>
      </c>
      <c r="G26" s="104">
        <f>D26/Inputs!$C$17/Inputs!$C$15/Inputs!$C$15</f>
        <v>0.33745399179366936</v>
      </c>
      <c r="H26" s="105">
        <f>E26*Inputs!$C$20/Inputs!$C$15</f>
        <v>0.98124999999999996</v>
      </c>
      <c r="I26" s="74">
        <f>D26/Inputs!$C$14</f>
        <v>1187.0031134020619</v>
      </c>
      <c r="J26" s="105">
        <f>SUMIF('Peak Load Calc'!$H$14:$H$114,Outputs!$B26,'Peak Load Calc'!$AB$14:$AB$114)/Inputs!$C$15</f>
        <v>1.8002227274226805</v>
      </c>
    </row>
    <row r="27" spans="1:14" x14ac:dyDescent="0.25">
      <c r="A27" s="1"/>
      <c r="B27" s="100" t="s">
        <v>177</v>
      </c>
      <c r="C27" s="74">
        <f>SUMIFS('Peak Load Calc'!P$14:P$114,'Peak Load Calc'!$H$14:$H$114,Outputs!$B16)/Inputs!$C$23</f>
        <v>3121.2029516666666</v>
      </c>
      <c r="D27" s="74">
        <f>SUMIFS('Peak Load Calc'!Q$14:Q$114,'Peak Load Calc'!$H$14:$H$114,Outputs!$B16)</f>
        <v>14233919.82</v>
      </c>
      <c r="E27" s="74">
        <f>SUMIFS('Peak Load Calc'!X$14:X$101,'Peak Load Calc'!$H$14:$H$101,Outputs!$B27)-C27</f>
        <v>6158.7970483333338</v>
      </c>
      <c r="F27" s="105">
        <f>C27*Inputs!$C$21/Inputs!$C$15</f>
        <v>1.5606014758333333</v>
      </c>
      <c r="G27" s="104">
        <f>D27/Inputs!$C$17/Inputs!$C$15/Inputs!$C$15</f>
        <v>4.1717232766705745</v>
      </c>
      <c r="H27" s="105">
        <f>E27*Inputs!$C$20/Inputs!$C$15</f>
        <v>7.698496310416667</v>
      </c>
      <c r="I27" s="74">
        <f>D27/Inputs!$C$14</f>
        <v>14674.144144329897</v>
      </c>
      <c r="J27" s="105">
        <f>SUMIF('Peak Load Calc'!$H$14:$H$114,Outputs!$B27,'Peak Load Calc'!$AB$14:$AB$114)/Inputs!$C$15</f>
        <v>4.0283345616494852</v>
      </c>
    </row>
    <row r="28" spans="1:14" x14ac:dyDescent="0.25">
      <c r="A28" s="1"/>
      <c r="B28" s="115" t="s">
        <v>174</v>
      </c>
      <c r="C28" s="74">
        <f>SUMIFS('Peak Load Calc'!P$14:P$114,'Peak Load Calc'!$H$14:$H$114,Outputs!$B17)/Inputs!$C$23</f>
        <v>0</v>
      </c>
      <c r="D28" s="74">
        <f>SUMIFS('Peak Load Calc'!Q$14:Q$114,'Peak Load Calc'!$H$14:$H$114,Outputs!$B17)</f>
        <v>0</v>
      </c>
      <c r="E28" s="74">
        <f>SUMIFS('Peak Load Calc'!X$14:X$101,'Peak Load Calc'!$H$14:$H$101,Outputs!$B28)-C28</f>
        <v>0</v>
      </c>
      <c r="F28" s="105">
        <f>C28*Inputs!$C$21/Inputs!$C$15</f>
        <v>0</v>
      </c>
      <c r="G28" s="104">
        <f>D28/Inputs!$C$17/Inputs!$C$15/Inputs!$C$15</f>
        <v>0</v>
      </c>
      <c r="H28" s="105">
        <f>E28*Inputs!$C$20/Inputs!$C$15</f>
        <v>0</v>
      </c>
      <c r="I28" s="74">
        <f>D28/Inputs!$C$14</f>
        <v>0</v>
      </c>
      <c r="J28" s="105">
        <f>SUMIF('Peak Load Calc'!$H$14:$H$114,Outputs!$B28,'Peak Load Calc'!$AB$14:$AB$114)/Inputs!$C$15</f>
        <v>0</v>
      </c>
    </row>
    <row r="29" spans="1:14" x14ac:dyDescent="0.25">
      <c r="A29" s="1"/>
      <c r="B29" s="100" t="s">
        <v>173</v>
      </c>
      <c r="C29" s="74">
        <f>SUMIFS('Peak Load Calc'!P$14:P$114,'Peak Load Calc'!$H$14:$H$114,Outputs!$B18)/Inputs!$C$23</f>
        <v>0</v>
      </c>
      <c r="D29" s="74">
        <f>SUMIFS('Peak Load Calc'!Q$14:Q$114,'Peak Load Calc'!$H$14:$H$114,Outputs!$B18)</f>
        <v>5391000.0000000009</v>
      </c>
      <c r="E29" s="74">
        <f>SUMIFS('Peak Load Calc'!X$14:X$101,'Peak Load Calc'!$H$14:$H$101,Outputs!$B29)-C29</f>
        <v>0</v>
      </c>
      <c r="F29" s="105">
        <f>C29*Inputs!$C$21/Inputs!$C$15</f>
        <v>0</v>
      </c>
      <c r="G29" s="104">
        <f>D29/Inputs!$C$17/Inputs!$C$15/Inputs!$C$15</f>
        <v>1.580011723329426</v>
      </c>
      <c r="H29" s="105">
        <f>E29*Inputs!$C$20/Inputs!$C$15</f>
        <v>0</v>
      </c>
      <c r="I29" s="74">
        <f>D29/Inputs!$C$14</f>
        <v>5557.7319587628872</v>
      </c>
      <c r="J29" s="105">
        <f>SUMIF('Peak Load Calc'!$H$14:$H$114,Outputs!$B29,'Peak Load Calc'!$AB$14:$AB$114)/Inputs!$C$15</f>
        <v>3.0577983085051548</v>
      </c>
    </row>
    <row r="30" spans="1:14" x14ac:dyDescent="0.25">
      <c r="A30" s="1"/>
      <c r="B30" s="100" t="s">
        <v>222</v>
      </c>
      <c r="C30" s="74">
        <f>SUM(C25:C29)</f>
        <v>3121.2029516666666</v>
      </c>
      <c r="D30" s="74">
        <f>SUM(D25:D29)</f>
        <v>27729169.740000002</v>
      </c>
      <c r="E30" s="74">
        <f>SUM(E25:E29)</f>
        <v>9283.7970483333338</v>
      </c>
      <c r="F30" s="105">
        <f>C30*Inputs!$C$21/Inputs!$C$15</f>
        <v>1.5606014758333333</v>
      </c>
      <c r="G30" s="104">
        <f>D30/Inputs!$C$17/Inputs!$C$15/Inputs!$C$15</f>
        <v>8.126954788980072</v>
      </c>
      <c r="H30" s="105">
        <f>E30*Inputs!$C$20/Inputs!$C$15</f>
        <v>11.604746310416667</v>
      </c>
      <c r="I30" s="74">
        <f>SUM(I25:I29)</f>
        <v>28586.772927835053</v>
      </c>
      <c r="J30" s="109">
        <f>SUM(J25:J29)</f>
        <v>10.691206392061858</v>
      </c>
    </row>
    <row r="31" spans="1:14" x14ac:dyDescent="0.25">
      <c r="A31" s="1"/>
    </row>
    <row r="32" spans="1:14" x14ac:dyDescent="0.25">
      <c r="A32" s="1"/>
    </row>
    <row r="33" spans="1:13" ht="20.25" thickBot="1" x14ac:dyDescent="0.35">
      <c r="A33" s="1"/>
      <c r="B33" s="26" t="s">
        <v>275</v>
      </c>
      <c r="C33" s="26"/>
      <c r="D33" s="26"/>
      <c r="E33" s="26"/>
      <c r="F33" s="26"/>
      <c r="G33" s="26"/>
      <c r="H33" s="26"/>
      <c r="I33" s="26"/>
      <c r="J33" s="1"/>
      <c r="K33" s="1"/>
      <c r="L33" s="1"/>
    </row>
    <row r="34" spans="1:13" ht="18" thickTop="1" thickBot="1" x14ac:dyDescent="0.3">
      <c r="A34" s="1"/>
      <c r="B34" s="20" t="s">
        <v>231</v>
      </c>
      <c r="C34" s="20" t="s">
        <v>152</v>
      </c>
      <c r="D34" s="20" t="s">
        <v>156</v>
      </c>
      <c r="E34" s="20"/>
      <c r="F34" s="20" t="s">
        <v>7</v>
      </c>
      <c r="G34" s="20"/>
      <c r="H34" s="20" t="s">
        <v>283</v>
      </c>
      <c r="I34" s="20" t="s">
        <v>276</v>
      </c>
      <c r="K34" s="1"/>
      <c r="L34" s="1"/>
      <c r="M34" s="1"/>
    </row>
    <row r="35" spans="1:13" ht="30.75" thickTop="1" thickBot="1" x14ac:dyDescent="0.3">
      <c r="A35" s="1"/>
      <c r="B35" s="20"/>
      <c r="C35" s="20"/>
      <c r="D35" s="21" t="s">
        <v>226</v>
      </c>
      <c r="E35" s="21" t="s">
        <v>227</v>
      </c>
      <c r="F35" s="20"/>
      <c r="G35" s="20"/>
      <c r="H35" s="20"/>
      <c r="I35" s="20" t="s">
        <v>172</v>
      </c>
      <c r="K35" s="1"/>
      <c r="L35" s="1"/>
      <c r="M35" s="1"/>
    </row>
    <row r="36" spans="1:13" s="1" customFormat="1" ht="15.75" thickTop="1" x14ac:dyDescent="0.25">
      <c r="B36" s="92" t="s">
        <v>258</v>
      </c>
      <c r="C36" s="29">
        <f>SUMIFS('Peak Load Calc'!G$14:G$114,'Peak Load Calc'!$I$14:$I$114,Outputs!$B36)</f>
        <v>672280</v>
      </c>
      <c r="D36" s="74">
        <f>SUMIFS('Peak Load Calc'!W$14:W$114,'Peak Load Calc'!$I$14:$I$114,Outputs!$B36)</f>
        <v>17475.307114000003</v>
      </c>
      <c r="E36" s="74">
        <f>SUMIFS('Peak Load Calc'!Y$14:Y$114,'Peak Load Calc'!$I$14:$I$114,Outputs!$B36)</f>
        <v>1996.0409</v>
      </c>
      <c r="F36" s="79">
        <f>$D36*Inputs!$C$15/Outputs!$C36</f>
        <v>25.994090429582918</v>
      </c>
      <c r="G36" s="77">
        <f>$C36/$E36</f>
        <v>336.80672575396625</v>
      </c>
      <c r="H36" s="97">
        <v>2025</v>
      </c>
      <c r="I36" s="90" t="s">
        <v>175</v>
      </c>
      <c r="J36"/>
    </row>
    <row r="37" spans="1:13" s="1" customFormat="1" x14ac:dyDescent="0.25">
      <c r="B37" s="92" t="s">
        <v>269</v>
      </c>
      <c r="C37" s="29">
        <f>SUMIFS('Peak Load Calc'!G$14:G$114,'Peak Load Calc'!$I$14:$I$114,Outputs!$B37)</f>
        <v>586747</v>
      </c>
      <c r="D37" s="74">
        <f>SUMIFS('Peak Load Calc'!W$14:W$114,'Peak Load Calc'!$I$14:$I$114,Outputs!$B37)</f>
        <v>12160.526950749998</v>
      </c>
      <c r="E37" s="74">
        <f>SUMIFS('Peak Load Calc'!Y$14:Y$114,'Peak Load Calc'!$I$14:$I$114,Outputs!$B37)</f>
        <v>1769.4265000000003</v>
      </c>
      <c r="F37" s="79">
        <f>$D37*Inputs!$C$15/Outputs!$C37</f>
        <v>20.725332981250858</v>
      </c>
      <c r="G37" s="77">
        <f t="shared" ref="G37:G62" si="1">$C37/$E37</f>
        <v>331.60292332007003</v>
      </c>
      <c r="H37" s="97">
        <v>2030</v>
      </c>
      <c r="I37" s="90" t="s">
        <v>175</v>
      </c>
      <c r="J37"/>
    </row>
    <row r="38" spans="1:13" s="1" customFormat="1" x14ac:dyDescent="0.25">
      <c r="B38" s="94" t="s">
        <v>265</v>
      </c>
      <c r="C38" s="29">
        <f>SUMIFS('Peak Load Calc'!G$14:G$114,'Peak Load Calc'!$I$14:$I$114,Outputs!$B38)</f>
        <v>389804</v>
      </c>
      <c r="D38" s="74">
        <f>SUMIFS('Peak Load Calc'!W$14:W$114,'Peak Load Calc'!$I$14:$I$114,Outputs!$B38)</f>
        <v>9406.6512215999992</v>
      </c>
      <c r="E38" s="74">
        <f>SUMIFS('Peak Load Calc'!Y$14:Y$114,'Peak Load Calc'!$I$14:$I$114,Outputs!$B38)</f>
        <v>961.678</v>
      </c>
      <c r="F38" s="79">
        <f>$D38*Inputs!$C$15/Outputs!$C38</f>
        <v>24.131746266328719</v>
      </c>
      <c r="G38" s="77">
        <f t="shared" si="1"/>
        <v>405.33733744558992</v>
      </c>
      <c r="H38" s="96">
        <v>2035</v>
      </c>
      <c r="I38" s="89" t="s">
        <v>176</v>
      </c>
      <c r="J38"/>
    </row>
    <row r="39" spans="1:13" x14ac:dyDescent="0.25">
      <c r="A39" s="1"/>
      <c r="B39" s="94" t="s">
        <v>266</v>
      </c>
      <c r="C39" s="29">
        <f>SUMIFS('Peak Load Calc'!G$14:G$114,'Peak Load Calc'!$I$14:$I$114,Outputs!$B39)</f>
        <v>1985373</v>
      </c>
      <c r="D39" s="74">
        <f>SUMIFS('Peak Load Calc'!W$14:W$114,'Peak Load Calc'!$I$14:$I$114,Outputs!$B39)</f>
        <v>50188.146980000005</v>
      </c>
      <c r="E39" s="74">
        <f>SUMIFS('Peak Load Calc'!Y$14:Y$114,'Peak Load Calc'!$I$14:$I$114,Outputs!$B39)</f>
        <v>4235.3729999999996</v>
      </c>
      <c r="F39" s="79">
        <f>$D39*Inputs!$C$15/Outputs!$C39</f>
        <v>25.278951098861526</v>
      </c>
      <c r="G39" s="77">
        <f t="shared" si="1"/>
        <v>468.75989434696783</v>
      </c>
      <c r="H39" s="96">
        <v>2040</v>
      </c>
      <c r="I39" s="89" t="s">
        <v>282</v>
      </c>
      <c r="K39" s="1"/>
      <c r="L39" s="1"/>
      <c r="M39" s="1"/>
    </row>
    <row r="40" spans="1:13" s="1" customFormat="1" x14ac:dyDescent="0.25">
      <c r="B40" s="94" t="s">
        <v>261</v>
      </c>
      <c r="C40" s="29">
        <f>SUMIFS('Peak Load Calc'!G$14:G$114,'Peak Load Calc'!$I$14:$I$114,Outputs!$B40)</f>
        <v>242207</v>
      </c>
      <c r="D40" s="74">
        <f>SUMIFS('Peak Load Calc'!W$14:W$114,'Peak Load Calc'!$I$14:$I$114,Outputs!$B40)</f>
        <v>6258.6288800000002</v>
      </c>
      <c r="E40" s="74">
        <f>SUMIFS('Peak Load Calc'!Y$14:Y$114,'Peak Load Calc'!$I$14:$I$114,Outputs!$B40)</f>
        <v>225</v>
      </c>
      <c r="F40" s="79">
        <f>$D40*Inputs!$C$15/Outputs!$C40</f>
        <v>25.84</v>
      </c>
      <c r="G40" s="77">
        <f t="shared" si="1"/>
        <v>1076.4755555555555</v>
      </c>
      <c r="H40" s="96">
        <v>2040</v>
      </c>
      <c r="I40" s="95" t="s">
        <v>177</v>
      </c>
      <c r="J40"/>
    </row>
    <row r="41" spans="1:13" s="1" customFormat="1" x14ac:dyDescent="0.25">
      <c r="B41" s="94" t="s">
        <v>263</v>
      </c>
      <c r="C41" s="29">
        <f>SUMIFS('Peak Load Calc'!G$14:G$114,'Peak Load Calc'!$I$14:$I$114,Outputs!$B41)</f>
        <v>160659</v>
      </c>
      <c r="D41" s="74">
        <f>SUMIFS('Peak Load Calc'!W$14:W$114,'Peak Load Calc'!$I$14:$I$114,Outputs!$B41)</f>
        <v>1982.0372547500001</v>
      </c>
      <c r="E41" s="74">
        <f>SUMIFS('Peak Load Calc'!Y$14:Y$114,'Peak Load Calc'!$I$14:$I$114,Outputs!$B41)</f>
        <v>112.46129999999999</v>
      </c>
      <c r="F41" s="79">
        <f>$D41*Inputs!$C$15/Outputs!$C41</f>
        <v>12.336920152310173</v>
      </c>
      <c r="G41" s="77">
        <f t="shared" si="1"/>
        <v>1428.5714285714287</v>
      </c>
      <c r="H41" s="96">
        <v>2045</v>
      </c>
      <c r="I41" s="95" t="s">
        <v>177</v>
      </c>
      <c r="J41"/>
    </row>
    <row r="42" spans="1:13" s="1" customFormat="1" x14ac:dyDescent="0.25">
      <c r="B42" s="94" t="s">
        <v>260</v>
      </c>
      <c r="C42" s="29">
        <f>SUMIFS('Peak Load Calc'!G$14:G$114,'Peak Load Calc'!$I$14:$I$114,Outputs!$B42)</f>
        <v>1238563</v>
      </c>
      <c r="D42" s="74">
        <f>SUMIFS('Peak Load Calc'!W$14:W$114,'Peak Load Calc'!$I$14:$I$114,Outputs!$B42)</f>
        <v>30152.96723925</v>
      </c>
      <c r="E42" s="74">
        <f>SUMIFS('Peak Load Calc'!Y$14:Y$114,'Peak Load Calc'!$I$14:$I$114,Outputs!$B42)</f>
        <v>3390.2945</v>
      </c>
      <c r="F42" s="79">
        <f>$D42*Inputs!$C$15/Outputs!$C42</f>
        <v>24.345121918909253</v>
      </c>
      <c r="G42" s="77">
        <f t="shared" si="1"/>
        <v>365.32608007947391</v>
      </c>
      <c r="H42" s="96">
        <v>2035</v>
      </c>
      <c r="I42" s="95" t="s">
        <v>177</v>
      </c>
      <c r="J42"/>
    </row>
    <row r="43" spans="1:13" x14ac:dyDescent="0.25">
      <c r="A43" s="1"/>
      <c r="B43" s="94" t="s">
        <v>268</v>
      </c>
      <c r="C43" s="29">
        <f>SUMIFS('Peak Load Calc'!G$14:G$114,'Peak Load Calc'!$I$14:$I$114,Outputs!$B43)</f>
        <v>1337286</v>
      </c>
      <c r="D43" s="74">
        <f>SUMIFS('Peak Load Calc'!W$14:W$114,'Peak Load Calc'!$I$14:$I$114,Outputs!$B43)</f>
        <v>23890.02743975</v>
      </c>
      <c r="E43" s="74">
        <f>SUMIFS('Peak Load Calc'!Y$14:Y$114,'Peak Load Calc'!$I$14:$I$114,Outputs!$B43)</f>
        <v>3548.7420000000002</v>
      </c>
      <c r="F43" s="79">
        <f>$D43*Inputs!$C$15/Outputs!$C43</f>
        <v>17.864561088465745</v>
      </c>
      <c r="G43" s="77">
        <f t="shared" si="1"/>
        <v>376.83381885749935</v>
      </c>
      <c r="H43" s="96">
        <v>2030</v>
      </c>
      <c r="I43" s="95" t="s">
        <v>177</v>
      </c>
      <c r="K43" s="1"/>
      <c r="L43" s="1"/>
      <c r="M43" s="1"/>
    </row>
    <row r="44" spans="1:13" s="1" customFormat="1" x14ac:dyDescent="0.25">
      <c r="B44" s="94" t="s">
        <v>270</v>
      </c>
      <c r="C44" s="29">
        <f>SUMIFS('Peak Load Calc'!G$14:G$114,'Peak Load Calc'!$I$14:$I$114,Outputs!$B44)</f>
        <v>757538</v>
      </c>
      <c r="D44" s="74">
        <f>SUMIFS('Peak Load Calc'!W$14:W$114,'Peak Load Calc'!$I$14:$I$114,Outputs!$B44)</f>
        <v>18052.584002850002</v>
      </c>
      <c r="E44" s="74">
        <f>SUMIFS('Peak Load Calc'!Y$14:Y$114,'Peak Load Calc'!$I$14:$I$114,Outputs!$B44)</f>
        <v>2228.2640000000001</v>
      </c>
      <c r="F44" s="79">
        <f>$D44*Inputs!$C$15/Outputs!$C44</f>
        <v>23.830598600796268</v>
      </c>
      <c r="G44" s="77">
        <f t="shared" si="1"/>
        <v>339.96779555743842</v>
      </c>
      <c r="H44" s="96">
        <v>2040</v>
      </c>
      <c r="I44" s="95" t="s">
        <v>177</v>
      </c>
      <c r="J44"/>
    </row>
    <row r="45" spans="1:13" s="1" customFormat="1" x14ac:dyDescent="0.25">
      <c r="B45" s="94" t="s">
        <v>267</v>
      </c>
      <c r="C45" s="29">
        <f>SUMIFS('Peak Load Calc'!G$14:G$114,'Peak Load Calc'!$I$14:$I$114,Outputs!$B45)</f>
        <v>310869</v>
      </c>
      <c r="D45" s="74">
        <f>SUMIFS('Peak Load Calc'!W$14:W$114,'Peak Load Calc'!$I$14:$I$114,Outputs!$B45)</f>
        <v>5068.5030799999995</v>
      </c>
      <c r="E45" s="74">
        <f>SUMIFS('Peak Load Calc'!Y$14:Y$114,'Peak Load Calc'!$I$14:$I$114,Outputs!$B45)</f>
        <v>973.20249999999999</v>
      </c>
      <c r="F45" s="79">
        <f>$D45*Inputs!$C$15/Outputs!$C45</f>
        <v>16.304305286149468</v>
      </c>
      <c r="G45" s="77">
        <f t="shared" si="1"/>
        <v>319.42889583616977</v>
      </c>
      <c r="H45" s="96">
        <v>2035</v>
      </c>
      <c r="I45" s="95" t="s">
        <v>177</v>
      </c>
      <c r="J45"/>
    </row>
    <row r="46" spans="1:13" s="1" customFormat="1" x14ac:dyDescent="0.25">
      <c r="B46" s="94" t="s">
        <v>271</v>
      </c>
      <c r="C46" s="29">
        <f>SUMIFS('Peak Load Calc'!G$14:G$114,'Peak Load Calc'!$I$14:$I$114,Outputs!$B46)</f>
        <v>411114</v>
      </c>
      <c r="D46" s="74">
        <f>SUMIFS('Peak Load Calc'!W$14:W$114,'Peak Load Calc'!$I$14:$I$114,Outputs!$B46)</f>
        <v>3145.2890510000002</v>
      </c>
      <c r="E46" s="74">
        <f>SUMIFS('Peak Load Calc'!Y$14:Y$114,'Peak Load Calc'!$I$14:$I$114,Outputs!$B46)</f>
        <v>411.11400000000003</v>
      </c>
      <c r="F46" s="79">
        <f>$D46*Inputs!$C$15/Outputs!$C46</f>
        <v>7.6506493357073708</v>
      </c>
      <c r="G46" s="77">
        <f t="shared" si="1"/>
        <v>999.99999999999989</v>
      </c>
      <c r="H46" s="96">
        <v>2040</v>
      </c>
      <c r="I46" s="94" t="s">
        <v>176</v>
      </c>
      <c r="J46"/>
    </row>
    <row r="47" spans="1:13" s="1" customFormat="1" x14ac:dyDescent="0.25">
      <c r="B47" s="94" t="s">
        <v>262</v>
      </c>
      <c r="C47" s="29">
        <f>SUMIFS('Peak Load Calc'!G$14:G$114,'Peak Load Calc'!$I$14:$I$114,Outputs!$B47)</f>
        <v>932841</v>
      </c>
      <c r="D47" s="74">
        <f>SUMIFS('Peak Load Calc'!W$14:W$114,'Peak Load Calc'!$I$14:$I$114,Outputs!$B47)</f>
        <v>15879.361852999999</v>
      </c>
      <c r="E47" s="74">
        <f>SUMIFS('Peak Load Calc'!Y$14:Y$114,'Peak Load Calc'!$I$14:$I$114,Outputs!$B47)</f>
        <v>929.11400000000003</v>
      </c>
      <c r="F47" s="79">
        <f>$D47*Inputs!$C$15/Outputs!$C47</f>
        <v>17.022581397044082</v>
      </c>
      <c r="G47" s="77">
        <f t="shared" si="1"/>
        <v>1004.0113484459388</v>
      </c>
      <c r="H47" s="96">
        <v>2035</v>
      </c>
      <c r="I47" s="94" t="s">
        <v>176</v>
      </c>
      <c r="J47"/>
    </row>
    <row r="48" spans="1:13" s="1" customFormat="1" x14ac:dyDescent="0.25">
      <c r="B48" s="94" t="s">
        <v>259</v>
      </c>
      <c r="C48" s="29">
        <f>SUMIFS('Peak Load Calc'!G$14:G$114,'Peak Load Calc'!$I$14:$I$114,Outputs!$B48)</f>
        <v>492206</v>
      </c>
      <c r="D48" s="74">
        <f>SUMIFS('Peak Load Calc'!W$14:W$114,'Peak Load Calc'!$I$14:$I$114,Outputs!$B48)</f>
        <v>6424.40031275</v>
      </c>
      <c r="E48" s="74">
        <f>SUMIFS('Peak Load Calc'!Y$14:Y$114,'Peak Load Calc'!$I$14:$I$114,Outputs!$B48)</f>
        <v>509.61849999999998</v>
      </c>
      <c r="F48" s="79">
        <f>$D48*Inputs!$C$15/Outputs!$C48</f>
        <v>13.05225924257323</v>
      </c>
      <c r="G48" s="77">
        <f t="shared" si="1"/>
        <v>965.83228434603529</v>
      </c>
      <c r="H48" s="96">
        <v>2040</v>
      </c>
      <c r="I48" s="94" t="s">
        <v>176</v>
      </c>
      <c r="J48"/>
    </row>
    <row r="49" spans="1:13" x14ac:dyDescent="0.25">
      <c r="A49" s="1"/>
      <c r="B49" s="94" t="s">
        <v>279</v>
      </c>
      <c r="C49" s="29">
        <f>SUMIFS('Peak Load Calc'!G$14:G$114,'Peak Load Calc'!$I$14:$I$114,Outputs!$B49)</f>
        <v>99568</v>
      </c>
      <c r="D49" s="74">
        <f>SUMIFS('Peak Load Calc'!W$14:W$114,'Peak Load Calc'!$I$14:$I$114,Outputs!$B49)</f>
        <v>1849.5068824999998</v>
      </c>
      <c r="E49" s="74">
        <f>SUMIFS('Peak Load Calc'!Y$14:Y$114,'Peak Load Calc'!$I$14:$I$114,Outputs!$B49)</f>
        <v>99.567999999999998</v>
      </c>
      <c r="F49" s="79">
        <f>$D49*Inputs!$C$15/Outputs!$C49</f>
        <v>18.575314182267395</v>
      </c>
      <c r="G49" s="77">
        <f t="shared" si="1"/>
        <v>1000</v>
      </c>
      <c r="H49" s="96">
        <v>2045</v>
      </c>
      <c r="I49" s="95" t="s">
        <v>177</v>
      </c>
      <c r="K49" s="1"/>
      <c r="L49" s="1"/>
      <c r="M49" s="1"/>
    </row>
    <row r="50" spans="1:13" s="1" customFormat="1" x14ac:dyDescent="0.25">
      <c r="B50" s="94" t="s">
        <v>280</v>
      </c>
      <c r="C50" s="29">
        <f>SUMIFS('Peak Load Calc'!G$14:G$114,'Peak Load Calc'!$I$14:$I$114,Outputs!$B50)</f>
        <v>618914</v>
      </c>
      <c r="D50" s="74">
        <f>SUMIFS('Peak Load Calc'!W$14:W$114,'Peak Load Calc'!$I$14:$I$114,Outputs!$B50)</f>
        <v>13955.556637099997</v>
      </c>
      <c r="E50" s="74">
        <f>SUMIFS('Peak Load Calc'!Y$14:Y$114,'Peak Load Calc'!$I$14:$I$114,Outputs!$B50)</f>
        <v>826.51400000000001</v>
      </c>
      <c r="F50" s="79">
        <f>$D50*Inputs!$C$15/Outputs!$C50</f>
        <v>22.548458488739946</v>
      </c>
      <c r="G50" s="77">
        <f t="shared" si="1"/>
        <v>748.82458131380713</v>
      </c>
      <c r="H50" s="96">
        <v>2030</v>
      </c>
      <c r="I50" s="95" t="s">
        <v>177</v>
      </c>
      <c r="J50"/>
    </row>
    <row r="51" spans="1:13" s="1" customFormat="1" x14ac:dyDescent="0.25">
      <c r="B51" s="94" t="s">
        <v>281</v>
      </c>
      <c r="C51" s="29">
        <f>SUMIFS('Peak Load Calc'!G$14:G$114,'Peak Load Calc'!$I$14:$I$114,Outputs!$B51)</f>
        <v>553314</v>
      </c>
      <c r="D51" s="74">
        <f>SUMIFS('Peak Load Calc'!W$14:W$114,'Peak Load Calc'!$I$14:$I$114,Outputs!$B51)</f>
        <v>11947.913815749998</v>
      </c>
      <c r="E51" s="74">
        <f>SUMIFS('Peak Load Calc'!Y$14:Y$114,'Peak Load Calc'!$I$14:$I$114,Outputs!$B51)</f>
        <v>623.03199999999993</v>
      </c>
      <c r="F51" s="79">
        <f>$D51*Inputs!$C$15/Outputs!$C51</f>
        <v>21.593369796806151</v>
      </c>
      <c r="G51" s="77">
        <f t="shared" si="1"/>
        <v>888.09884564516756</v>
      </c>
      <c r="H51" s="96">
        <v>2045</v>
      </c>
      <c r="I51" s="95" t="s">
        <v>177</v>
      </c>
      <c r="J51"/>
    </row>
    <row r="52" spans="1:13" s="1" customFormat="1" x14ac:dyDescent="0.25">
      <c r="B52" s="94" t="s">
        <v>273</v>
      </c>
      <c r="C52" s="29">
        <f>SUMIFS('Peak Load Calc'!G$14:G$114,'Peak Load Calc'!$I$14:$I$114,Outputs!$B52)</f>
        <v>622709</v>
      </c>
      <c r="D52" s="74">
        <f>SUMIFS('Peak Load Calc'!W$14:W$114,'Peak Load Calc'!$I$14:$I$114,Outputs!$B52)</f>
        <v>11263.560391999999</v>
      </c>
      <c r="E52" s="74">
        <f>SUMIFS('Peak Load Calc'!Y$14:Y$114,'Peak Load Calc'!$I$14:$I$114,Outputs!$B52)</f>
        <v>2050</v>
      </c>
      <c r="F52" s="79">
        <f>$D52*Inputs!$C$15/Outputs!$C52</f>
        <v>18.087999999999997</v>
      </c>
      <c r="G52" s="77">
        <f t="shared" si="1"/>
        <v>303.76048780487804</v>
      </c>
      <c r="H52" s="96">
        <v>2045</v>
      </c>
      <c r="I52" s="95" t="s">
        <v>177</v>
      </c>
      <c r="J52"/>
    </row>
    <row r="53" spans="1:13" s="1" customFormat="1" x14ac:dyDescent="0.25">
      <c r="B53" s="94" t="s">
        <v>257</v>
      </c>
      <c r="C53" s="29">
        <f>SUMIFS('Peak Load Calc'!G$14:G$114,'Peak Load Calc'!$I$14:$I$114,Outputs!$B53)</f>
        <v>375361</v>
      </c>
      <c r="D53" s="74">
        <f>SUMIFS('Peak Load Calc'!W$14:W$114,'Peak Load Calc'!$I$14:$I$114,Outputs!$B53)</f>
        <v>8406.2230955000014</v>
      </c>
      <c r="E53" s="74">
        <f>SUMIFS('Peak Load Calc'!Y$14:Y$114,'Peak Load Calc'!$I$14:$I$114,Outputs!$B53)</f>
        <v>375.36099999999999</v>
      </c>
      <c r="F53" s="79">
        <f>$D53*Inputs!$C$15/Outputs!$C53</f>
        <v>22.395035966709386</v>
      </c>
      <c r="G53" s="77">
        <f t="shared" si="1"/>
        <v>1000</v>
      </c>
      <c r="H53" s="96">
        <v>2045</v>
      </c>
      <c r="I53" s="95" t="s">
        <v>173</v>
      </c>
      <c r="J53"/>
    </row>
    <row r="54" spans="1:13" s="1" customFormat="1" x14ac:dyDescent="0.25">
      <c r="B54" s="94" t="s">
        <v>264</v>
      </c>
      <c r="C54" s="29">
        <f>SUMIFS('Peak Load Calc'!G$14:G$114,'Peak Load Calc'!$I$14:$I$114,Outputs!$B54)</f>
        <v>57537</v>
      </c>
      <c r="D54" s="74">
        <f>SUMIFS('Peak Load Calc'!W$14:W$114,'Peak Load Calc'!$I$14:$I$114,Outputs!$B54)</f>
        <v>0</v>
      </c>
      <c r="E54" s="74">
        <f>SUMIFS('Peak Load Calc'!Y$14:Y$114,'Peak Load Calc'!$I$14:$I$114,Outputs!$B54)</f>
        <v>57.536999999999999</v>
      </c>
      <c r="F54" s="79">
        <f>$D54*Inputs!$C$15/Outputs!$C54</f>
        <v>0</v>
      </c>
      <c r="G54" s="77">
        <f t="shared" si="1"/>
        <v>1000</v>
      </c>
      <c r="H54" s="96">
        <v>2500</v>
      </c>
      <c r="I54" s="89" t="s">
        <v>16</v>
      </c>
      <c r="J54"/>
    </row>
    <row r="55" spans="1:13" s="1" customFormat="1" x14ac:dyDescent="0.25">
      <c r="B55" s="92" t="s">
        <v>153</v>
      </c>
      <c r="C55" s="29">
        <f>SUMIFS('Peak Load Calc'!G$14:G$114,'Peak Load Calc'!$I$14:$I$114,Outputs!$B55)</f>
        <v>1050000</v>
      </c>
      <c r="D55" s="74">
        <f>SUMIFS('Peak Load Calc'!W$14:W$114,'Peak Load Calc'!$I$14:$I$114,Outputs!$B55)</f>
        <v>11988.952500000001</v>
      </c>
      <c r="E55" s="74">
        <f>SUMIFS('Peak Load Calc'!Y$14:Y$114,'Peak Load Calc'!$I$14:$I$114,Outputs!$B55)</f>
        <v>735</v>
      </c>
      <c r="F55" s="79">
        <f>$D55*Inputs!$C$15/Outputs!$C55</f>
        <v>11.418050000000001</v>
      </c>
      <c r="G55" s="77">
        <f t="shared" si="1"/>
        <v>1428.5714285714287</v>
      </c>
      <c r="H55" s="97">
        <v>2025</v>
      </c>
      <c r="I55" s="90" t="s">
        <v>175</v>
      </c>
      <c r="J55"/>
    </row>
    <row r="56" spans="1:13" x14ac:dyDescent="0.25">
      <c r="A56" s="1"/>
      <c r="B56" s="94" t="s">
        <v>193</v>
      </c>
      <c r="C56" s="29">
        <f>SUMIFS('Peak Load Calc'!G$14:G$114,'Peak Load Calc'!$I$14:$I$114,Outputs!$B56)</f>
        <v>432000</v>
      </c>
      <c r="D56" s="74">
        <f>SUMIFS('Peak Load Calc'!W$14:W$114,'Peak Load Calc'!$I$14:$I$114,Outputs!$B56)</f>
        <v>4932.597600000001</v>
      </c>
      <c r="E56" s="74">
        <f>SUMIFS('Peak Load Calc'!Y$14:Y$114,'Peak Load Calc'!$I$14:$I$114,Outputs!$B56)</f>
        <v>302.39999999999998</v>
      </c>
      <c r="F56" s="79">
        <f>$D56*Inputs!$C$15/Outputs!$C56</f>
        <v>11.418050000000001</v>
      </c>
      <c r="G56" s="77">
        <f t="shared" si="1"/>
        <v>1428.5714285714287</v>
      </c>
      <c r="H56" s="96">
        <v>2045</v>
      </c>
      <c r="I56" s="95" t="s">
        <v>173</v>
      </c>
      <c r="K56" s="1"/>
      <c r="L56" s="1"/>
      <c r="M56" s="1"/>
    </row>
    <row r="57" spans="1:13" s="1" customFormat="1" x14ac:dyDescent="0.25">
      <c r="B57" s="92" t="s">
        <v>272</v>
      </c>
      <c r="C57" s="29">
        <f>SUMIFS('Peak Load Calc'!G$14:G$114,'Peak Load Calc'!$I$14:$I$114,Outputs!$B57)</f>
        <v>150887</v>
      </c>
      <c r="D57" s="74">
        <f>SUMIFS('Peak Load Calc'!W$14:W$114,'Peak Load Calc'!$I$14:$I$114,Outputs!$B57)</f>
        <v>3898.9200800000003</v>
      </c>
      <c r="E57" s="74">
        <f>SUMIFS('Peak Load Calc'!Y$14:Y$114,'Peak Load Calc'!$I$14:$I$114,Outputs!$B57)</f>
        <v>150.887</v>
      </c>
      <c r="F57" s="79">
        <f>$D57*Inputs!$C$15/Outputs!$C57</f>
        <v>25.840000000000003</v>
      </c>
      <c r="G57" s="77">
        <f t="shared" si="1"/>
        <v>1000</v>
      </c>
      <c r="H57" s="97">
        <v>2030</v>
      </c>
      <c r="I57" s="90" t="s">
        <v>175</v>
      </c>
      <c r="J57"/>
    </row>
    <row r="58" spans="1:13" s="1" customFormat="1" x14ac:dyDescent="0.25">
      <c r="B58" s="78"/>
      <c r="C58" s="29">
        <f>SUMIFS('Peak Load Calc'!G$14:G$114,'Peak Load Calc'!$I$14:$I$114,Outputs!$B58)</f>
        <v>0</v>
      </c>
      <c r="D58" s="74">
        <f>SUMIFS('Peak Load Calc'!W$14:W$114,'Peak Load Calc'!$I$14:$I$114,Outputs!$B58)</f>
        <v>0</v>
      </c>
      <c r="E58" s="74">
        <f>SUMIFS('Peak Load Calc'!Y$14:Y$114,'Peak Load Calc'!$I$14:$I$114,Outputs!$B58)</f>
        <v>0</v>
      </c>
      <c r="F58" s="79" t="e">
        <f>$D58*Inputs!$C$15/Outputs!$C58</f>
        <v>#DIV/0!</v>
      </c>
      <c r="G58" s="77" t="e">
        <f t="shared" si="1"/>
        <v>#DIV/0!</v>
      </c>
      <c r="H58" s="95"/>
      <c r="I58" s="90"/>
      <c r="J58"/>
    </row>
    <row r="59" spans="1:13" s="1" customFormat="1" x14ac:dyDescent="0.25">
      <c r="B59" s="78"/>
      <c r="C59" s="29">
        <f>SUMIFS('Peak Load Calc'!G$14:G$114,'Peak Load Calc'!$I$14:$I$114,Outputs!$B59)</f>
        <v>0</v>
      </c>
      <c r="D59" s="74">
        <f>SUMIFS('Peak Load Calc'!W$14:W$114,'Peak Load Calc'!$I$14:$I$114,Outputs!$B59)</f>
        <v>0</v>
      </c>
      <c r="E59" s="74">
        <f>SUMIFS('Peak Load Calc'!Y$14:Y$114,'Peak Load Calc'!$I$14:$I$114,Outputs!$B59)</f>
        <v>0</v>
      </c>
      <c r="F59" s="79" t="e">
        <f>$D59*Inputs!$C$15/Outputs!$C59</f>
        <v>#DIV/0!</v>
      </c>
      <c r="G59" s="77" t="e">
        <f t="shared" si="1"/>
        <v>#DIV/0!</v>
      </c>
      <c r="H59" s="95"/>
      <c r="I59" s="90"/>
      <c r="J59"/>
    </row>
    <row r="60" spans="1:13" s="1" customFormat="1" x14ac:dyDescent="0.25">
      <c r="B60" s="78"/>
      <c r="C60" s="29">
        <f>SUMIFS('Peak Load Calc'!G$14:G$114,'Peak Load Calc'!$I$14:$I$114,Outputs!$B60)</f>
        <v>0</v>
      </c>
      <c r="D60" s="74">
        <f>SUMIFS('Peak Load Calc'!W$14:W$114,'Peak Load Calc'!$I$14:$I$114,Outputs!$B60)</f>
        <v>0</v>
      </c>
      <c r="E60" s="74">
        <f>SUMIFS('Peak Load Calc'!Y$14:Y$114,'Peak Load Calc'!$I$14:$I$114,Outputs!$B60)</f>
        <v>0</v>
      </c>
      <c r="F60" s="79" t="e">
        <f>$D60*Inputs!$C$15/Outputs!$C60</f>
        <v>#DIV/0!</v>
      </c>
      <c r="G60" s="77" t="e">
        <f t="shared" si="1"/>
        <v>#DIV/0!</v>
      </c>
      <c r="H60" s="95"/>
      <c r="I60" s="90"/>
      <c r="J60"/>
    </row>
    <row r="61" spans="1:13" s="1" customFormat="1" x14ac:dyDescent="0.25">
      <c r="B61" s="78"/>
      <c r="C61" s="29">
        <f>SUMIFS('Peak Load Calc'!G$14:G$114,'Peak Load Calc'!$I$14:$I$114,Outputs!$B61)</f>
        <v>0</v>
      </c>
      <c r="D61" s="74">
        <f>SUMIFS('Peak Load Calc'!W$14:W$114,'Peak Load Calc'!$I$14:$I$114,Outputs!$B61)</f>
        <v>0</v>
      </c>
      <c r="E61" s="74">
        <f>SUMIFS('Peak Load Calc'!Y$14:Y$114,'Peak Load Calc'!$I$14:$I$114,Outputs!$B61)</f>
        <v>0</v>
      </c>
      <c r="F61" s="79" t="e">
        <f>$D61*Inputs!$C$15/Outputs!$C61</f>
        <v>#DIV/0!</v>
      </c>
      <c r="G61" s="77" t="e">
        <f t="shared" si="1"/>
        <v>#DIV/0!</v>
      </c>
      <c r="H61" s="95"/>
      <c r="I61" s="90"/>
      <c r="J61"/>
    </row>
    <row r="62" spans="1:13" s="1" customFormat="1" x14ac:dyDescent="0.25">
      <c r="B62" s="78"/>
      <c r="C62" s="29">
        <f>SUMIFS('Peak Load Calc'!G$14:G$114,'Peak Load Calc'!$I$14:$I$114,Outputs!$B62)</f>
        <v>0</v>
      </c>
      <c r="D62" s="74">
        <f>SUMIFS('Peak Load Calc'!W$14:W$114,'Peak Load Calc'!$I$14:$I$114,Outputs!$B62)</f>
        <v>0</v>
      </c>
      <c r="E62" s="74">
        <f>SUMIFS('Peak Load Calc'!Y$14:Y$114,'Peak Load Calc'!$I$14:$I$114,Outputs!$B62)</f>
        <v>0</v>
      </c>
      <c r="F62" s="79" t="e">
        <f>$D62*Inputs!$C$15/Outputs!$C62</f>
        <v>#DIV/0!</v>
      </c>
      <c r="G62" s="77" t="e">
        <f t="shared" si="1"/>
        <v>#DIV/0!</v>
      </c>
      <c r="H62" s="95"/>
      <c r="I62" s="90"/>
      <c r="J62"/>
    </row>
    <row r="63" spans="1:13" x14ac:dyDescent="0.25">
      <c r="A63" s="1"/>
    </row>
    <row r="64" spans="1:13" s="1" customFormat="1" x14ac:dyDescent="0.25">
      <c r="B64"/>
      <c r="C64"/>
      <c r="D64"/>
      <c r="E64"/>
      <c r="F64"/>
      <c r="G64"/>
      <c r="H64"/>
      <c r="I64"/>
      <c r="J64"/>
    </row>
    <row r="65" spans="1:12" s="1" customFormat="1" ht="20.25" thickBot="1" x14ac:dyDescent="0.35">
      <c r="B65" s="26" t="s">
        <v>278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1:12" ht="34.5" thickTop="1" thickBot="1" x14ac:dyDescent="0.3">
      <c r="A66" s="1"/>
      <c r="B66" s="20" t="s">
        <v>276</v>
      </c>
      <c r="C66" s="20"/>
      <c r="D66" s="20" t="s">
        <v>152</v>
      </c>
      <c r="E66" s="20" t="s">
        <v>156</v>
      </c>
      <c r="F66" s="20"/>
      <c r="G66" s="20" t="s">
        <v>7</v>
      </c>
      <c r="H66" s="20"/>
      <c r="I66" s="20" t="s">
        <v>251</v>
      </c>
      <c r="J66" s="20"/>
      <c r="K66" s="30" t="s">
        <v>254</v>
      </c>
      <c r="L66" s="20"/>
    </row>
    <row r="67" spans="1:12" s="1" customFormat="1" ht="30.75" thickTop="1" thickBot="1" x14ac:dyDescent="0.3">
      <c r="B67" s="21" t="s">
        <v>172</v>
      </c>
      <c r="C67" s="21" t="s">
        <v>283</v>
      </c>
      <c r="D67" s="21"/>
      <c r="E67" s="21" t="s">
        <v>226</v>
      </c>
      <c r="F67" s="21" t="s">
        <v>227</v>
      </c>
      <c r="G67" s="20"/>
      <c r="H67" s="20"/>
      <c r="I67" s="21" t="s">
        <v>252</v>
      </c>
      <c r="J67" s="21" t="s">
        <v>253</v>
      </c>
      <c r="K67" s="21" t="s">
        <v>255</v>
      </c>
      <c r="L67" s="21" t="s">
        <v>277</v>
      </c>
    </row>
    <row r="68" spans="1:12" s="1" customFormat="1" x14ac:dyDescent="0.25">
      <c r="B68" s="90" t="s">
        <v>175</v>
      </c>
      <c r="C68" s="92">
        <v>2025</v>
      </c>
      <c r="D68" s="93">
        <f>SUMIFS(C$36:C$62,$I$36:$I$62,$B68,$H$36:$H$62,"&lt;="&amp;$C68)</f>
        <v>1722280</v>
      </c>
      <c r="E68" s="93">
        <f>SUMIFS(D$36:D$62,$I$36:$I$62,$B68,$H$36:$H$62,"&lt;="&amp;$C68)*I68</f>
        <v>28874.974421720002</v>
      </c>
      <c r="F68" s="93">
        <f>SUMIFS(E$36:E$62,$I$36:$I$62,$B68,$H$36:$H$62,"&lt;="&amp;$C68)*J68</f>
        <v>2703.7304909999998</v>
      </c>
      <c r="G68" s="79">
        <f>$E68*Inputs!$C$15/Outputs!$D68</f>
        <v>16.76555172313445</v>
      </c>
      <c r="H68" s="77">
        <f t="shared" ref="H68:H87" si="2">$D68/$F68</f>
        <v>637.00136005900458</v>
      </c>
      <c r="I68" s="58">
        <v>0.98</v>
      </c>
      <c r="J68" s="58">
        <v>0.99</v>
      </c>
      <c r="K68" s="15"/>
      <c r="L68" s="15"/>
    </row>
    <row r="69" spans="1:12" x14ac:dyDescent="0.25">
      <c r="A69" s="1"/>
      <c r="B69" s="90" t="s">
        <v>175</v>
      </c>
      <c r="C69" s="92">
        <v>2030</v>
      </c>
      <c r="D69" s="93">
        <f t="shared" ref="D69:D87" si="3">SUMIFS(C$36:C$62,$I$36:$I$62,$B69,$H$36:$H$62,"&lt;="&amp;$C69)</f>
        <v>2459914</v>
      </c>
      <c r="E69" s="93">
        <f t="shared" ref="E69:E87" si="4">SUMIFS(D$36:D$62,$I$36:$I$62,$B69,$H$36:$H$62,"&lt;="&amp;$C69)*I69</f>
        <v>40060.861847380002</v>
      </c>
      <c r="F69" s="93">
        <f t="shared" ref="F69:F84" si="5">SUMIFS(E$36:E$62,$I$36:$I$62,$B69,$H$36:$H$62,"&lt;="&amp;$C69)*J69</f>
        <v>4604.8408559999998</v>
      </c>
      <c r="G69" s="79">
        <f>$E69*Inputs!$C$15/Outputs!$D69</f>
        <v>16.285472519518976</v>
      </c>
      <c r="H69" s="77">
        <f t="shared" si="2"/>
        <v>534.20174049984587</v>
      </c>
      <c r="I69" s="58">
        <v>0.88</v>
      </c>
      <c r="J69" s="58">
        <v>0.99</v>
      </c>
      <c r="K69" s="15"/>
      <c r="L69" s="15"/>
    </row>
    <row r="70" spans="1:12" s="1" customFormat="1" x14ac:dyDescent="0.25">
      <c r="B70" s="90" t="s">
        <v>175</v>
      </c>
      <c r="C70" s="89">
        <v>2035</v>
      </c>
      <c r="D70" s="93">
        <f t="shared" si="3"/>
        <v>2459914</v>
      </c>
      <c r="E70" s="93">
        <f t="shared" si="4"/>
        <v>40060.861847380002</v>
      </c>
      <c r="F70" s="93">
        <f t="shared" si="5"/>
        <v>4604.8408559999998</v>
      </c>
      <c r="G70" s="79">
        <f>$E70*Inputs!$C$15/Outputs!$D70</f>
        <v>16.285472519518976</v>
      </c>
      <c r="H70" s="77">
        <f t="shared" si="2"/>
        <v>534.20174049984587</v>
      </c>
      <c r="I70" s="58">
        <v>0.88</v>
      </c>
      <c r="J70" s="58">
        <v>0.99</v>
      </c>
      <c r="K70" s="15"/>
      <c r="L70" s="15"/>
    </row>
    <row r="71" spans="1:12" s="1" customFormat="1" x14ac:dyDescent="0.25">
      <c r="B71" s="90" t="s">
        <v>175</v>
      </c>
      <c r="C71" s="89">
        <v>2040</v>
      </c>
      <c r="D71" s="93">
        <f t="shared" si="3"/>
        <v>2459914</v>
      </c>
      <c r="E71" s="93">
        <f t="shared" si="4"/>
        <v>40060.861847380002</v>
      </c>
      <c r="F71" s="93">
        <f t="shared" si="5"/>
        <v>4604.8408559999998</v>
      </c>
      <c r="G71" s="79">
        <f>$E71*Inputs!$C$15/Outputs!$D71</f>
        <v>16.285472519518976</v>
      </c>
      <c r="H71" s="77">
        <f t="shared" si="2"/>
        <v>534.20174049984587</v>
      </c>
      <c r="I71" s="58">
        <v>0.88</v>
      </c>
      <c r="J71" s="58">
        <v>0.99</v>
      </c>
      <c r="K71" s="15"/>
      <c r="L71" s="15"/>
    </row>
    <row r="72" spans="1:12" s="1" customFormat="1" x14ac:dyDescent="0.25">
      <c r="B72" s="90" t="s">
        <v>175</v>
      </c>
      <c r="C72" s="89">
        <v>2045</v>
      </c>
      <c r="D72" s="93">
        <f>SUMIFS(C$36:C$62,$I$36:$I$62,$B72,$H$36:$H$62,"&lt;="&amp;$C72)</f>
        <v>2459914</v>
      </c>
      <c r="E72" s="93">
        <f t="shared" si="4"/>
        <v>40060.861847380002</v>
      </c>
      <c r="F72" s="93">
        <f t="shared" si="5"/>
        <v>4604.8408559999998</v>
      </c>
      <c r="G72" s="79">
        <f>$E72*Inputs!$C$15/Outputs!$D72</f>
        <v>16.285472519518976</v>
      </c>
      <c r="H72" s="77">
        <f t="shared" si="2"/>
        <v>534.20174049984587</v>
      </c>
      <c r="I72" s="58">
        <v>0.88</v>
      </c>
      <c r="J72" s="58">
        <v>0.99</v>
      </c>
      <c r="K72" s="15"/>
      <c r="L72" s="15"/>
    </row>
    <row r="73" spans="1:12" s="1" customFormat="1" x14ac:dyDescent="0.25">
      <c r="B73" s="95" t="s">
        <v>176</v>
      </c>
      <c r="C73" s="92">
        <v>2025</v>
      </c>
      <c r="D73" s="93">
        <f>SUMIFS(C$36:C$62,$I$36:$I$62,$B73,$H$36:$H$62,"&lt;="&amp;$C73)</f>
        <v>0</v>
      </c>
      <c r="E73" s="93">
        <f t="shared" si="4"/>
        <v>0</v>
      </c>
      <c r="F73" s="93">
        <f t="shared" si="5"/>
        <v>0</v>
      </c>
      <c r="G73" s="79" t="e">
        <f>$E73*Inputs!$C$15/Outputs!$D73</f>
        <v>#DIV/0!</v>
      </c>
      <c r="H73" s="77" t="e">
        <f t="shared" si="2"/>
        <v>#DIV/0!</v>
      </c>
      <c r="I73" s="98">
        <v>1</v>
      </c>
      <c r="J73" s="58">
        <v>1</v>
      </c>
      <c r="K73" s="15"/>
      <c r="L73" s="15"/>
    </row>
    <row r="74" spans="1:12" s="1" customFormat="1" x14ac:dyDescent="0.25">
      <c r="B74" s="95" t="s">
        <v>176</v>
      </c>
      <c r="C74" s="92">
        <v>2030</v>
      </c>
      <c r="D74" s="93">
        <f t="shared" si="3"/>
        <v>0</v>
      </c>
      <c r="E74" s="93">
        <f t="shared" si="4"/>
        <v>0</v>
      </c>
      <c r="F74" s="93">
        <f t="shared" si="5"/>
        <v>0</v>
      </c>
      <c r="G74" s="79" t="e">
        <f>$E74*Inputs!$C$15/Outputs!$D74</f>
        <v>#DIV/0!</v>
      </c>
      <c r="H74" s="77" t="e">
        <f t="shared" si="2"/>
        <v>#DIV/0!</v>
      </c>
      <c r="I74" s="58">
        <v>1</v>
      </c>
      <c r="J74" s="98">
        <v>1</v>
      </c>
      <c r="K74" s="15"/>
      <c r="L74" s="15"/>
    </row>
    <row r="75" spans="1:12" x14ac:dyDescent="0.25">
      <c r="A75" s="1"/>
      <c r="B75" s="95" t="s">
        <v>176</v>
      </c>
      <c r="C75" s="94">
        <v>2035</v>
      </c>
      <c r="D75" s="93">
        <f t="shared" si="3"/>
        <v>1322645</v>
      </c>
      <c r="E75" s="93">
        <f t="shared" si="4"/>
        <v>20987.390851918</v>
      </c>
      <c r="F75" s="93">
        <f t="shared" si="5"/>
        <v>1871.8840799999998</v>
      </c>
      <c r="G75" s="79">
        <f>$E75*Inputs!$C$15/Outputs!$D75</f>
        <v>15.867742933226982</v>
      </c>
      <c r="H75" s="77">
        <f t="shared" si="2"/>
        <v>706.58488638890515</v>
      </c>
      <c r="I75" s="58">
        <v>0.83</v>
      </c>
      <c r="J75" s="58">
        <v>0.99</v>
      </c>
      <c r="K75" s="15"/>
      <c r="L75" s="15"/>
    </row>
    <row r="76" spans="1:12" s="1" customFormat="1" x14ac:dyDescent="0.25">
      <c r="B76" s="95" t="s">
        <v>176</v>
      </c>
      <c r="C76" s="94">
        <v>2040</v>
      </c>
      <c r="D76" s="93">
        <f t="shared" si="3"/>
        <v>2225965</v>
      </c>
      <c r="E76" s="93">
        <f t="shared" si="4"/>
        <v>30673.018145747996</v>
      </c>
      <c r="F76" s="93">
        <f t="shared" si="5"/>
        <v>2783.409255</v>
      </c>
      <c r="G76" s="79">
        <f>$E76*Inputs!$C$15/Outputs!$D76</f>
        <v>13.779649790427072</v>
      </c>
      <c r="H76" s="77">
        <f t="shared" si="2"/>
        <v>799.72608986672356</v>
      </c>
      <c r="I76" s="58">
        <v>0.88</v>
      </c>
      <c r="J76" s="58">
        <v>0.99</v>
      </c>
      <c r="K76" s="15"/>
      <c r="L76" s="15"/>
    </row>
    <row r="77" spans="1:12" s="1" customFormat="1" x14ac:dyDescent="0.25">
      <c r="B77" s="95" t="s">
        <v>176</v>
      </c>
      <c r="C77" s="94">
        <v>2045</v>
      </c>
      <c r="D77" s="93">
        <f t="shared" si="3"/>
        <v>2225965</v>
      </c>
      <c r="E77" s="93">
        <f t="shared" si="4"/>
        <v>30673.018145747996</v>
      </c>
      <c r="F77" s="93">
        <f t="shared" si="5"/>
        <v>2783.409255</v>
      </c>
      <c r="G77" s="79">
        <f>$E77*Inputs!$C$15/Outputs!$D77</f>
        <v>13.779649790427072</v>
      </c>
      <c r="H77" s="77">
        <f>$D77/$F77</f>
        <v>799.72608986672356</v>
      </c>
      <c r="I77" s="58">
        <v>0.88</v>
      </c>
      <c r="J77" s="58">
        <v>0.99</v>
      </c>
      <c r="K77" s="15"/>
      <c r="L77" s="15"/>
    </row>
    <row r="78" spans="1:12" s="1" customFormat="1" x14ac:dyDescent="0.25">
      <c r="B78" s="95" t="s">
        <v>177</v>
      </c>
      <c r="C78" s="92">
        <v>2025</v>
      </c>
      <c r="D78" s="93">
        <f t="shared" si="3"/>
        <v>0</v>
      </c>
      <c r="E78" s="93">
        <f t="shared" si="4"/>
        <v>0</v>
      </c>
      <c r="F78" s="93">
        <f t="shared" si="5"/>
        <v>0</v>
      </c>
      <c r="G78" s="79" t="e">
        <f>$E78*Inputs!$C$15/Outputs!$D78</f>
        <v>#DIV/0!</v>
      </c>
      <c r="H78" s="77" t="e">
        <f t="shared" si="2"/>
        <v>#DIV/0!</v>
      </c>
      <c r="I78" s="58">
        <v>1</v>
      </c>
      <c r="J78" s="58">
        <v>1</v>
      </c>
      <c r="K78" s="15"/>
      <c r="L78" s="15"/>
    </row>
    <row r="79" spans="1:12" x14ac:dyDescent="0.25">
      <c r="A79" s="1"/>
      <c r="B79" s="95" t="s">
        <v>177</v>
      </c>
      <c r="C79" s="92">
        <v>2030</v>
      </c>
      <c r="D79" s="93">
        <f t="shared" si="3"/>
        <v>1956200</v>
      </c>
      <c r="E79" s="93">
        <f t="shared" si="4"/>
        <v>35953.304873007495</v>
      </c>
      <c r="F79" s="93">
        <f t="shared" si="5"/>
        <v>4375.2560000000003</v>
      </c>
      <c r="G79" s="79">
        <f>$E79*Inputs!$C$15/Outputs!$D79</f>
        <v>18.379155951849249</v>
      </c>
      <c r="H79" s="77">
        <f t="shared" si="2"/>
        <v>447.10526652611867</v>
      </c>
      <c r="I79" s="58">
        <v>0.95</v>
      </c>
      <c r="J79" s="58">
        <v>1</v>
      </c>
      <c r="K79" s="15"/>
      <c r="L79" s="15"/>
    </row>
    <row r="80" spans="1:12" x14ac:dyDescent="0.25">
      <c r="A80" s="1"/>
      <c r="B80" s="95" t="s">
        <v>177</v>
      </c>
      <c r="C80" s="94">
        <v>2035</v>
      </c>
      <c r="D80" s="93">
        <f t="shared" si="3"/>
        <v>3505632</v>
      </c>
      <c r="E80" s="93">
        <f t="shared" si="4"/>
        <v>70144.372220255987</v>
      </c>
      <c r="F80" s="93">
        <f t="shared" si="5"/>
        <v>8738.7530000000006</v>
      </c>
      <c r="G80" s="79">
        <f>$E80*Inputs!$C$15/Outputs!$D80</f>
        <v>20.009051783032557</v>
      </c>
      <c r="H80" s="77">
        <f t="shared" si="2"/>
        <v>401.15929584003572</v>
      </c>
      <c r="I80" s="58">
        <v>0.96</v>
      </c>
      <c r="J80" s="58">
        <v>1</v>
      </c>
      <c r="K80" s="15"/>
      <c r="L80" s="15"/>
    </row>
    <row r="81" spans="1:12" s="1" customFormat="1" x14ac:dyDescent="0.25">
      <c r="B81" s="95" t="s">
        <v>177</v>
      </c>
      <c r="C81" s="94">
        <v>2040</v>
      </c>
      <c r="D81" s="93">
        <f t="shared" si="3"/>
        <v>4505377</v>
      </c>
      <c r="E81" s="93">
        <f t="shared" si="4"/>
        <v>90561.788569423501</v>
      </c>
      <c r="F81" s="93">
        <f t="shared" si="5"/>
        <v>11192.017</v>
      </c>
      <c r="G81" s="79">
        <f>$E81*Inputs!$C$15/Outputs!$D81</f>
        <v>20.100823653475281</v>
      </c>
      <c r="H81" s="77">
        <f t="shared" si="2"/>
        <v>402.55273021833329</v>
      </c>
      <c r="I81" s="58">
        <v>0.93</v>
      </c>
      <c r="J81" s="58">
        <v>1</v>
      </c>
      <c r="K81" s="15"/>
      <c r="L81" s="15"/>
    </row>
    <row r="82" spans="1:12" s="1" customFormat="1" x14ac:dyDescent="0.25">
      <c r="B82" s="95" t="s">
        <v>177</v>
      </c>
      <c r="C82" s="94">
        <v>2045</v>
      </c>
      <c r="D82" s="93">
        <f t="shared" si="3"/>
        <v>5941627</v>
      </c>
      <c r="E82" s="93">
        <f t="shared" si="4"/>
        <v>115711.7956302735</v>
      </c>
      <c r="F82" s="93">
        <f t="shared" si="5"/>
        <v>14077.078299999997</v>
      </c>
      <c r="G82" s="79">
        <f>$E82*Inputs!$C$15/Outputs!$D82</f>
        <v>19.474766024570961</v>
      </c>
      <c r="H82" s="77">
        <f t="shared" si="2"/>
        <v>422.078138188661</v>
      </c>
      <c r="I82" s="58">
        <v>0.93</v>
      </c>
      <c r="J82" s="58">
        <v>1</v>
      </c>
      <c r="K82" s="15"/>
      <c r="L82" s="15"/>
    </row>
    <row r="83" spans="1:12" s="1" customFormat="1" x14ac:dyDescent="0.25">
      <c r="B83" s="95" t="s">
        <v>173</v>
      </c>
      <c r="C83" s="92">
        <v>2025</v>
      </c>
      <c r="D83" s="93">
        <f t="shared" si="3"/>
        <v>0</v>
      </c>
      <c r="E83" s="93">
        <f t="shared" si="4"/>
        <v>0</v>
      </c>
      <c r="F83" s="93">
        <f t="shared" si="5"/>
        <v>0</v>
      </c>
      <c r="G83" s="79" t="e">
        <f>$E83*Inputs!$C$15/Outputs!$D83</f>
        <v>#DIV/0!</v>
      </c>
      <c r="H83" s="77" t="e">
        <f t="shared" si="2"/>
        <v>#DIV/0!</v>
      </c>
      <c r="I83" s="58">
        <v>1</v>
      </c>
      <c r="J83" s="58">
        <v>1</v>
      </c>
      <c r="K83" s="15"/>
      <c r="L83" s="15"/>
    </row>
    <row r="84" spans="1:12" s="1" customFormat="1" x14ac:dyDescent="0.25">
      <c r="B84" s="95" t="s">
        <v>173</v>
      </c>
      <c r="C84" s="92">
        <v>2030</v>
      </c>
      <c r="D84" s="93">
        <f t="shared" si="3"/>
        <v>0</v>
      </c>
      <c r="E84" s="93">
        <f t="shared" si="4"/>
        <v>0</v>
      </c>
      <c r="F84" s="93">
        <f t="shared" si="5"/>
        <v>0</v>
      </c>
      <c r="G84" s="79" t="e">
        <f>$E84*Inputs!$C$15/Outputs!$D84</f>
        <v>#DIV/0!</v>
      </c>
      <c r="H84" s="77" t="e">
        <f t="shared" si="2"/>
        <v>#DIV/0!</v>
      </c>
      <c r="I84" s="58">
        <v>1</v>
      </c>
      <c r="J84" s="58">
        <v>1</v>
      </c>
      <c r="K84" s="15"/>
      <c r="L84" s="15"/>
    </row>
    <row r="85" spans="1:12" s="1" customFormat="1" x14ac:dyDescent="0.25">
      <c r="B85" s="95" t="s">
        <v>173</v>
      </c>
      <c r="C85" s="94">
        <v>2035</v>
      </c>
      <c r="D85" s="93">
        <f t="shared" si="3"/>
        <v>0</v>
      </c>
      <c r="E85" s="93">
        <f t="shared" si="4"/>
        <v>0</v>
      </c>
      <c r="F85" s="93">
        <f t="shared" ref="F85:F87" si="6">SUMIFS(E$36:E$62,$I$36:$I$62,$B85,$H$36:$H$62,"&lt;="&amp;$C85)*J85</f>
        <v>0</v>
      </c>
      <c r="G85" s="79" t="e">
        <f>$E85*Inputs!$C$15/Outputs!$D85</f>
        <v>#DIV/0!</v>
      </c>
      <c r="H85" s="77" t="e">
        <f t="shared" si="2"/>
        <v>#DIV/0!</v>
      </c>
      <c r="I85" s="58">
        <v>1</v>
      </c>
      <c r="J85" s="58">
        <v>1</v>
      </c>
      <c r="K85" s="15"/>
      <c r="L85" s="15"/>
    </row>
    <row r="86" spans="1:12" s="1" customFormat="1" x14ac:dyDescent="0.25">
      <c r="B86" s="95" t="s">
        <v>173</v>
      </c>
      <c r="C86" s="94">
        <v>2040</v>
      </c>
      <c r="D86" s="93">
        <f t="shared" si="3"/>
        <v>1985373</v>
      </c>
      <c r="E86" s="93">
        <f t="shared" si="4"/>
        <v>45169.332282000003</v>
      </c>
      <c r="F86" s="93">
        <f t="shared" si="6"/>
        <v>4235.3729999999996</v>
      </c>
      <c r="G86" s="79">
        <f>$E86*Inputs!$C$15/Outputs!$D86</f>
        <v>22.751055988975374</v>
      </c>
      <c r="H86" s="77">
        <f t="shared" si="2"/>
        <v>468.75989434696783</v>
      </c>
      <c r="I86" s="58">
        <v>0.9</v>
      </c>
      <c r="J86" s="58">
        <v>1</v>
      </c>
      <c r="K86" s="15"/>
      <c r="L86" s="15"/>
    </row>
    <row r="87" spans="1:12" s="1" customFormat="1" x14ac:dyDescent="0.25">
      <c r="B87" s="95" t="s">
        <v>173</v>
      </c>
      <c r="C87" s="94">
        <v>2045</v>
      </c>
      <c r="D87" s="93">
        <f t="shared" si="3"/>
        <v>2792734</v>
      </c>
      <c r="E87" s="93">
        <f t="shared" si="4"/>
        <v>58444.810261460007</v>
      </c>
      <c r="F87" s="93">
        <f t="shared" si="6"/>
        <v>4864.0026599999992</v>
      </c>
      <c r="G87" s="79">
        <f>$E87*Inputs!$C$15/Outputs!$D87</f>
        <v>20.927453263167923</v>
      </c>
      <c r="H87" s="77">
        <f t="shared" si="2"/>
        <v>574.16374850420016</v>
      </c>
      <c r="I87" s="58">
        <v>0.92</v>
      </c>
      <c r="J87" s="58">
        <v>0.99</v>
      </c>
      <c r="K87" s="15"/>
      <c r="L87" s="15"/>
    </row>
    <row r="88" spans="1:12" s="1" customFormat="1" x14ac:dyDescent="0.25">
      <c r="B88"/>
      <c r="C88"/>
      <c r="D88"/>
      <c r="E88"/>
      <c r="F88"/>
      <c r="G88"/>
      <c r="H88"/>
      <c r="I88"/>
    </row>
    <row r="89" spans="1:12" s="1" customFormat="1" x14ac:dyDescent="0.25">
      <c r="B89"/>
      <c r="C89"/>
      <c r="D89"/>
      <c r="E89"/>
      <c r="F89"/>
      <c r="G89"/>
      <c r="H89"/>
      <c r="I89"/>
    </row>
    <row r="90" spans="1:12" s="1" customFormat="1" ht="20.25" thickBot="1" x14ac:dyDescent="0.35">
      <c r="B90" s="26" t="s">
        <v>313</v>
      </c>
      <c r="C90" s="26"/>
      <c r="D90" s="26"/>
      <c r="E90" s="26"/>
      <c r="F90" s="26"/>
      <c r="G90" s="26"/>
      <c r="H90"/>
      <c r="I90"/>
    </row>
    <row r="91" spans="1:12" s="1" customFormat="1" ht="18" thickTop="1" thickBot="1" x14ac:dyDescent="0.3">
      <c r="B91" s="20" t="s">
        <v>317</v>
      </c>
      <c r="C91" s="20" t="s">
        <v>314</v>
      </c>
      <c r="D91" s="20"/>
      <c r="E91" s="30" t="s">
        <v>315</v>
      </c>
      <c r="F91" s="20"/>
      <c r="G91" s="20"/>
      <c r="H91"/>
      <c r="I91"/>
    </row>
    <row r="92" spans="1:12" ht="16.5" thickTop="1" thickBot="1" x14ac:dyDescent="0.3">
      <c r="A92" s="1"/>
      <c r="B92" s="106"/>
      <c r="C92" s="106"/>
      <c r="D92" s="106" t="s">
        <v>317</v>
      </c>
      <c r="E92" s="106" t="s">
        <v>160</v>
      </c>
      <c r="F92" s="106" t="s">
        <v>316</v>
      </c>
      <c r="G92" s="106" t="s">
        <v>317</v>
      </c>
    </row>
    <row r="93" spans="1:12" s="1" customFormat="1" x14ac:dyDescent="0.25">
      <c r="B93" t="s">
        <v>305</v>
      </c>
      <c r="C93" s="19">
        <f>COUNTIFS('Peak Load Calc'!$Z$14:$Z$114,"&gt;0",'Peak Load Calc'!$J$14:$J$114,Outputs!$B93)</f>
        <v>51</v>
      </c>
      <c r="D93" s="110">
        <v>0.2</v>
      </c>
      <c r="E93" s="44">
        <f>SUMIFS('Peak Load Calc'!$Z$14:$Z$114,'Peak Load Calc'!$Z$14:$Z$114,"&gt;0",'Peak Load Calc'!$J$14:$J$114,Outputs!$B93)</f>
        <v>3849.9341999999992</v>
      </c>
      <c r="F93" s="72">
        <f>E93/C93</f>
        <v>75.488905882352924</v>
      </c>
      <c r="G93" s="72">
        <f>ROUNDUP(F93*(1+D93),-1)</f>
        <v>100</v>
      </c>
      <c r="H93"/>
      <c r="I93"/>
    </row>
    <row r="94" spans="1:12" s="1" customFormat="1" x14ac:dyDescent="0.25">
      <c r="B94" t="s">
        <v>306</v>
      </c>
      <c r="C94" s="19">
        <f>COUNTIFS('Peak Load Calc'!$Z$14:$Z$114,"&gt;0",'Peak Load Calc'!$J$14:$J$114,Outputs!$B94)</f>
        <v>21</v>
      </c>
      <c r="D94" s="110">
        <v>0.5</v>
      </c>
      <c r="E94" s="44">
        <f>SUMIFS('Peak Load Calc'!$Z$14:$Z$114,'Peak Load Calc'!$Z$14:$Z$114,"&gt;0",'Peak Load Calc'!$J$14:$J$114,Outputs!$B94)</f>
        <v>10255.694</v>
      </c>
      <c r="F94" s="72">
        <f>E94/C94</f>
        <v>488.36638095238095</v>
      </c>
      <c r="G94" s="72">
        <f>ROUNDUP(F94*(1+D94),-1)</f>
        <v>740</v>
      </c>
      <c r="H94"/>
      <c r="I94"/>
    </row>
    <row r="95" spans="1:12" s="1" customFormat="1" x14ac:dyDescent="0.25">
      <c r="B95"/>
      <c r="C95"/>
      <c r="D95"/>
      <c r="E95"/>
      <c r="F95"/>
      <c r="G95"/>
      <c r="H95"/>
      <c r="I95"/>
    </row>
    <row r="96" spans="1:12" s="1" customFormat="1" x14ac:dyDescent="0.25">
      <c r="B96"/>
      <c r="C96"/>
      <c r="D96"/>
      <c r="E96"/>
      <c r="F96"/>
      <c r="G96"/>
      <c r="H96"/>
      <c r="I96"/>
    </row>
    <row r="97" spans="1:10" ht="17.25" thickBot="1" x14ac:dyDescent="0.3">
      <c r="A97" s="1"/>
      <c r="B97" s="111" t="s">
        <v>172</v>
      </c>
      <c r="C97" s="111" t="s">
        <v>305</v>
      </c>
      <c r="D97" s="111"/>
      <c r="E97" s="111"/>
      <c r="F97" s="111"/>
      <c r="G97" s="111" t="s">
        <v>306</v>
      </c>
      <c r="H97" s="111"/>
      <c r="I97" s="111"/>
      <c r="J97" s="111"/>
    </row>
    <row r="98" spans="1:10" s="1" customFormat="1" ht="16.5" thickTop="1" thickBot="1" x14ac:dyDescent="0.3">
      <c r="B98" s="112"/>
      <c r="C98" s="112" t="s">
        <v>314</v>
      </c>
      <c r="D98" s="112" t="s">
        <v>315</v>
      </c>
      <c r="E98" s="106" t="s">
        <v>316</v>
      </c>
      <c r="F98" s="106" t="s">
        <v>317</v>
      </c>
      <c r="G98" s="112" t="s">
        <v>314</v>
      </c>
      <c r="H98" s="112" t="s">
        <v>315</v>
      </c>
      <c r="I98" s="106" t="s">
        <v>316</v>
      </c>
      <c r="J98" s="106" t="s">
        <v>317</v>
      </c>
    </row>
    <row r="99" spans="1:10" s="1" customFormat="1" x14ac:dyDescent="0.25">
      <c r="B99" s="113" t="s">
        <v>175</v>
      </c>
      <c r="C99" s="18">
        <f>COUNTIFS('Peak Load Calc'!$Z$14:$Z$114,"&gt;0",'Peak Load Calc'!$H$14:$H$114,Outputs!$B99,'Peak Load Calc'!$J$14:$J$114,Outputs!C$97)</f>
        <v>8</v>
      </c>
      <c r="D99" s="44">
        <f>SUMIFS('Peak Load Calc'!$Z$14:$Z$114,'Peak Load Calc'!$Z$14:$Z$114,"&gt;0",'Peak Load Calc'!$H$14:$H$114,Outputs!$B99,'Peak Load Calc'!$J$14:$J$114,Outputs!C$97)</f>
        <v>694.2174</v>
      </c>
      <c r="E99" s="71">
        <f>D99/C99</f>
        <v>86.777175</v>
      </c>
      <c r="F99" s="71">
        <f>ROUNDUP(E99*(1+$D$93),-1)</f>
        <v>110</v>
      </c>
      <c r="G99" s="18">
        <f>COUNTIFS('Peak Load Calc'!$Z$14:$Z$114,"&gt;0",'Peak Load Calc'!$H$14:$H$114,Outputs!$B99,'Peak Load Calc'!$J$14:$J$114,Outputs!G$97)</f>
        <v>3</v>
      </c>
      <c r="H99" s="44">
        <f>SUMIFS('Peak Load Calc'!$Z$14:$Z$114,'Peak Load Calc'!$Z$14:$Z$114,"&gt;0",'Peak Load Calc'!$H$14:$H$114,Outputs!$B99,'Peak Load Calc'!$J$14:$J$114,Outputs!G$97)</f>
        <v>1617.1369999999999</v>
      </c>
      <c r="I99" s="44">
        <f>H99/G99</f>
        <v>539.04566666666665</v>
      </c>
      <c r="J99" s="44">
        <f>ROUNDUP(I99*(1+$D$94),-1)</f>
        <v>810</v>
      </c>
    </row>
    <row r="100" spans="1:10" s="1" customFormat="1" x14ac:dyDescent="0.25">
      <c r="B100" s="113" t="s">
        <v>176</v>
      </c>
      <c r="C100" s="18">
        <f>COUNTIFS('Peak Load Calc'!$Z$14:$Z$114,"&gt;0",'Peak Load Calc'!$H$14:$H$114,Outputs!$B100,'Peak Load Calc'!$J$14:$J$114,Outputs!C$97)</f>
        <v>14</v>
      </c>
      <c r="D100" s="44">
        <f>SUMIFS('Peak Load Calc'!$Z$14:$Z$114,'Peak Load Calc'!$Z$14:$Z$114,"&gt;0",'Peak Load Calc'!$H$14:$H$114,Outputs!$B100,'Peak Load Calc'!$J$14:$J$114,Outputs!C$97)</f>
        <v>942.63650000000007</v>
      </c>
      <c r="E100" s="71">
        <f t="shared" ref="E100:E103" si="7">D100/C100</f>
        <v>67.33117857142858</v>
      </c>
      <c r="F100" s="71">
        <f t="shared" ref="F100:F103" si="8">ROUNDUP(E100*(1+$D$93),-1)</f>
        <v>90</v>
      </c>
      <c r="G100" s="18">
        <f>COUNTIFS('Peak Load Calc'!$Z$14:$Z$114,"&gt;0",'Peak Load Calc'!$H$14:$H$114,Outputs!$B100,'Peak Load Calc'!$J$14:$J$114,Outputs!G$97)</f>
        <v>5</v>
      </c>
      <c r="H100" s="44">
        <f>SUMIFS('Peak Load Calc'!$Z$14:$Z$114,'Peak Load Calc'!$Z$14:$Z$114,"&gt;0",'Peak Load Calc'!$H$14:$H$114,Outputs!$B100,'Peak Load Calc'!$J$14:$J$114,Outputs!G$97)</f>
        <v>1083.8880000000001</v>
      </c>
      <c r="I100" s="44">
        <f t="shared" ref="I100:I102" si="9">H100/G100</f>
        <v>216.77760000000004</v>
      </c>
      <c r="J100" s="44">
        <f t="shared" ref="J100:J102" si="10">ROUNDUP(I100*(1+$D$94),-1)</f>
        <v>330</v>
      </c>
    </row>
    <row r="101" spans="1:10" s="1" customFormat="1" x14ac:dyDescent="0.25">
      <c r="B101" s="113" t="s">
        <v>177</v>
      </c>
      <c r="C101" s="18">
        <f>COUNTIFS('Peak Load Calc'!$Z$14:$Z$114,"&gt;0",'Peak Load Calc'!$H$14:$H$114,Outputs!$B101,'Peak Load Calc'!$J$14:$J$114,Outputs!C$97)</f>
        <v>22</v>
      </c>
      <c r="D101" s="44">
        <f>SUMIFS('Peak Load Calc'!$Z$14:$Z$114,'Peak Load Calc'!$Z$14:$Z$114,"&gt;0",'Peak Load Calc'!$H$14:$H$114,Outputs!$B101,'Peak Load Calc'!$J$14:$J$114,Outputs!C$97)</f>
        <v>1873.9743000000001</v>
      </c>
      <c r="E101" s="71">
        <f t="shared" si="7"/>
        <v>85.18065</v>
      </c>
      <c r="F101" s="71">
        <f t="shared" si="8"/>
        <v>110</v>
      </c>
      <c r="G101" s="18">
        <f>COUNTIFS('Peak Load Calc'!$Z$14:$Z$114,"&gt;0",'Peak Load Calc'!$H$14:$H$114,Outputs!$B101,'Peak Load Calc'!$J$14:$J$114,Outputs!G$97)</f>
        <v>8</v>
      </c>
      <c r="H101" s="44">
        <f>SUMIFS('Peak Load Calc'!$Z$14:$Z$114,'Peak Load Calc'!$Z$14:$Z$114,"&gt;0",'Peak Load Calc'!$H$14:$H$114,Outputs!$B101,'Peak Load Calc'!$J$14:$J$114,Outputs!G$97)</f>
        <v>2923.1040000000003</v>
      </c>
      <c r="I101" s="44">
        <f t="shared" si="9"/>
        <v>365.38800000000003</v>
      </c>
      <c r="J101" s="44">
        <f t="shared" si="10"/>
        <v>550</v>
      </c>
    </row>
    <row r="102" spans="1:10" s="1" customFormat="1" x14ac:dyDescent="0.25">
      <c r="B102" s="113" t="s">
        <v>173</v>
      </c>
      <c r="C102" s="18">
        <f>COUNTIFS('Peak Load Calc'!$Z$14:$Z$114,"&gt;0",'Peak Load Calc'!$H$14:$H$114,Outputs!$B102,'Peak Load Calc'!$J$14:$J$114,Outputs!C$97)</f>
        <v>4</v>
      </c>
      <c r="D102" s="44">
        <f>SUMIFS('Peak Load Calc'!$Z$14:$Z$114,'Peak Load Calc'!$Z$14:$Z$114,"&gt;0",'Peak Load Calc'!$H$14:$H$114,Outputs!$B102,'Peak Load Calc'!$J$14:$J$114,Outputs!C$97)</f>
        <v>281.56900000000002</v>
      </c>
      <c r="E102" s="71">
        <f t="shared" si="7"/>
        <v>70.392250000000004</v>
      </c>
      <c r="F102" s="71">
        <f t="shared" si="8"/>
        <v>90</v>
      </c>
      <c r="G102" s="18">
        <f>COUNTIFS('Peak Load Calc'!$Z$14:$Z$114,"&gt;0",'Peak Load Calc'!$H$14:$H$114,Outputs!$B102,'Peak Load Calc'!$J$14:$J$114,Outputs!G$97)</f>
        <v>5</v>
      </c>
      <c r="H102" s="44">
        <f>SUMIFS('Peak Load Calc'!$Z$14:$Z$114,'Peak Load Calc'!$Z$14:$Z$114,"&gt;0",'Peak Load Calc'!$H$14:$H$114,Outputs!$B102,'Peak Load Calc'!$J$14:$J$114,Outputs!G$97)</f>
        <v>4631.5649999999996</v>
      </c>
      <c r="I102" s="44">
        <f t="shared" si="9"/>
        <v>926.31299999999987</v>
      </c>
      <c r="J102" s="44">
        <f t="shared" si="10"/>
        <v>1390</v>
      </c>
    </row>
    <row r="103" spans="1:10" s="1" customFormat="1" x14ac:dyDescent="0.25">
      <c r="B103" s="113" t="s">
        <v>222</v>
      </c>
      <c r="C103" s="18">
        <f>SUM(C99:C102)</f>
        <v>48</v>
      </c>
      <c r="D103" s="114">
        <f>SUM(D99:D102)</f>
        <v>3792.3971999999999</v>
      </c>
      <c r="E103" s="71">
        <f t="shared" si="7"/>
        <v>79.008274999999998</v>
      </c>
      <c r="F103" s="71">
        <f t="shared" si="8"/>
        <v>100</v>
      </c>
      <c r="G103" s="18">
        <f>SUM(G99:G102)</f>
        <v>21</v>
      </c>
      <c r="H103" s="44">
        <f>SUM(H99:H102)</f>
        <v>10255.694</v>
      </c>
      <c r="I103" s="44">
        <f>H103/G103</f>
        <v>488.36638095238095</v>
      </c>
      <c r="J103" s="44">
        <f>ROUNDUP(I103*(1+$D$94),-1)</f>
        <v>740</v>
      </c>
    </row>
    <row r="104" spans="1:10" x14ac:dyDescent="0.25">
      <c r="A104" s="1"/>
    </row>
    <row r="105" spans="1:10" s="1" customFormat="1" x14ac:dyDescent="0.25">
      <c r="B105"/>
      <c r="C105"/>
      <c r="D105"/>
      <c r="E105"/>
      <c r="F105"/>
      <c r="G105"/>
      <c r="H105"/>
      <c r="I105"/>
    </row>
    <row r="106" spans="1:10" s="1" customFormat="1" x14ac:dyDescent="0.25">
      <c r="B106"/>
      <c r="C106"/>
      <c r="D106"/>
      <c r="E106"/>
      <c r="F106"/>
      <c r="G106"/>
      <c r="H106"/>
      <c r="I106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6338" x14ac:dyDescent="0.25">
      <c r="A113" s="1"/>
    </row>
    <row r="114" spans="1:16338" x14ac:dyDescent="0.25">
      <c r="A114" s="1"/>
    </row>
    <row r="115" spans="1:16338" x14ac:dyDescent="0.25">
      <c r="A115" s="1"/>
    </row>
    <row r="116" spans="1:16338" x14ac:dyDescent="0.25">
      <c r="A116" s="1"/>
    </row>
    <row r="117" spans="1:16338" x14ac:dyDescent="0.25">
      <c r="A117" s="1"/>
    </row>
    <row r="118" spans="1:16338" x14ac:dyDescent="0.25">
      <c r="A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</row>
    <row r="119" spans="1:16338" x14ac:dyDescent="0.25">
      <c r="A119" s="1"/>
      <c r="J119" s="1"/>
      <c r="K119" s="1"/>
    </row>
    <row r="120" spans="1:16338" x14ac:dyDescent="0.25">
      <c r="A120" s="1"/>
      <c r="J120" s="1"/>
      <c r="K120" s="1"/>
    </row>
    <row r="121" spans="1:16338" s="1" customFormat="1" x14ac:dyDescent="0.25">
      <c r="B121"/>
      <c r="C121"/>
      <c r="D121"/>
      <c r="E121"/>
      <c r="F121"/>
      <c r="G121"/>
      <c r="H121"/>
      <c r="I121"/>
    </row>
    <row r="122" spans="1:16338" s="1" customFormat="1" x14ac:dyDescent="0.25">
      <c r="B122"/>
      <c r="C122"/>
      <c r="D122"/>
      <c r="E122"/>
      <c r="F122"/>
      <c r="G122"/>
      <c r="H122"/>
      <c r="I122"/>
    </row>
    <row r="123" spans="1:16338" s="1" customFormat="1" x14ac:dyDescent="0.25">
      <c r="B123"/>
      <c r="C123"/>
      <c r="D123"/>
      <c r="E123"/>
      <c r="F123"/>
      <c r="G123"/>
      <c r="H123"/>
      <c r="I123"/>
    </row>
    <row r="124" spans="1:16338" x14ac:dyDescent="0.25">
      <c r="A124" s="1"/>
      <c r="J124" s="1"/>
      <c r="K124" s="1"/>
    </row>
    <row r="125" spans="1:16338" s="1" customFormat="1" x14ac:dyDescent="0.25">
      <c r="B125"/>
      <c r="C125"/>
      <c r="D125"/>
      <c r="E125"/>
      <c r="F125"/>
      <c r="G125"/>
      <c r="H125"/>
      <c r="I125"/>
    </row>
    <row r="126" spans="1:16338" s="1" customFormat="1" x14ac:dyDescent="0.25">
      <c r="B126"/>
      <c r="C126"/>
      <c r="D126"/>
      <c r="E126"/>
      <c r="F126"/>
      <c r="G126"/>
      <c r="H126"/>
      <c r="I126"/>
    </row>
    <row r="127" spans="1:16338" s="1" customFormat="1" x14ac:dyDescent="0.25">
      <c r="B127"/>
      <c r="C127"/>
      <c r="D127"/>
      <c r="E127"/>
      <c r="F127"/>
      <c r="G127"/>
      <c r="H127"/>
      <c r="I127"/>
    </row>
    <row r="128" spans="1:16338" s="1" customFormat="1" x14ac:dyDescent="0.25">
      <c r="B128"/>
      <c r="C128"/>
      <c r="D128"/>
      <c r="E128"/>
      <c r="F128"/>
      <c r="G128"/>
      <c r="H128"/>
      <c r="I128"/>
    </row>
    <row r="129" spans="1:9" s="1" customFormat="1" x14ac:dyDescent="0.25">
      <c r="B129"/>
      <c r="C129"/>
      <c r="D129"/>
      <c r="E129"/>
      <c r="F129"/>
      <c r="G129"/>
      <c r="H129"/>
      <c r="I129"/>
    </row>
    <row r="130" spans="1:9" x14ac:dyDescent="0.25">
      <c r="A130" s="1"/>
    </row>
    <row r="131" spans="1:9" s="1" customFormat="1" x14ac:dyDescent="0.25">
      <c r="B131"/>
      <c r="C131"/>
      <c r="D131"/>
      <c r="E131"/>
      <c r="F131"/>
      <c r="G131"/>
      <c r="H131"/>
      <c r="I131"/>
    </row>
    <row r="132" spans="1:9" s="1" customFormat="1" x14ac:dyDescent="0.25">
      <c r="B132"/>
      <c r="C132"/>
      <c r="D132"/>
      <c r="E132"/>
      <c r="F132"/>
      <c r="G132"/>
      <c r="H132"/>
      <c r="I132"/>
    </row>
    <row r="133" spans="1:9" s="1" customFormat="1" x14ac:dyDescent="0.25">
      <c r="B133"/>
      <c r="C133"/>
      <c r="D133"/>
      <c r="E133"/>
      <c r="F133"/>
      <c r="G133"/>
      <c r="H133"/>
      <c r="I133"/>
    </row>
    <row r="134" spans="1:9" s="1" customFormat="1" x14ac:dyDescent="0.25">
      <c r="B134"/>
      <c r="C134"/>
      <c r="D134"/>
      <c r="E134"/>
      <c r="F134"/>
      <c r="G134"/>
      <c r="H134"/>
      <c r="I134"/>
    </row>
    <row r="135" spans="1:9" s="1" customFormat="1" x14ac:dyDescent="0.25">
      <c r="B135"/>
      <c r="C135"/>
      <c r="D135"/>
      <c r="E135"/>
      <c r="F135"/>
      <c r="G135"/>
      <c r="H135"/>
      <c r="I135"/>
    </row>
    <row r="136" spans="1:9" s="1" customFormat="1" x14ac:dyDescent="0.25">
      <c r="B136"/>
      <c r="C136"/>
      <c r="D136"/>
      <c r="E136"/>
      <c r="F136"/>
      <c r="G136"/>
      <c r="H136"/>
      <c r="I136"/>
    </row>
    <row r="137" spans="1:9" x14ac:dyDescent="0.25">
      <c r="A137" s="1"/>
    </row>
    <row r="138" spans="1:9" s="1" customFormat="1" x14ac:dyDescent="0.25">
      <c r="B138"/>
      <c r="C138"/>
      <c r="D138"/>
      <c r="E138"/>
      <c r="F138"/>
      <c r="G138"/>
      <c r="H138"/>
      <c r="I138"/>
    </row>
    <row r="139" spans="1:9" s="1" customFormat="1" x14ac:dyDescent="0.25">
      <c r="B139"/>
      <c r="C139"/>
      <c r="D139"/>
      <c r="E139"/>
      <c r="F139"/>
      <c r="G139"/>
      <c r="H139"/>
      <c r="I139"/>
    </row>
    <row r="140" spans="1:9" s="1" customFormat="1" x14ac:dyDescent="0.25">
      <c r="B140"/>
      <c r="C140"/>
      <c r="D140"/>
      <c r="E140"/>
      <c r="F140"/>
      <c r="G140"/>
      <c r="H140"/>
      <c r="I140"/>
    </row>
    <row r="141" spans="1:9" s="1" customFormat="1" x14ac:dyDescent="0.25">
      <c r="B141"/>
      <c r="C141"/>
      <c r="D141"/>
      <c r="E141"/>
      <c r="F141"/>
      <c r="G141"/>
      <c r="H141"/>
      <c r="I141"/>
    </row>
    <row r="142" spans="1:9" s="1" customFormat="1" x14ac:dyDescent="0.25">
      <c r="B142"/>
      <c r="C142"/>
      <c r="D142"/>
      <c r="E142"/>
      <c r="F142"/>
      <c r="G142"/>
      <c r="H142"/>
      <c r="I142"/>
    </row>
    <row r="143" spans="1:9" s="1" customFormat="1" x14ac:dyDescent="0.25">
      <c r="B143"/>
      <c r="C143"/>
      <c r="D143"/>
      <c r="E143"/>
      <c r="F143"/>
      <c r="G143"/>
      <c r="H143"/>
      <c r="I143"/>
    </row>
    <row r="144" spans="1:9" x14ac:dyDescent="0.25">
      <c r="A144" s="1"/>
    </row>
    <row r="145" spans="1:9" s="1" customFormat="1" x14ac:dyDescent="0.25">
      <c r="B145"/>
      <c r="C145"/>
      <c r="D145"/>
      <c r="E145"/>
      <c r="F145"/>
      <c r="G145"/>
      <c r="H145"/>
      <c r="I145"/>
    </row>
    <row r="146" spans="1:9" s="1" customFormat="1" x14ac:dyDescent="0.25">
      <c r="B146"/>
      <c r="C146"/>
      <c r="D146"/>
      <c r="E146"/>
      <c r="F146"/>
      <c r="G146"/>
      <c r="H146"/>
      <c r="I146"/>
    </row>
    <row r="147" spans="1:9" s="1" customFormat="1" x14ac:dyDescent="0.25">
      <c r="B147"/>
      <c r="C147"/>
      <c r="D147"/>
      <c r="E147"/>
      <c r="F147"/>
      <c r="G147"/>
      <c r="H147"/>
      <c r="I147"/>
    </row>
    <row r="148" spans="1:9" s="1" customFormat="1" x14ac:dyDescent="0.25">
      <c r="B148"/>
      <c r="C148"/>
      <c r="D148"/>
      <c r="E148"/>
      <c r="F148"/>
      <c r="G148"/>
      <c r="H148"/>
      <c r="I148"/>
    </row>
    <row r="149" spans="1:9" s="1" customFormat="1" x14ac:dyDescent="0.25">
      <c r="B149"/>
      <c r="C149"/>
      <c r="D149"/>
      <c r="E149"/>
      <c r="F149"/>
      <c r="G149"/>
      <c r="H149"/>
      <c r="I149"/>
    </row>
    <row r="150" spans="1:9" s="1" customFormat="1" x14ac:dyDescent="0.25">
      <c r="B150"/>
      <c r="C150"/>
      <c r="D150"/>
      <c r="E150"/>
      <c r="F150"/>
      <c r="G150"/>
      <c r="H150"/>
      <c r="I150"/>
    </row>
    <row r="151" spans="1:9" x14ac:dyDescent="0.25">
      <c r="A151" s="1"/>
    </row>
    <row r="152" spans="1:9" s="1" customFormat="1" x14ac:dyDescent="0.25">
      <c r="B152"/>
      <c r="C152"/>
      <c r="D152"/>
      <c r="E152"/>
      <c r="F152"/>
      <c r="G152"/>
      <c r="H152"/>
      <c r="I152"/>
    </row>
    <row r="153" spans="1:9" s="1" customFormat="1" x14ac:dyDescent="0.25">
      <c r="B153"/>
      <c r="C153"/>
      <c r="D153"/>
      <c r="E153"/>
      <c r="F153"/>
      <c r="G153"/>
      <c r="H153"/>
      <c r="I153"/>
    </row>
    <row r="154" spans="1:9" s="1" customFormat="1" x14ac:dyDescent="0.25">
      <c r="B154"/>
      <c r="C154"/>
      <c r="D154"/>
      <c r="E154"/>
      <c r="F154"/>
      <c r="G154"/>
      <c r="H154"/>
      <c r="I154"/>
    </row>
    <row r="155" spans="1:9" s="1" customFormat="1" x14ac:dyDescent="0.25">
      <c r="B155"/>
      <c r="C155"/>
      <c r="D155"/>
      <c r="E155"/>
      <c r="F155"/>
      <c r="G155"/>
      <c r="H155"/>
      <c r="I155"/>
    </row>
    <row r="156" spans="1:9" s="1" customFormat="1" x14ac:dyDescent="0.25">
      <c r="B156"/>
      <c r="C156"/>
      <c r="D156"/>
      <c r="E156"/>
      <c r="F156"/>
      <c r="G156"/>
      <c r="H156"/>
      <c r="I156"/>
    </row>
    <row r="157" spans="1:9" s="1" customFormat="1" x14ac:dyDescent="0.25">
      <c r="B157"/>
      <c r="C157"/>
      <c r="D157"/>
      <c r="E157"/>
      <c r="F157"/>
      <c r="G157"/>
      <c r="H157"/>
      <c r="I157"/>
    </row>
    <row r="158" spans="1:9" x14ac:dyDescent="0.25">
      <c r="A158" s="1"/>
    </row>
    <row r="159" spans="1:9" s="1" customFormat="1" x14ac:dyDescent="0.25">
      <c r="B159"/>
      <c r="C159"/>
      <c r="D159"/>
      <c r="E159"/>
      <c r="F159"/>
      <c r="G159"/>
      <c r="H159"/>
      <c r="I159"/>
    </row>
    <row r="160" spans="1:9" s="1" customFormat="1" x14ac:dyDescent="0.25">
      <c r="B160"/>
      <c r="C160"/>
      <c r="D160"/>
      <c r="E160"/>
      <c r="F160"/>
      <c r="G160"/>
      <c r="H160"/>
      <c r="I160"/>
    </row>
    <row r="161" spans="1:9" s="1" customFormat="1" x14ac:dyDescent="0.25">
      <c r="B161"/>
      <c r="C161"/>
      <c r="D161"/>
      <c r="E161"/>
      <c r="F161"/>
      <c r="G161"/>
      <c r="H161"/>
      <c r="I161"/>
    </row>
    <row r="162" spans="1:9" s="1" customFormat="1" x14ac:dyDescent="0.25">
      <c r="B162"/>
      <c r="C162"/>
      <c r="D162"/>
      <c r="E162"/>
      <c r="F162"/>
      <c r="G162"/>
      <c r="H162"/>
      <c r="I162"/>
    </row>
    <row r="163" spans="1:9" s="1" customFormat="1" x14ac:dyDescent="0.25">
      <c r="B163"/>
      <c r="C163"/>
      <c r="D163"/>
      <c r="E163"/>
      <c r="F163"/>
      <c r="G163"/>
      <c r="H163"/>
      <c r="I163"/>
    </row>
    <row r="164" spans="1:9" s="1" customFormat="1" x14ac:dyDescent="0.25">
      <c r="B164"/>
      <c r="C164"/>
      <c r="D164"/>
      <c r="E164"/>
      <c r="F164"/>
      <c r="G164"/>
      <c r="H164"/>
      <c r="I164"/>
    </row>
    <row r="165" spans="1:9" s="1" customFormat="1" x14ac:dyDescent="0.25">
      <c r="B165"/>
      <c r="C165"/>
      <c r="D165"/>
      <c r="E165"/>
      <c r="F165"/>
      <c r="G165"/>
      <c r="H165"/>
      <c r="I165"/>
    </row>
    <row r="166" spans="1:9" s="1" customFormat="1" x14ac:dyDescent="0.25">
      <c r="B166"/>
      <c r="C166"/>
      <c r="D166"/>
      <c r="E166"/>
      <c r="F166"/>
      <c r="G166"/>
      <c r="H166"/>
      <c r="I166"/>
    </row>
    <row r="167" spans="1:9" x14ac:dyDescent="0.25">
      <c r="A167" s="1"/>
    </row>
    <row r="168" spans="1:9" s="1" customFormat="1" x14ac:dyDescent="0.25">
      <c r="B168"/>
      <c r="C168"/>
      <c r="D168"/>
      <c r="E168"/>
      <c r="F168"/>
      <c r="G168"/>
      <c r="H168"/>
      <c r="I168"/>
    </row>
    <row r="169" spans="1:9" s="1" customFormat="1" x14ac:dyDescent="0.25">
      <c r="B169"/>
      <c r="C169"/>
      <c r="D169"/>
      <c r="E169"/>
      <c r="F169"/>
      <c r="G169"/>
      <c r="H169"/>
      <c r="I169"/>
    </row>
    <row r="170" spans="1:9" s="1" customFormat="1" x14ac:dyDescent="0.25">
      <c r="B170"/>
      <c r="C170"/>
      <c r="D170"/>
      <c r="E170"/>
      <c r="F170"/>
      <c r="G170"/>
      <c r="H170"/>
      <c r="I170"/>
    </row>
    <row r="171" spans="1:9" x14ac:dyDescent="0.25">
      <c r="A171" s="1"/>
    </row>
    <row r="172" spans="1:9" x14ac:dyDescent="0.25">
      <c r="A172" s="1"/>
    </row>
    <row r="173" spans="1:9" s="1" customFormat="1" x14ac:dyDescent="0.25">
      <c r="B173"/>
      <c r="C173"/>
      <c r="D173"/>
      <c r="E173"/>
      <c r="F173"/>
      <c r="G173"/>
      <c r="H173"/>
      <c r="I173"/>
    </row>
    <row r="174" spans="1:9" s="1" customFormat="1" x14ac:dyDescent="0.25">
      <c r="B174"/>
      <c r="C174"/>
      <c r="D174"/>
      <c r="E174"/>
      <c r="F174"/>
      <c r="G174"/>
      <c r="H174"/>
      <c r="I174"/>
    </row>
    <row r="175" spans="1:9" s="1" customFormat="1" x14ac:dyDescent="0.25">
      <c r="B175"/>
      <c r="C175"/>
      <c r="D175"/>
      <c r="E175"/>
      <c r="F175"/>
      <c r="G175"/>
      <c r="H175"/>
      <c r="I175"/>
    </row>
    <row r="176" spans="1:9" x14ac:dyDescent="0.25">
      <c r="A176" s="1"/>
    </row>
    <row r="177" spans="1:9" s="1" customFormat="1" x14ac:dyDescent="0.25">
      <c r="B177"/>
      <c r="C177"/>
      <c r="D177"/>
      <c r="E177"/>
      <c r="F177"/>
      <c r="G177"/>
      <c r="H177"/>
      <c r="I177"/>
    </row>
    <row r="178" spans="1:9" s="1" customFormat="1" x14ac:dyDescent="0.25">
      <c r="B178"/>
      <c r="C178"/>
      <c r="D178"/>
      <c r="E178"/>
      <c r="F178"/>
      <c r="G178"/>
      <c r="H178"/>
      <c r="I178"/>
    </row>
    <row r="179" spans="1:9" s="1" customFormat="1" x14ac:dyDescent="0.25">
      <c r="B179"/>
      <c r="C179"/>
      <c r="D179"/>
      <c r="E179"/>
      <c r="F179"/>
      <c r="G179"/>
      <c r="H179"/>
      <c r="I179"/>
    </row>
    <row r="180" spans="1:9" s="1" customFormat="1" x14ac:dyDescent="0.25">
      <c r="B180"/>
      <c r="C180"/>
      <c r="D180"/>
      <c r="E180"/>
      <c r="F180"/>
      <c r="G180"/>
      <c r="H180"/>
      <c r="I180"/>
    </row>
    <row r="181" spans="1:9" s="1" customFormat="1" x14ac:dyDescent="0.25">
      <c r="B181"/>
      <c r="C181"/>
      <c r="D181"/>
      <c r="E181"/>
      <c r="F181"/>
      <c r="G181"/>
      <c r="H181"/>
      <c r="I181"/>
    </row>
    <row r="182" spans="1:9" s="1" customFormat="1" x14ac:dyDescent="0.25">
      <c r="B182"/>
      <c r="C182"/>
      <c r="D182"/>
      <c r="E182"/>
      <c r="F182"/>
      <c r="G182"/>
      <c r="H182"/>
      <c r="I182"/>
    </row>
    <row r="183" spans="1:9" x14ac:dyDescent="0.25">
      <c r="A183" s="1"/>
    </row>
    <row r="184" spans="1:9" s="1" customFormat="1" x14ac:dyDescent="0.25">
      <c r="B184"/>
      <c r="C184"/>
      <c r="D184"/>
      <c r="E184"/>
      <c r="F184"/>
      <c r="G184"/>
      <c r="H184"/>
      <c r="I184"/>
    </row>
    <row r="185" spans="1:9" s="1" customFormat="1" x14ac:dyDescent="0.25">
      <c r="B185"/>
      <c r="C185"/>
      <c r="D185"/>
      <c r="E185"/>
      <c r="F185"/>
      <c r="G185"/>
      <c r="H185"/>
      <c r="I185"/>
    </row>
    <row r="186" spans="1:9" s="1" customFormat="1" x14ac:dyDescent="0.25">
      <c r="B186"/>
      <c r="C186"/>
      <c r="D186"/>
      <c r="E186"/>
      <c r="F186"/>
      <c r="G186"/>
      <c r="H186"/>
      <c r="I186"/>
    </row>
    <row r="187" spans="1:9" s="1" customFormat="1" x14ac:dyDescent="0.25">
      <c r="B187"/>
      <c r="C187"/>
      <c r="D187"/>
      <c r="E187"/>
      <c r="F187"/>
      <c r="G187"/>
      <c r="H187"/>
      <c r="I187"/>
    </row>
    <row r="188" spans="1:9" s="1" customFormat="1" x14ac:dyDescent="0.25">
      <c r="B188"/>
      <c r="C188"/>
      <c r="D188"/>
      <c r="E188"/>
      <c r="F188"/>
      <c r="G188"/>
      <c r="H188"/>
      <c r="I188"/>
    </row>
    <row r="189" spans="1:9" s="1" customFormat="1" x14ac:dyDescent="0.25">
      <c r="B189"/>
      <c r="C189"/>
      <c r="D189"/>
      <c r="E189"/>
      <c r="F189"/>
      <c r="G189"/>
      <c r="H189"/>
      <c r="I189"/>
    </row>
    <row r="190" spans="1:9" x14ac:dyDescent="0.25">
      <c r="A190" s="1"/>
    </row>
    <row r="191" spans="1:9" s="1" customFormat="1" x14ac:dyDescent="0.25">
      <c r="B191"/>
      <c r="C191"/>
      <c r="D191"/>
      <c r="E191"/>
      <c r="F191"/>
      <c r="G191"/>
      <c r="H191"/>
      <c r="I191"/>
    </row>
    <row r="192" spans="1:9" s="1" customFormat="1" x14ac:dyDescent="0.25">
      <c r="B192"/>
      <c r="C192"/>
      <c r="D192"/>
      <c r="E192"/>
      <c r="F192"/>
      <c r="G192"/>
      <c r="H192"/>
      <c r="I192"/>
    </row>
    <row r="193" spans="1:9" s="1" customFormat="1" x14ac:dyDescent="0.25">
      <c r="B193"/>
      <c r="C193"/>
      <c r="D193"/>
      <c r="E193"/>
      <c r="F193"/>
      <c r="G193"/>
      <c r="H193"/>
      <c r="I193"/>
    </row>
    <row r="194" spans="1:9" s="1" customFormat="1" x14ac:dyDescent="0.25">
      <c r="B194"/>
      <c r="C194"/>
      <c r="D194"/>
      <c r="E194"/>
      <c r="F194"/>
      <c r="G194"/>
      <c r="H194"/>
      <c r="I194"/>
    </row>
    <row r="195" spans="1:9" s="1" customFormat="1" x14ac:dyDescent="0.25">
      <c r="B195"/>
      <c r="C195"/>
      <c r="D195"/>
      <c r="E195"/>
      <c r="F195"/>
      <c r="G195"/>
      <c r="H195"/>
      <c r="I195"/>
    </row>
    <row r="196" spans="1:9" s="1" customFormat="1" x14ac:dyDescent="0.25">
      <c r="B196"/>
      <c r="C196"/>
      <c r="D196"/>
      <c r="E196"/>
      <c r="F196"/>
      <c r="G196"/>
      <c r="H196"/>
      <c r="I196"/>
    </row>
    <row r="197" spans="1:9" x14ac:dyDescent="0.25">
      <c r="A197" s="1"/>
    </row>
    <row r="198" spans="1:9" s="1" customFormat="1" x14ac:dyDescent="0.25">
      <c r="B198"/>
      <c r="C198"/>
      <c r="D198"/>
      <c r="E198"/>
      <c r="F198"/>
      <c r="G198"/>
      <c r="H198"/>
      <c r="I198"/>
    </row>
    <row r="199" spans="1:9" s="1" customFormat="1" x14ac:dyDescent="0.25">
      <c r="B199"/>
      <c r="C199"/>
      <c r="D199"/>
      <c r="E199"/>
      <c r="F199"/>
      <c r="G199"/>
      <c r="H199"/>
      <c r="I199"/>
    </row>
    <row r="200" spans="1:9" s="1" customFormat="1" x14ac:dyDescent="0.25">
      <c r="B200"/>
      <c r="C200"/>
      <c r="D200"/>
      <c r="E200"/>
      <c r="F200"/>
      <c r="G200"/>
      <c r="H200"/>
      <c r="I200"/>
    </row>
    <row r="201" spans="1:9" s="1" customFormat="1" x14ac:dyDescent="0.25">
      <c r="B201"/>
      <c r="C201"/>
      <c r="D201"/>
      <c r="E201"/>
      <c r="F201"/>
      <c r="G201"/>
      <c r="H201"/>
      <c r="I201"/>
    </row>
    <row r="202" spans="1:9" s="1" customFormat="1" x14ac:dyDescent="0.25">
      <c r="B202"/>
      <c r="C202"/>
      <c r="D202"/>
      <c r="E202"/>
      <c r="F202"/>
      <c r="G202"/>
      <c r="H202"/>
      <c r="I202"/>
    </row>
    <row r="203" spans="1:9" s="1" customFormat="1" x14ac:dyDescent="0.25">
      <c r="B203"/>
      <c r="C203"/>
      <c r="D203"/>
      <c r="E203"/>
      <c r="F203"/>
      <c r="G203"/>
      <c r="H203"/>
      <c r="I203"/>
    </row>
    <row r="204" spans="1:9" x14ac:dyDescent="0.25">
      <c r="A204" s="1"/>
    </row>
    <row r="205" spans="1:9" s="1" customFormat="1" x14ac:dyDescent="0.25">
      <c r="B205"/>
      <c r="C205"/>
      <c r="D205"/>
      <c r="E205"/>
      <c r="F205"/>
      <c r="G205"/>
      <c r="H205"/>
      <c r="I205"/>
    </row>
    <row r="206" spans="1:9" s="1" customFormat="1" x14ac:dyDescent="0.25">
      <c r="B206"/>
      <c r="C206"/>
      <c r="D206"/>
      <c r="E206"/>
      <c r="F206"/>
      <c r="G206"/>
      <c r="H206"/>
      <c r="I206"/>
    </row>
    <row r="207" spans="1:9" s="1" customFormat="1" x14ac:dyDescent="0.25">
      <c r="B207"/>
      <c r="C207"/>
      <c r="D207"/>
      <c r="E207"/>
      <c r="F207"/>
      <c r="G207"/>
      <c r="H207"/>
      <c r="I207"/>
    </row>
    <row r="208" spans="1:9" s="1" customFormat="1" x14ac:dyDescent="0.25">
      <c r="B208"/>
      <c r="C208"/>
      <c r="D208"/>
      <c r="E208"/>
      <c r="F208"/>
      <c r="G208"/>
      <c r="H208"/>
      <c r="I208"/>
    </row>
    <row r="209" spans="1:9" s="1" customFormat="1" x14ac:dyDescent="0.25">
      <c r="B209"/>
      <c r="C209"/>
      <c r="D209"/>
      <c r="E209"/>
      <c r="F209"/>
      <c r="G209"/>
      <c r="H209"/>
      <c r="I209"/>
    </row>
    <row r="210" spans="1:9" s="1" customFormat="1" x14ac:dyDescent="0.25">
      <c r="B210"/>
      <c r="C210"/>
      <c r="D210"/>
      <c r="E210"/>
      <c r="F210"/>
      <c r="G210"/>
      <c r="H210"/>
      <c r="I210"/>
    </row>
    <row r="211" spans="1:9" x14ac:dyDescent="0.25">
      <c r="A211" s="1"/>
    </row>
    <row r="212" spans="1:9" s="1" customFormat="1" x14ac:dyDescent="0.25">
      <c r="B212"/>
      <c r="C212"/>
      <c r="D212"/>
      <c r="E212"/>
      <c r="F212"/>
      <c r="G212"/>
      <c r="H212"/>
      <c r="I212"/>
    </row>
    <row r="213" spans="1:9" s="1" customFormat="1" x14ac:dyDescent="0.25">
      <c r="B213"/>
      <c r="C213"/>
      <c r="D213"/>
      <c r="E213"/>
      <c r="F213"/>
      <c r="G213"/>
      <c r="H213"/>
      <c r="I213"/>
    </row>
    <row r="214" spans="1:9" s="1" customFormat="1" x14ac:dyDescent="0.25">
      <c r="B214"/>
      <c r="C214"/>
      <c r="D214"/>
      <c r="E214"/>
      <c r="F214"/>
      <c r="G214"/>
      <c r="H214"/>
      <c r="I214"/>
    </row>
    <row r="215" spans="1:9" x14ac:dyDescent="0.25">
      <c r="A215" s="1"/>
    </row>
    <row r="216" spans="1:9" x14ac:dyDescent="0.25">
      <c r="A216" s="1"/>
    </row>
    <row r="217" spans="1:9" s="1" customFormat="1" x14ac:dyDescent="0.25">
      <c r="B217"/>
      <c r="C217"/>
      <c r="D217"/>
      <c r="E217"/>
      <c r="F217"/>
      <c r="G217"/>
      <c r="H217"/>
      <c r="I217"/>
    </row>
    <row r="218" spans="1:9" s="1" customFormat="1" x14ac:dyDescent="0.25">
      <c r="B218"/>
      <c r="C218"/>
      <c r="D218"/>
      <c r="E218"/>
      <c r="F218"/>
      <c r="G218"/>
      <c r="H218"/>
      <c r="I218"/>
    </row>
    <row r="219" spans="1:9" s="1" customFormat="1" x14ac:dyDescent="0.25">
      <c r="B219"/>
      <c r="C219"/>
      <c r="D219"/>
      <c r="E219"/>
      <c r="F219"/>
      <c r="G219"/>
      <c r="H219"/>
      <c r="I219"/>
    </row>
    <row r="220" spans="1:9" x14ac:dyDescent="0.25">
      <c r="A220" s="1"/>
    </row>
    <row r="221" spans="1:9" s="1" customFormat="1" x14ac:dyDescent="0.25">
      <c r="B221"/>
      <c r="C221"/>
      <c r="D221"/>
      <c r="E221"/>
      <c r="F221"/>
      <c r="G221"/>
      <c r="H221"/>
      <c r="I221"/>
    </row>
    <row r="222" spans="1:9" s="1" customFormat="1" x14ac:dyDescent="0.25">
      <c r="B222"/>
      <c r="C222"/>
      <c r="D222"/>
      <c r="E222"/>
      <c r="F222"/>
      <c r="G222"/>
      <c r="H222"/>
      <c r="I222"/>
    </row>
    <row r="223" spans="1:9" s="1" customFormat="1" x14ac:dyDescent="0.25">
      <c r="B223"/>
      <c r="C223"/>
      <c r="D223"/>
      <c r="E223"/>
      <c r="F223"/>
      <c r="G223"/>
      <c r="H223"/>
      <c r="I223"/>
    </row>
    <row r="224" spans="1:9" s="1" customFormat="1" x14ac:dyDescent="0.25">
      <c r="B224"/>
      <c r="C224"/>
      <c r="D224"/>
      <c r="E224"/>
      <c r="F224"/>
      <c r="G224"/>
      <c r="H224"/>
      <c r="I224"/>
    </row>
    <row r="225" spans="1:9" s="1" customFormat="1" x14ac:dyDescent="0.25">
      <c r="B225"/>
      <c r="C225"/>
      <c r="D225"/>
      <c r="E225"/>
      <c r="F225"/>
      <c r="G225"/>
      <c r="H225"/>
      <c r="I225"/>
    </row>
    <row r="226" spans="1:9" s="1" customFormat="1" x14ac:dyDescent="0.25">
      <c r="B226"/>
      <c r="C226"/>
      <c r="D226"/>
      <c r="E226"/>
      <c r="F226"/>
      <c r="G226"/>
      <c r="H226"/>
      <c r="I226"/>
    </row>
    <row r="227" spans="1:9" x14ac:dyDescent="0.25">
      <c r="A227" s="1"/>
    </row>
    <row r="228" spans="1:9" s="1" customFormat="1" x14ac:dyDescent="0.25">
      <c r="B228"/>
      <c r="C228"/>
      <c r="D228"/>
      <c r="E228"/>
      <c r="F228"/>
      <c r="G228"/>
      <c r="H228"/>
      <c r="I228"/>
    </row>
    <row r="229" spans="1:9" s="1" customFormat="1" x14ac:dyDescent="0.25">
      <c r="B229"/>
      <c r="C229"/>
      <c r="D229"/>
      <c r="E229"/>
      <c r="F229"/>
      <c r="G229"/>
      <c r="H229"/>
      <c r="I229"/>
    </row>
    <row r="230" spans="1:9" s="1" customFormat="1" x14ac:dyDescent="0.25">
      <c r="B230"/>
      <c r="C230"/>
      <c r="D230"/>
      <c r="E230"/>
      <c r="F230"/>
      <c r="G230"/>
      <c r="H230"/>
      <c r="I230"/>
    </row>
    <row r="231" spans="1:9" s="1" customFormat="1" x14ac:dyDescent="0.25">
      <c r="B231"/>
      <c r="C231"/>
      <c r="D231"/>
      <c r="E231"/>
      <c r="F231"/>
      <c r="G231"/>
      <c r="H231"/>
      <c r="I231"/>
    </row>
    <row r="232" spans="1:9" s="1" customFormat="1" x14ac:dyDescent="0.25">
      <c r="B232"/>
      <c r="C232"/>
      <c r="D232"/>
      <c r="E232"/>
      <c r="F232"/>
      <c r="G232"/>
      <c r="H232"/>
      <c r="I232"/>
    </row>
    <row r="233" spans="1:9" s="1" customFormat="1" x14ac:dyDescent="0.25"/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s="1" customFormat="1" x14ac:dyDescent="0.25"/>
    <row r="236" spans="1:9" s="1" customFormat="1" x14ac:dyDescent="0.25"/>
    <row r="237" spans="1:9" s="1" customFormat="1" x14ac:dyDescent="0.25"/>
    <row r="238" spans="1:9" s="1" customFormat="1" x14ac:dyDescent="0.25"/>
    <row r="239" spans="1:9" s="1" customFormat="1" x14ac:dyDescent="0.25"/>
    <row r="240" spans="1:9" s="1" customFormat="1" x14ac:dyDescent="0.25"/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s="1" customFormat="1" x14ac:dyDescent="0.25"/>
    <row r="243" spans="1:9" s="1" customFormat="1" x14ac:dyDescent="0.25"/>
    <row r="244" spans="1:9" s="1" customFormat="1" x14ac:dyDescent="0.25"/>
    <row r="245" spans="1:9" s="1" customFormat="1" x14ac:dyDescent="0.25"/>
    <row r="246" spans="1:9" s="1" customFormat="1" x14ac:dyDescent="0.25"/>
    <row r="247" spans="1:9" s="1" customFormat="1" x14ac:dyDescent="0.25"/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s="1" customFormat="1" x14ac:dyDescent="0.25"/>
    <row r="250" spans="1:9" s="1" customFormat="1" x14ac:dyDescent="0.25"/>
    <row r="251" spans="1:9" s="1" customFormat="1" x14ac:dyDescent="0.25"/>
    <row r="252" spans="1:9" s="1" customFormat="1" x14ac:dyDescent="0.25"/>
    <row r="253" spans="1:9" s="1" customFormat="1" x14ac:dyDescent="0.25"/>
    <row r="254" spans="1:9" s="1" customFormat="1" x14ac:dyDescent="0.25"/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s="1" customFormat="1" x14ac:dyDescent="0.25"/>
    <row r="257" spans="1:9" s="1" customFormat="1" x14ac:dyDescent="0.25"/>
    <row r="258" spans="1:9" s="1" customFormat="1" x14ac:dyDescent="0.25"/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s="1" customFormat="1" x14ac:dyDescent="0.25"/>
    <row r="262" spans="1:9" s="1" customFormat="1" x14ac:dyDescent="0.25"/>
    <row r="263" spans="1:9" s="1" customFormat="1" x14ac:dyDescent="0.25"/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s="1" customFormat="1" x14ac:dyDescent="0.25"/>
    <row r="266" spans="1:9" s="1" customFormat="1" x14ac:dyDescent="0.25"/>
    <row r="267" spans="1:9" s="1" customFormat="1" x14ac:dyDescent="0.25"/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s="1" customFormat="1" x14ac:dyDescent="0.25"/>
    <row r="271" spans="1:9" s="1" customFormat="1" x14ac:dyDescent="0.25"/>
    <row r="272" spans="1:9" s="1" customFormat="1" x14ac:dyDescent="0.25"/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s="1" customFormat="1" x14ac:dyDescent="0.25"/>
    <row r="275" spans="1:9" s="1" customFormat="1" x14ac:dyDescent="0.25"/>
    <row r="276" spans="1:9" s="1" customFormat="1" x14ac:dyDescent="0.25"/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s="1" customFormat="1" x14ac:dyDescent="0.25"/>
    <row r="280" spans="1:9" s="1" customFormat="1" x14ac:dyDescent="0.25"/>
    <row r="281" spans="1:9" s="1" customFormat="1" x14ac:dyDescent="0.25"/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s="1" customFormat="1" x14ac:dyDescent="0.25"/>
    <row r="284" spans="1:9" s="1" customFormat="1" x14ac:dyDescent="0.25"/>
    <row r="285" spans="1:9" s="1" customFormat="1" x14ac:dyDescent="0.25"/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B288" s="1"/>
      <c r="C288" s="1"/>
      <c r="D288" s="1"/>
      <c r="E288" s="1"/>
      <c r="F288" s="1"/>
      <c r="G288" s="1"/>
      <c r="H288" s="1"/>
      <c r="I288" s="1"/>
    </row>
    <row r="289" spans="2:9" x14ac:dyDescent="0.25">
      <c r="B289" s="1"/>
      <c r="C289" s="1"/>
      <c r="D289" s="1"/>
      <c r="E289" s="1"/>
      <c r="F289" s="1"/>
      <c r="G289" s="1"/>
      <c r="H289" s="1"/>
      <c r="I289" s="1"/>
    </row>
    <row r="290" spans="2:9" x14ac:dyDescent="0.25">
      <c r="B290" s="1"/>
      <c r="C290" s="1"/>
      <c r="D290" s="1"/>
      <c r="E290" s="1"/>
      <c r="F290" s="1"/>
      <c r="G290" s="1"/>
      <c r="H290" s="1"/>
      <c r="I290" s="1"/>
    </row>
    <row r="291" spans="2:9" x14ac:dyDescent="0.25">
      <c r="B291" s="1"/>
      <c r="C291" s="1"/>
      <c r="D291" s="1"/>
      <c r="E291" s="1"/>
      <c r="F291" s="1"/>
      <c r="G291" s="1"/>
      <c r="H291" s="1"/>
      <c r="I291" s="1"/>
    </row>
    <row r="292" spans="2:9" x14ac:dyDescent="0.25">
      <c r="I292" s="1"/>
    </row>
  </sheetData>
  <pageMargins left="0.7" right="0.7" top="0.75" bottom="0.75" header="0.3" footer="0.3"/>
  <pageSetup paperSize="256" orientation="portrait" horizontalDpi="1200" verticalDpi="12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up_TeamSpaceDeliverable xmlns="http://schemas.microsoft.com/sharepoint/v3">false</Arup_TeamSpaceDeliverable>
    <Arup_TeamSpaceMustRead xmlns="http://schemas.microsoft.com/sharepoint/v3">false</Arup_TeamSpaceMustRead>
    <Arup_TeamSpaceDocumentStatus xmlns="http://schemas.microsoft.com/sharepoint/v3" xsi:nil="true"/>
    <Arup_TeamSpaceWorkstreamInternal xmlns="http://schemas.microsoft.com/sharepoint/v3" xsi:nil="true"/>
    <TeamSpaceRevision xmlns="http://schemas.microsoft.com/sharepoint/v3" xsi:nil="true"/>
    <nc695c5aeb184e52bf78fb52672e0b9d xmlns="06c01af0-c002-478c-bcc9-bf2934c43ae0">
      <Terms xmlns="http://schemas.microsoft.com/office/infopath/2007/PartnerControls"/>
    </nc695c5aeb184e52bf78fb52672e0b9d>
    <m720c857f92247b4b2f03df6cb5d2bc9 xmlns="06c01af0-c002-478c-bcc9-bf2934c43ae0">
      <Terms xmlns="http://schemas.microsoft.com/office/infopath/2007/PartnerControls"/>
    </m720c857f92247b4b2f03df6cb5d2bc9>
    <ja38ea1158ed452e9308a795972805b9 xmlns="06c01af0-c002-478c-bcc9-bf2934c43ae0">
      <Terms xmlns="http://schemas.microsoft.com/office/infopath/2007/PartnerControls"/>
    </ja38ea1158ed452e9308a795972805b9>
    <TaxCatchAll xmlns="06c01af0-c002-478c-bcc9-bf2934c43ae0"/>
    <o9707bc871d6428696dc7fdce2fc1966 xmlns="06c01af0-c002-478c-bcc9-bf2934c43ae0">
      <Terms xmlns="http://schemas.microsoft.com/office/infopath/2007/PartnerControls"/>
    </o9707bc871d6428696dc7fdce2fc1966>
    <CO_Description xmlns="06c01af0-c002-478c-bcc9-bf2934c43ae0" xsi:nil="true"/>
    <Arup_TeamSpaceProjectStag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ata and Document" ma:contentTypeID="0x0101002392094CBAD04C3AB0B65532217FA45A01002C45334909E5A947A6A8F77803323EBB" ma:contentTypeVersion="21" ma:contentTypeDescription="A document that is used on the Arup site" ma:contentTypeScope="" ma:versionID="53f3ade539eaaffb320a8b5a6f93eb07">
  <xsd:schema xmlns:xsd="http://www.w3.org/2001/XMLSchema" xmlns:xs="http://www.w3.org/2001/XMLSchema" xmlns:p="http://schemas.microsoft.com/office/2006/metadata/properties" xmlns:ns1="http://schemas.microsoft.com/sharepoint/v3" xmlns:ns2="06c01af0-c002-478c-bcc9-bf2934c43ae0" xmlns:ns3="106800b4-6023-44af-ac57-49784ebeaf46" targetNamespace="http://schemas.microsoft.com/office/2006/metadata/properties" ma:root="true" ma:fieldsID="fed1e978b91ba965b8ec6cce5f0c0829" ns1:_="" ns2:_="" ns3:_="">
    <xsd:import namespace="http://schemas.microsoft.com/sharepoint/v3"/>
    <xsd:import namespace="06c01af0-c002-478c-bcc9-bf2934c43ae0"/>
    <xsd:import namespace="106800b4-6023-44af-ac57-49784ebeaf46"/>
    <xsd:element name="properties">
      <xsd:complexType>
        <xsd:sequence>
          <xsd:element name="documentManagement">
            <xsd:complexType>
              <xsd:all>
                <xsd:element ref="ns1:Arup_TeamSpaceProjectStage" minOccurs="0"/>
                <xsd:element ref="ns1:Arup_TeamSpaceDocumentStatus" minOccurs="0"/>
                <xsd:element ref="ns1:Arup_TeamSpaceWorkstreamInternal" minOccurs="0"/>
                <xsd:element ref="ns1:Arup_TeamSpaceMustRead" minOccurs="0"/>
                <xsd:element ref="ns1:Arup_TeamSpaceDeliverable" minOccurs="0"/>
                <xsd:element ref="ns1:TeamSpaceRevision" minOccurs="0"/>
                <xsd:element ref="ns2:ja38ea1158ed452e9308a795972805b9" minOccurs="0"/>
                <xsd:element ref="ns2:m720c857f92247b4b2f03df6cb5d2bc9" minOccurs="0"/>
                <xsd:element ref="ns2:o9707bc871d6428696dc7fdce2fc1966" minOccurs="0"/>
                <xsd:element ref="ns2:CO_Description" minOccurs="0"/>
                <xsd:element ref="ns2:nc695c5aeb184e52bf78fb52672e0b9d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rup_TeamSpaceProjectStage" ma:index="2" nillable="true" ma:displayName="Project Stage" ma:format="Dropdown" ma:internalName="Arup_TeamSpaceProjectStage">
      <xsd:simpleType>
        <xsd:restriction base="dms:Choice">
          <xsd:enumeration value="Not Specified"/>
          <xsd:enumeration value="Concept"/>
          <xsd:enumeration value="Scheme"/>
          <xsd:enumeration value="Detailed Design"/>
          <xsd:enumeration value="Tender"/>
          <xsd:enumeration value="Construction"/>
          <xsd:enumeration value="Handover"/>
          <xsd:enumeration value="As-Built"/>
        </xsd:restriction>
      </xsd:simpleType>
    </xsd:element>
    <xsd:element name="Arup_TeamSpaceDocumentStatus" ma:index="3" nillable="true" ma:displayName="Status" ma:format="Dropdown" ma:internalName="Arup_TeamSpaceDocumentStatus">
      <xsd:simpleType>
        <xsd:restriction base="dms:Choice">
          <xsd:enumeration value="Draft"/>
          <xsd:enumeration value="Issued"/>
        </xsd:restriction>
      </xsd:simpleType>
    </xsd:element>
    <xsd:element name="Arup_TeamSpaceWorkstreamInternal" ma:index="4" nillable="true" ma:displayName="Workstream" ma:format="Dropdown" ma:internalName="Arup_TeamSpaceWorkstreamInternal">
      <xsd:simpleType>
        <xsd:restriction base="dms:Choice">
          <xsd:enumeration value="Architecture"/>
          <xsd:enumeration value="Structures"/>
          <xsd:enumeration value="MEP"/>
          <xsd:enumeration value="Rail"/>
          <xsd:enumeration value="Highways and Civils"/>
          <xsd:enumeration value="Commission &amp; Scope"/>
          <xsd:enumeration value="Costs &amp; Fees"/>
          <xsd:enumeration value="Health &amp; Safety"/>
          <xsd:enumeration value="Project Controls"/>
          <xsd:enumeration value="Schedule"/>
          <xsd:enumeration value="Team"/>
          <xsd:enumeration value="Quality Assurance"/>
        </xsd:restriction>
      </xsd:simpleType>
    </xsd:element>
    <xsd:element name="Arup_TeamSpaceMustRead" ma:index="5" nillable="true" ma:displayName="Must Read" ma:default="0" ma:description="Indicates that the current document is important and must be read. This may take up to 15 minutes to appear in the 'Must Read' panel" ma:internalName="Arup_TeamSpaceMustRead">
      <xsd:simpleType>
        <xsd:restriction base="dms:Boolean"/>
      </xsd:simpleType>
    </xsd:element>
    <xsd:element name="Arup_TeamSpaceDeliverable" ma:index="6" nillable="true" ma:displayName="Deliverable" ma:default="0" ma:internalName="Arup_TeamSpaceDeliverable">
      <xsd:simpleType>
        <xsd:restriction base="dms:Boolean"/>
      </xsd:simpleType>
    </xsd:element>
    <xsd:element name="TeamSpaceRevision" ma:index="11" nillable="true" ma:displayName="Revision" ma:description="User-editable version number" ma:internalName="TeamSpaceRevi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01af0-c002-478c-bcc9-bf2934c43ae0" elementFormDefault="qualified">
    <xsd:import namespace="http://schemas.microsoft.com/office/2006/documentManagement/types"/>
    <xsd:import namespace="http://schemas.microsoft.com/office/infopath/2007/PartnerControls"/>
    <xsd:element name="ja38ea1158ed452e9308a795972805b9" ma:index="13" nillable="true" ma:taxonomy="true" ma:internalName="ja38ea1158ed452e9308a795972805b9" ma:taxonomyFieldName="CO_Topics" ma:displayName="Topic" ma:fieldId="{3a38ea11-58ed-452e-9308-a795972805b9}" ma:taxonomyMulti="true" ma:sspId="5f907feb-2135-424b-9e5e-2a3ef7dbb37b" ma:termSetId="b1b4d4ab-672b-4339-bde0-57185ea695d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720c857f92247b4b2f03df6cb5d2bc9" ma:index="15" nillable="true" ma:taxonomy="true" ma:internalName="m720c857f92247b4b2f03df6cb5d2bc9" ma:taxonomyFieldName="Arup_Tags" ma:displayName="Tags" ma:fieldId="{6720c857-f922-47b4-b2f0-3df6cb5d2bc9}" ma:taxonomyMulti="true" ma:sspId="5f907feb-2135-424b-9e5e-2a3ef7dbb37b" ma:termSetId="15d3c4c0-8500-40a2-ba39-97270ab062f7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o9707bc871d6428696dc7fdce2fc1966" ma:index="17" nillable="true" ma:taxonomy="true" ma:internalName="o9707bc871d6428696dc7fdce2fc1966" ma:taxonomyFieldName="Arup_TypeOfContent" ma:displayName="Content Category" ma:fieldId="{89707bc8-71d6-4286-96dc-7fdce2fc1966}" ma:taxonomyMulti="true" ma:sspId="5f907feb-2135-424b-9e5e-2a3ef7dbb37b" ma:termSetId="f44794f4-b0ed-48b0-a0a4-6f9b75c88e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_Description" ma:index="19" nillable="true" ma:displayName="Description" ma:hidden="true" ma:internalName="CO_Description" ma:readOnly="false">
      <xsd:simpleType>
        <xsd:restriction base="dms:Note"/>
      </xsd:simpleType>
    </xsd:element>
    <xsd:element name="nc695c5aeb184e52bf78fb52672e0b9d" ma:index="21" nillable="true" ma:taxonomy="true" ma:internalName="nc695c5aeb184e52bf78fb52672e0b9d" ma:taxonomyFieldName="CO_Communities" ma:displayName="Community" ma:fieldId="{7c695c5a-eb18-4e52-bf78-fb52672e0b9d}" ma:taxonomyMulti="true" ma:sspId="5f907feb-2135-424b-9e5e-2a3ef7dbb37b" ma:termSetId="16180998-b88e-49f0-9211-b788b3e0cee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150e0a7d-b27e-40b3-b2f8-c6b77c67a1fe}" ma:internalName="TaxCatchAll" ma:showField="CatchAllData" ma:web="06c01af0-c002-478c-bcc9-bf2934c43a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150e0a7d-b27e-40b3-b2f8-c6b77c67a1fe}" ma:internalName="TaxCatchAllLabel" ma:readOnly="true" ma:showField="CatchAllDataLabel" ma:web="06c01af0-c002-478c-bcc9-bf2934c43a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800b4-6023-44af-ac57-49784ebeaf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DA748-2AC3-4F2F-8F54-44FE8058DFD0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106800b4-6023-44af-ac57-49784ebeaf46"/>
    <ds:schemaRef ds:uri="06c01af0-c002-478c-bcc9-bf2934c43ae0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CC592B7-70B9-4313-B387-120B58929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c01af0-c002-478c-bcc9-bf2934c43ae0"/>
    <ds:schemaRef ds:uri="106800b4-6023-44af-ac57-49784ebeaf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2B9A04-BE36-4187-98F4-4AB3E30D49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Inputs</vt:lpstr>
      <vt:lpstr>Annual Energy Calc</vt:lpstr>
      <vt:lpstr>Peak Load Calc</vt:lpstr>
      <vt:lpstr>Outputs</vt:lpstr>
      <vt:lpstr>Btu_per_kBtu</vt:lpstr>
      <vt:lpstr>Btu_per_therm</vt:lpstr>
      <vt:lpstr>Btu_per_watt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Levine</dc:creator>
  <cp:lastModifiedBy>柯成 陈</cp:lastModifiedBy>
  <dcterms:created xsi:type="dcterms:W3CDTF">2017-12-01T19:28:17Z</dcterms:created>
  <dcterms:modified xsi:type="dcterms:W3CDTF">2021-06-02T06:41:21Z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0x0101002392094CBAD04C3AB0B65532217FA45A01002C45334909E5A947A6A8F77803323EBB</vt:lpwstr>
  </property>
  <property fmtid="{D5CDD505-2E9C-101B-9397-08002B2CF9AE}" pid="3" name="Arup_Tags">
    <vt:lpwstr/>
  </property>
  <property fmtid="{D5CDD505-2E9C-101B-9397-08002B2CF9AE}" pid="4" name="CO_Topics">
    <vt:lpwstr/>
  </property>
  <property fmtid="{D5CDD505-2E9C-101B-9397-08002B2CF9AE}" pid="5" name="Arup_TypeOfContent">
    <vt:lpwstr/>
  </property>
  <property fmtid="{D5CDD505-2E9C-101B-9397-08002B2CF9AE}" pid="6" name="CO_Communities">
    <vt:lpwstr/>
  </property>
  <property fmtid="{D5CDD505-2E9C-101B-9397-08002B2CF9AE}" pid="7" name="MSIP_Label_82fa3fd3-029b-403d-91b4-1dc930cb0e60_Enabled">
    <vt:lpwstr>true</vt:lpwstr>
  </property>
  <property fmtid="{D5CDD505-2E9C-101B-9397-08002B2CF9AE}" pid="8" name="MSIP_Label_82fa3fd3-029b-403d-91b4-1dc930cb0e60_SetDate">
    <vt:lpwstr>2020-08-26T18:57:41Z</vt:lpwstr>
  </property>
  <property fmtid="{D5CDD505-2E9C-101B-9397-08002B2CF9AE}" pid="9" name="MSIP_Label_82fa3fd3-029b-403d-91b4-1dc930cb0e60_Method">
    <vt:lpwstr>Standard</vt:lpwstr>
  </property>
  <property fmtid="{D5CDD505-2E9C-101B-9397-08002B2CF9AE}" pid="10" name="MSIP_Label_82fa3fd3-029b-403d-91b4-1dc930cb0e60_Name">
    <vt:lpwstr>82fa3fd3-029b-403d-91b4-1dc930cb0e60</vt:lpwstr>
  </property>
  <property fmtid="{D5CDD505-2E9C-101B-9397-08002B2CF9AE}" pid="11" name="MSIP_Label_82fa3fd3-029b-403d-91b4-1dc930cb0e60_SiteId">
    <vt:lpwstr>4ae48b41-0137-4599-8661-fc641fe77bea</vt:lpwstr>
  </property>
  <property fmtid="{D5CDD505-2E9C-101B-9397-08002B2CF9AE}" pid="12" name="MSIP_Label_82fa3fd3-029b-403d-91b4-1dc930cb0e60_ActionId">
    <vt:lpwstr>8a6b15b0-7b6d-4b3d-8916-5b79e3febda1</vt:lpwstr>
  </property>
  <property fmtid="{D5CDD505-2E9C-101B-9397-08002B2CF9AE}" pid="13" name="MSIP_Label_82fa3fd3-029b-403d-91b4-1dc930cb0e60_ContentBits">
    <vt:lpwstr>0</vt:lpwstr>
  </property>
</Properties>
</file>