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mc:AlternateContent xmlns:mc="http://schemas.openxmlformats.org/markup-compatibility/2006">
    <mc:Choice Requires="x15">
      <x15ac:absPath xmlns:x15ac="http://schemas.microsoft.com/office/spreadsheetml/2010/11/ac" url="D:\Geothermal\ARUP\"/>
    </mc:Choice>
  </mc:AlternateContent>
  <xr:revisionPtr revIDLastSave="0" documentId="13_ncr:1_{90451927-3795-46C0-8A3C-9739AA993736}" xr6:coauthVersionLast="46" xr6:coauthVersionMax="46" xr10:uidLastSave="{00000000-0000-0000-0000-000000000000}"/>
  <bookViews>
    <workbookView xWindow="1170" yWindow="1170" windowWidth="15375" windowHeight="8325" firstSheet="4" activeTab="7" xr2:uid="{B38C3255-F463-45F0-A79D-27AE243D9D27}"/>
  </bookViews>
  <sheets>
    <sheet name="OVERVIEW" sheetId="19" r:id="rId1"/>
    <sheet name="Global Inputs" sheetId="12" r:id="rId2"/>
    <sheet name="Core Inputs" sheetId="9" r:id="rId3"/>
    <sheet name="Phasing" sheetId="14" state="hidden" r:id="rId4"/>
    <sheet name="Enhancement Inputs" sheetId="17" r:id="rId5"/>
    <sheet name="Core Loads" sheetId="2" r:id="rId6"/>
    <sheet name="Loads - enhancements" sheetId="18" state="hidden" r:id="rId7"/>
    <sheet name="Core Commodities Use" sheetId="15" r:id="rId8"/>
    <sheet name="Commodity use- enhancement" sheetId="11" state="hidden" r:id="rId9"/>
    <sheet name="Outputs" sheetId="13" r:id="rId10"/>
  </sheets>
  <externalReferences>
    <externalReference r:id="rId11"/>
    <externalReference r:id="rId12"/>
    <externalReference r:id="rId13"/>
  </externalReferences>
  <definedNames>
    <definedName name="_xlnm._FilterDatabase" localSheetId="5" hidden="1">'Core Loads'!$B$12:$G$41</definedName>
    <definedName name="_xlnm._FilterDatabase" localSheetId="1" hidden="1">'Enhancement Inputs'!$B$69:$F$80</definedName>
    <definedName name="_xlnm._FilterDatabase" localSheetId="6" hidden="1">'Loads - enhancements'!$B$12:$G$41</definedName>
    <definedName name="AbsChillerEffExstg">'Global Inputs'!$D$40</definedName>
    <definedName name="AbsChillerLoad">'Global Inputs'!$D$15</definedName>
    <definedName name="AbsChillerSplit">'Global Inputs'!$D$14</definedName>
    <definedName name="BldgHtgEffExstg">'Global Inputs'!$D$38</definedName>
    <definedName name="BldgHtgEffNew">'Global Inputs'!$F$38</definedName>
    <definedName name="BldgSteamLossExstg">'Global Inputs'!$D$32</definedName>
    <definedName name="BldgSteamLossNew">'Global Inputs'!$F$32</definedName>
    <definedName name="Btu_per_Fgpm">'Global Inputs'!$D$25</definedName>
    <definedName name="Btu_per_kBtu" localSheetId="0">[1]ASSUMPTIONS!$D$70</definedName>
    <definedName name="Btu_per_kBtu">'Global Inputs'!$D$17</definedName>
    <definedName name="Btu_per_therm">'Global Inputs'!$D$16</definedName>
    <definedName name="Btu_per_ton" localSheetId="0">[1]ASSUMPTIONS!$D$71</definedName>
    <definedName name="Btu_per_ton">'Global Inputs'!$D$19</definedName>
    <definedName name="Btu_per_W">[1]ASSUMPTIONS!$D$72</definedName>
    <definedName name="Btuh_per_W">'Global Inputs'!$D$18</definedName>
    <definedName name="Clg_0_CCF_per_ton_campus">'Core Inputs'!$I$47</definedName>
    <definedName name="Clg_0_kWh_per_ton_campus">'Core Inputs'!$I$45</definedName>
    <definedName name="Clg_0_therm_per_ton_campus">'Core Inputs'!$I$46</definedName>
    <definedName name="Clg_10A_CCF_per_ton_campus">'Core Inputs'!$I$248</definedName>
    <definedName name="Clg_10A_kWh_per_ton_campus">'Core Inputs'!$I$246</definedName>
    <definedName name="Clg_10A_therm_per_ton_campus">'Core Inputs'!$I$247</definedName>
    <definedName name="Clg_11C_CCF_per_ton_campus">'Core Inputs'!$I$323</definedName>
    <definedName name="Clg_11C_kWh_per_ton_campus">'Core Inputs'!$I$322</definedName>
    <definedName name="Clg_12_CCF_per_ton_biosciences">'Core Inputs'!$D$349</definedName>
    <definedName name="Clg_12_CCF_per_ton_businessAndLaw">'Core Inputs'!$E$349</definedName>
    <definedName name="Clg_12_CCF_per_ton_Engineering">'Core Inputs'!$F$349</definedName>
    <definedName name="Clg_12_CCF_per_ton_lowerSproulOffices">'Core Inputs'!$H$349</definedName>
    <definedName name="Clg_12_kWh_per_ton_biosciences">'Core Inputs'!$D$347</definedName>
    <definedName name="Clg_12_kWh_per_ton_businessAndLaw">'Core Inputs'!$E$347</definedName>
    <definedName name="Clg_12_kWh_per_ton_Engineering">'Core Inputs'!$F$347</definedName>
    <definedName name="Clg_12_kWh_per_ton_lowerSproulOffices">'Core Inputs'!$H$347</definedName>
    <definedName name="Clg_12_therm_per_ton_biosciences">'Core Inputs'!$D$348</definedName>
    <definedName name="Clg_12_therm_per_ton_businessAndLaw">'Core Inputs'!$E$348</definedName>
    <definedName name="Clg_12_therm_per_ton_Engineering">'Core Inputs'!$F$348</definedName>
    <definedName name="Clg_12_therm_per_ton_lowerSproulOffices">'Core Inputs'!$H$348</definedName>
    <definedName name="Clg_1C_CCF_per_ton_biosciences">'Core Inputs'!$D$122</definedName>
    <definedName name="Clg_1C_CCF_per_ton_businessAndLaw">'Core Inputs'!$E$122</definedName>
    <definedName name="Clg_1C_CCF_per_ton_engineering">'Core Inputs'!$F$122</definedName>
    <definedName name="Clg_1C_CCF_per_ton_lowerSproulOffices">'Core Inputs'!$H$122</definedName>
    <definedName name="Clg_1C_kWh_per_ton_biosciences">'Core Inputs'!$D$121</definedName>
    <definedName name="Clg_1C_kWh_per_ton_businessAndLaw">'Core Inputs'!$E$121</definedName>
    <definedName name="Clg_1C_kWh_per_ton_engineering">'Core Inputs'!$F$121</definedName>
    <definedName name="Clg_1C_kWh_per_ton_lowerSproulOffices">'Core Inputs'!$H$121</definedName>
    <definedName name="Clg_2_CCF_per_ton_campus">'Core Inputs'!$I$147</definedName>
    <definedName name="Clg_2_kWh_per_ton_campus">'Core Inputs'!$I$146</definedName>
    <definedName name="Clg_6_CCF_per_ton_campus">'Core Inputs'!$I$172</definedName>
    <definedName name="Clg_6_kWh_per_ton_campus">'Core Inputs'!$I$171</definedName>
    <definedName name="Clg_8A_CCF_per_ton_campus">'Core Inputs'!$I$197</definedName>
    <definedName name="Clg_8A_kWh_per_ton_campus">'Core Inputs'!$I$196</definedName>
    <definedName name="Clg_8B_CCF_per_ton_campus">'Core Inputs'!$I$222</definedName>
    <definedName name="Clg_8B_kWh_per_ton_campus">'Core Inputs'!$I$221</definedName>
    <definedName name="Clg_exstg_CCF_per_ton_campus">'Core Inputs'!$I$21</definedName>
    <definedName name="Clg_exstg_kWh_per_ton_campus">'Core Inputs'!$I$19</definedName>
    <definedName name="Clg_exstg_therm_per_ton_campus">'Core Inputs'!$I$20</definedName>
    <definedName name="ClgTowerEvapExstg">'Global Inputs'!$D$53</definedName>
    <definedName name="ClgTowerEvapNew">'Global Inputs'!$F$53</definedName>
    <definedName name="ClgTowerFlowExstg">'Global Inputs'!$D$52</definedName>
    <definedName name="ClgTowerFlowNew">'Global Inputs'!$F$52</definedName>
    <definedName name="CO2_emissions_elec">'Global Inputs'!$C$69</definedName>
    <definedName name="CO2_emissions_gas_tons_per_kBtu">'Global Inputs'!$C$86</definedName>
    <definedName name="CO2_emissions_gas_tons_per_therm">'Global Inputs'!$C$80</definedName>
    <definedName name="CogenEffExstg">'Global Inputs'!$D$39</definedName>
    <definedName name="CogenEffNew">'Global Inputs'!$F$39</definedName>
    <definedName name="CogenElecOutputExstg">'Global Inputs'!$D$59</definedName>
    <definedName name="CogenElecOutputNew">'Global Inputs'!$F$59</definedName>
    <definedName name="CogenSteamOutputLbExstg">'Global Inputs'!$D$60</definedName>
    <definedName name="CogenSteamOutputMMBtuExstg">'Global Inputs'!$D$61</definedName>
    <definedName name="CogenWaterLossNew">'Global Inputs'!$F$57</definedName>
    <definedName name="Collector_Type">'Enhancement Inputs'!$C$80</definedName>
    <definedName name="Cost_carbon">'Global Inputs'!$C$70</definedName>
    <definedName name="Cost_elec">'Global Inputs'!$C$71</definedName>
    <definedName name="Cost_elec_TS_delta">'Global Inputs'!$C$74</definedName>
    <definedName name="Cost_gas">'Global Inputs'!$C$72</definedName>
    <definedName name="Cost_water">'Global Inputs'!$C$73</definedName>
    <definedName name="DistCHWLossNew">'Global Inputs'!$F$35</definedName>
    <definedName name="DistHHWLossNew">'Global Inputs'!$F$34</definedName>
    <definedName name="DistSteamLossExstg">'Global Inputs'!$D$33</definedName>
    <definedName name="DistSteamLossNew">'Global Inputs'!$F$33</definedName>
    <definedName name="Elec_0_kWh_per_kWh_campus">'Core Inputs'!$I$55</definedName>
    <definedName name="Elec_10A_kWh_per_kWh_campus">'Core Inputs'!$I$256</definedName>
    <definedName name="Elec_11C_kWh_per_kWh_campus">'Core Inputs'!$I$331</definedName>
    <definedName name="Elec_12_kWh_per_kWh_biosciences">'Core Inputs'!$D$357</definedName>
    <definedName name="Elec_12_kWh_per_kWh_businessAndLaw">'Core Inputs'!$E$357</definedName>
    <definedName name="Elec_12_kWh_per_kWh_Engineering">'Core Inputs'!$F$357</definedName>
    <definedName name="Elec_12_kWh_per_kWh_lowerSproulOffices">'Core Inputs'!$H$357</definedName>
    <definedName name="Elec_1C_kWh_per_kWh_biosciences">'Core Inputs'!$D$130</definedName>
    <definedName name="Elec_1C_kWh_per_kWh_businessAndLaw">'Core Inputs'!$E$130</definedName>
    <definedName name="Elec_1C_kWh_per_kWh_engineering">'Core Inputs'!$F$130</definedName>
    <definedName name="Elec_1C_kWh_per_kWh_lowerSproulOffices">'Core Inputs'!$H$130</definedName>
    <definedName name="Elec_2_kWh_per_kWh_campus">'Core Inputs'!$I$155</definedName>
    <definedName name="Elec_6_kWh_per_kWh_campus">'Core Inputs'!$I$180</definedName>
    <definedName name="Elec_8A_kWh_per_kWh_campus">'Core Inputs'!$I$205</definedName>
    <definedName name="Elec_8B_kWh_per_kWh_campus">'Core Inputs'!$I$230</definedName>
    <definedName name="Elec_exstg_kWh_per_kWh_campus">'Core Inputs'!$I$29</definedName>
    <definedName name="ElecBoilerEffNew">'Global Inputs'!$F$45</definedName>
    <definedName name="ElecChillerEffExstg">'Global Inputs'!$D$41</definedName>
    <definedName name="ElecChillerEffNew">'Global Inputs'!$F$41</definedName>
    <definedName name="ElecCO2_tons_per_kBtu">'Global Inputs'!$C$87</definedName>
    <definedName name="ElecCO2_tons_per_kWh_2025">'Global Inputs'!$C$83</definedName>
    <definedName name="ElecSteamGenEffNew">'Global Inputs'!$F$48</definedName>
    <definedName name="Enthalpy">'Global Inputs'!$D$20</definedName>
    <definedName name="FLR_TO_FLR">#REF!</definedName>
    <definedName name="ft3_per_ccf">'Global Inputs'!$D$23</definedName>
    <definedName name="Gal_per_CCF">'Global Inputs'!$D$21</definedName>
    <definedName name="GasBoilerEffNew">'Global Inputs'!$F$44</definedName>
    <definedName name="GasCO2_tons_per_therm">'[2]Global Inputs'!$C$79</definedName>
    <definedName name="GasSteamBoilerEffNew">'Global Inputs'!$F$43</definedName>
    <definedName name="GasSteamGenEffNew">'Global Inputs'!$F$47</definedName>
    <definedName name="HEIGHTS">#REF!</definedName>
    <definedName name="HP_EERnew">'Global Inputs'!$F$46</definedName>
    <definedName name="HRCcoolingFraction">'Global Inputs'!$F$50</definedName>
    <definedName name="HRCeffNew">'Global Inputs'!$F$42</definedName>
    <definedName name="HRCoffsetNew">'Global Inputs'!$F$49</definedName>
    <definedName name="Htg_0_CCF_per_MMBtu_campus">'Core Inputs'!$I$42</definedName>
    <definedName name="Htg_0_kWh_per_MMBtu_campus">'Core Inputs'!$I$40</definedName>
    <definedName name="Htg_0_therm_per_MMBtu_campus">'Core Inputs'!$I$41</definedName>
    <definedName name="Htg_10A_CCF_per_MMBtu_campus">'Core Inputs'!$I$243</definedName>
    <definedName name="Htg_10A_kWh_per_MMBtu_campus">'Core Inputs'!$I$241</definedName>
    <definedName name="Htg_10A_therm_per_MMBtu_campus">'Core Inputs'!$I$242</definedName>
    <definedName name="Htg_11C_CCF_per_MMBtu_campus">'Core Inputs'!$I$319</definedName>
    <definedName name="Htg_11C_kWh_per_MMBtu_campus">'Core Inputs'!$I$317</definedName>
    <definedName name="Htg_11C_therm_per_MMBtu_campus">'Core Inputs'!$I$318</definedName>
    <definedName name="Htg_12_CCF_per_MMBtu_biosciences">'Core Inputs'!$D$344</definedName>
    <definedName name="Htg_12_CCF_per_MMBtu_businessAndLaw">'Core Inputs'!$E$344</definedName>
    <definedName name="Htg_12_CCF_per_MMBtu_Engineering">'Core Inputs'!$F$344</definedName>
    <definedName name="Htg_12_CCF_per_MMBtu_lowerSproulOffices">'Core Inputs'!$H$344</definedName>
    <definedName name="Htg_12_kWh_per_MMBtu_biosciences">'Core Inputs'!$D$342</definedName>
    <definedName name="Htg_12_kWh_per_MMBtu_businessAndLaw">'Core Inputs'!$E$342</definedName>
    <definedName name="Htg_12_kWh_per_MMBtu_Engineering">'Core Inputs'!$F$342</definedName>
    <definedName name="Htg_12_kWh_per_MMBtu_lowerSproulOffices">'Core Inputs'!$H$342</definedName>
    <definedName name="Htg_12_therm_per_MMBtu_biosciences">'Core Inputs'!$D$343</definedName>
    <definedName name="Htg_12_therm_per_MMBtu_businessAndLaw">'Core Inputs'!$E$343</definedName>
    <definedName name="Htg_12_therm_per_MMBtu_Engineering">'Core Inputs'!$F$343</definedName>
    <definedName name="Htg_12_therm_per_MMBtu_lowerSproulOffices">'Core Inputs'!$H$343</definedName>
    <definedName name="Htg_1C_CCF_per_MMBtu_biosciences">'Core Inputs'!$D$118</definedName>
    <definedName name="Htg_1C_CCF_per_MMBtu_businessAndLaw">'Core Inputs'!$E$118</definedName>
    <definedName name="Htg_1C_CCF_per_MMBtu_engineering">'Core Inputs'!$F$118</definedName>
    <definedName name="Htg_1C_CCF_per_MMBtu_lowerSproulOffices">'Core Inputs'!$H$118</definedName>
    <definedName name="Htg_1C_kWh_per_MMBtu_biosciences">'Core Inputs'!$D$116</definedName>
    <definedName name="Htg_1C_kWh_per_MMBtu_businessAndLaw">'Core Inputs'!$E$116</definedName>
    <definedName name="Htg_1C_kWh_per_MMBtu_engineering">'Core Inputs'!$F$116</definedName>
    <definedName name="Htg_1C_kWh_per_MMBtu_lowerSproulOffices">'Core Inputs'!$H$116</definedName>
    <definedName name="Htg_1C_therm_per_MMBtu_biosciences">'Core Inputs'!$D$117</definedName>
    <definedName name="Htg_1C_therm_per_MMBtu_businessAndLaw">'Core Inputs'!$E$117</definedName>
    <definedName name="Htg_1C_therm_per_MMBtu_engineering">'Core Inputs'!$F$117</definedName>
    <definedName name="Htg_1C_therm_per_MMBtu_lowerSproulOffices">'Core Inputs'!$H$117</definedName>
    <definedName name="Htg_2_CCF_per_MMBtu_campus">'Core Inputs'!$I$143</definedName>
    <definedName name="Htg_2_kWh_per_MMBtu_campus">'Core Inputs'!$I$141</definedName>
    <definedName name="Htg_2_therm_per_MMBtu_campus">'Core Inputs'!$I$142</definedName>
    <definedName name="Htg_6_CCF_per_MMBtu_campus">'Core Inputs'!$I$168</definedName>
    <definedName name="Htg_6_kWh_per_MMBtu_campus">'Core Inputs'!$I$166</definedName>
    <definedName name="Htg_6_therm_per_MMBtu_campus">'Core Inputs'!$I$167</definedName>
    <definedName name="Htg_8A_CCF_per_MMBtu_campus">'Core Inputs'!$I$193</definedName>
    <definedName name="Htg_8A_kWh_per_MMBtu_campus">'Core Inputs'!$I$191</definedName>
    <definedName name="Htg_8A_therm_per_MMBtu_campus">'Core Inputs'!$I$192</definedName>
    <definedName name="Htg_8B_CCF_per_MMBtu_campus">'Core Inputs'!$I$218</definedName>
    <definedName name="Htg_8B_kWh_per_MMBtu_campus">'Core Inputs'!$I$216</definedName>
    <definedName name="Htg_8B_therm_per_MMBtu_campus">'Core Inputs'!$I$217</definedName>
    <definedName name="Htg_exstg_CCF_per_MMBtu_campus">'Core Inputs'!$I$16</definedName>
    <definedName name="Htg_exstg_kWh_per_MMBtu_campus">'Core Inputs'!$I$14</definedName>
    <definedName name="Htg_exstg_therm_per_MMBtu_campus">'Core Inputs'!$I$15</definedName>
    <definedName name="HtgDeltaTNew">'Global Inputs'!$F$55</definedName>
    <definedName name="HtgMakeupNew">'Global Inputs'!$F$56</definedName>
    <definedName name="LANDUSES">#REF!</definedName>
    <definedName name="lbs_per_ton">'Global Inputs'!$D$26</definedName>
    <definedName name="Min_per_hr">'Global Inputs'!$D$22</definedName>
    <definedName name="Process_0_CCF_per_lb_campus">'Core Inputs'!$I$52</definedName>
    <definedName name="Process_0_kWh_per_lb_campus">'Core Inputs'!$I$50</definedName>
    <definedName name="Process_0_therm_per_lb_campus">'Core Inputs'!$I$51</definedName>
    <definedName name="Process_10A_CCF_per_lb_campus">'Core Inputs'!$I$253</definedName>
    <definedName name="Process_10A_kWh_per_lb_campus">'Core Inputs'!$I$251</definedName>
    <definedName name="Process_10A_therm_per_lb_campus">'Core Inputs'!$I$252</definedName>
    <definedName name="Process_11C_CCF_per_lb_campus">'Core Inputs'!$I$328</definedName>
    <definedName name="Process_11C_kWh_per_lb_campus">'Core Inputs'!$I$326</definedName>
    <definedName name="Process_11C_therm_per_lb_campus">'Core Inputs'!$I$327</definedName>
    <definedName name="Process_12_CCF_per_lb_biosciences">'Core Inputs'!$D$354</definedName>
    <definedName name="Process_12_CCF_per_lb_businessAndLaw">'Core Inputs'!$E$354</definedName>
    <definedName name="Process_12_CCF_per_lb_Engineering">'Core Inputs'!$F$354</definedName>
    <definedName name="Process_12_CCF_per_lb_lowerSproulOffices">'Core Inputs'!$H$354</definedName>
    <definedName name="Process_12_kWh_per_lb_biosciences">'Core Inputs'!$D$352</definedName>
    <definedName name="Process_12_kWh_per_lb_businessAndLaw">'Core Inputs'!$E$352</definedName>
    <definedName name="Process_12_kWh_per_lb_Engineering">'Core Inputs'!$F$352</definedName>
    <definedName name="Process_12_kWh_per_lb_lowerSproulOffices">'Core Inputs'!$H$352</definedName>
    <definedName name="Process_12_therm_per_lb_biosciences">'Core Inputs'!$D$353</definedName>
    <definedName name="Process_12_therm_per_lb_businessAndLaw">'Core Inputs'!$E$353</definedName>
    <definedName name="Process_12_therm_per_lb_Engineering">'Core Inputs'!$F$353</definedName>
    <definedName name="Process_12_therm_per_lb_lowerSproulOffices">'Core Inputs'!$H$353</definedName>
    <definedName name="Process_1C_CCF_per_lb_biosciences">'Core Inputs'!$D$127</definedName>
    <definedName name="Process_1C_CCF_per_lb_businessAndLaw">'Core Inputs'!$E$127</definedName>
    <definedName name="Process_1C_CCF_per_lb_engineering">'Core Inputs'!$F$127</definedName>
    <definedName name="Process_1C_CCF_per_lb_lowerSproulOffices">'Core Inputs'!$H$127</definedName>
    <definedName name="Process_1C_kWh_per_lb_biosciences">'Core Inputs'!$D$125</definedName>
    <definedName name="Process_1C_kWh_per_lb_businessAndLaw">'Core Inputs'!$E$125</definedName>
    <definedName name="Process_1C_kWh_per_lb_engineering">'Core Inputs'!$F$125</definedName>
    <definedName name="Process_1C_kWh_per_lb_lowerSproulOffices">'Core Inputs'!$H$125</definedName>
    <definedName name="Process_1C_therm_per_lb_biosciences">'Core Inputs'!$D$126</definedName>
    <definedName name="Process_1C_therm_per_lb_businessAndLaw">'Core Inputs'!$E$126</definedName>
    <definedName name="Process_1C_therm_per_lb_engineering">'Core Inputs'!$F$126</definedName>
    <definedName name="Process_1C_therm_per_lb_lowerSproulOffices">'Core Inputs'!$H$126</definedName>
    <definedName name="Process_2_CCF_per_lb_campus">'Core Inputs'!$I$152</definedName>
    <definedName name="Process_2_kWh_per_lb_campus">'Core Inputs'!$I$150</definedName>
    <definedName name="Process_2_therm_per_lb_campus">'Core Inputs'!$I$151</definedName>
    <definedName name="Process_6_CCF_per_lb_campus">'Core Inputs'!$I$177</definedName>
    <definedName name="Process_6_kWh_per_lb_campus">'Core Inputs'!$I$175</definedName>
    <definedName name="Process_6_therm_per_lb_campus">'Core Inputs'!$I$176</definedName>
    <definedName name="Process_8A_CCF_per_lb_campus">'Core Inputs'!$I$202</definedName>
    <definedName name="Process_8A_kWh_per_lb_campus">'Core Inputs'!$I$200</definedName>
    <definedName name="Process_8A_therm_per_lb_campus">'Core Inputs'!$I$201</definedName>
    <definedName name="Process_8B_CCF_per_lb_campus">'Core Inputs'!$I$227</definedName>
    <definedName name="Process_8B_kWh_per_lb_campus">'Core Inputs'!$I$225</definedName>
    <definedName name="Process_8B_therm_per_lb_campus">'Core Inputs'!$I$226</definedName>
    <definedName name="Process_exstg_CCF_per_lb_campus">'Core Inputs'!$I$26</definedName>
    <definedName name="Process_exstg_kWh_per_lb_campus">'Core Inputs'!$I$24</definedName>
    <definedName name="Process_exstg_therm_per_lb_campus">'Core Inputs'!$I$25</definedName>
    <definedName name="StartYear">'Global Inputs'!$D$13</definedName>
    <definedName name="SteamDensity">'Global Inputs'!$D$24</definedName>
    <definedName name="SteamWtrLossExstg">'Global Inputs'!$D$54</definedName>
    <definedName name="SteamWtrLossNew">'Global Inputs'!$F$54</definedName>
    <definedName name="TransfLossExstg">'Global Inputs'!$D$36</definedName>
    <definedName name="TransfLossNew">'Global Inputs'!$F$36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6" i="9" l="1"/>
  <c r="AG339" i="13"/>
  <c r="AF339" i="13"/>
  <c r="AE339" i="13"/>
  <c r="AD339" i="13"/>
  <c r="AC339" i="13"/>
  <c r="AB339" i="13"/>
  <c r="AA339" i="13"/>
  <c r="Z339" i="13"/>
  <c r="Y339" i="13"/>
  <c r="X339" i="13"/>
  <c r="W339" i="13"/>
  <c r="V339" i="13"/>
  <c r="U339" i="13"/>
  <c r="T339" i="13"/>
  <c r="S339" i="13"/>
  <c r="R339" i="13"/>
  <c r="Q339" i="13"/>
  <c r="P339" i="13"/>
  <c r="O339" i="13"/>
  <c r="N339" i="13"/>
  <c r="M339" i="13"/>
  <c r="L339" i="13"/>
  <c r="K339" i="13"/>
  <c r="J339" i="13"/>
  <c r="I339" i="13"/>
  <c r="H339" i="13"/>
  <c r="G339" i="13"/>
  <c r="F339" i="13"/>
  <c r="E339" i="13"/>
  <c r="D339" i="13"/>
  <c r="AG242" i="13"/>
  <c r="AF242" i="13"/>
  <c r="AE242" i="13"/>
  <c r="AD242" i="13"/>
  <c r="AC242" i="13"/>
  <c r="AB242" i="13"/>
  <c r="AA242" i="13"/>
  <c r="Z242" i="13"/>
  <c r="Y242" i="13"/>
  <c r="X242" i="13"/>
  <c r="W242" i="13"/>
  <c r="V242" i="13"/>
  <c r="U242" i="13"/>
  <c r="T242" i="13"/>
  <c r="S242" i="13"/>
  <c r="R242" i="13"/>
  <c r="Q242" i="13"/>
  <c r="P242" i="13"/>
  <c r="O242" i="13"/>
  <c r="N242" i="13"/>
  <c r="M242" i="13"/>
  <c r="L242" i="13"/>
  <c r="K242" i="13"/>
  <c r="J242" i="13"/>
  <c r="I242" i="13"/>
  <c r="H242" i="13"/>
  <c r="G242" i="13"/>
  <c r="F242" i="13"/>
  <c r="E242" i="13"/>
  <c r="D242" i="13"/>
  <c r="AG233" i="13"/>
  <c r="AF233" i="13"/>
  <c r="AE233" i="13"/>
  <c r="AD233" i="13"/>
  <c r="AC233" i="13"/>
  <c r="AB233" i="13"/>
  <c r="AA233" i="13"/>
  <c r="Z233" i="13"/>
  <c r="Y233" i="13"/>
  <c r="X233" i="13"/>
  <c r="W233" i="13"/>
  <c r="V233" i="13"/>
  <c r="U233" i="13"/>
  <c r="T233" i="13"/>
  <c r="S233" i="13"/>
  <c r="R233" i="13"/>
  <c r="Q233" i="13"/>
  <c r="P233" i="13"/>
  <c r="O233" i="13"/>
  <c r="N233" i="13"/>
  <c r="M233" i="13"/>
  <c r="L233" i="13"/>
  <c r="K233" i="13"/>
  <c r="J233" i="13"/>
  <c r="I233" i="13"/>
  <c r="H233" i="13"/>
  <c r="G233" i="13"/>
  <c r="F233" i="13"/>
  <c r="E233" i="13"/>
  <c r="D233" i="13"/>
  <c r="AG224" i="13"/>
  <c r="AF224" i="13"/>
  <c r="AE224" i="13"/>
  <c r="AD224" i="13"/>
  <c r="AC224" i="13"/>
  <c r="AB224" i="13"/>
  <c r="AA224" i="13"/>
  <c r="Z224" i="13"/>
  <c r="Y224" i="13"/>
  <c r="X224" i="13"/>
  <c r="W224" i="13"/>
  <c r="V224" i="13"/>
  <c r="U224" i="13"/>
  <c r="T224" i="13"/>
  <c r="S224" i="13"/>
  <c r="R224" i="13"/>
  <c r="Q224" i="13"/>
  <c r="P224" i="13"/>
  <c r="O224" i="13"/>
  <c r="N224" i="13"/>
  <c r="M224" i="13"/>
  <c r="L224" i="13"/>
  <c r="K224" i="13"/>
  <c r="J224" i="13"/>
  <c r="I224" i="13"/>
  <c r="H224" i="13"/>
  <c r="G224" i="13"/>
  <c r="F224" i="13"/>
  <c r="E224" i="13"/>
  <c r="D224" i="13"/>
  <c r="AG215" i="13"/>
  <c r="AF215" i="13"/>
  <c r="AE215" i="13"/>
  <c r="AD215" i="13"/>
  <c r="AC215" i="13"/>
  <c r="AB215" i="13"/>
  <c r="AA215" i="13"/>
  <c r="Z215" i="13"/>
  <c r="Y215" i="13"/>
  <c r="X215" i="13"/>
  <c r="W215" i="13"/>
  <c r="V215" i="13"/>
  <c r="U215" i="13"/>
  <c r="T215" i="13"/>
  <c r="S215" i="13"/>
  <c r="R215" i="13"/>
  <c r="Q215" i="13"/>
  <c r="P215" i="13"/>
  <c r="O215" i="13"/>
  <c r="N215" i="13"/>
  <c r="M215" i="13"/>
  <c r="L215" i="13"/>
  <c r="K215" i="13"/>
  <c r="J215" i="13"/>
  <c r="I215" i="13"/>
  <c r="H215" i="13"/>
  <c r="G215" i="13"/>
  <c r="F215" i="13"/>
  <c r="E215" i="13"/>
  <c r="D215" i="13"/>
  <c r="AG206" i="13"/>
  <c r="AF206" i="13"/>
  <c r="AE206" i="13"/>
  <c r="AD206" i="13"/>
  <c r="AC206" i="13"/>
  <c r="AB206" i="13"/>
  <c r="AA206" i="13"/>
  <c r="Z206" i="13"/>
  <c r="Y206" i="13"/>
  <c r="X206" i="13"/>
  <c r="W206" i="13"/>
  <c r="V206" i="13"/>
  <c r="U206" i="13"/>
  <c r="T206" i="13"/>
  <c r="S206" i="13"/>
  <c r="R206" i="13"/>
  <c r="Q206" i="13"/>
  <c r="P206" i="13"/>
  <c r="O206" i="13"/>
  <c r="N206" i="13"/>
  <c r="M206" i="13"/>
  <c r="L206" i="13"/>
  <c r="K206" i="13"/>
  <c r="J206" i="13"/>
  <c r="I206" i="13"/>
  <c r="H206" i="13"/>
  <c r="G206" i="13"/>
  <c r="F206" i="13"/>
  <c r="E206" i="13"/>
  <c r="D206" i="13"/>
  <c r="AG197" i="13"/>
  <c r="AF197" i="13"/>
  <c r="AE197" i="13"/>
  <c r="AD197" i="13"/>
  <c r="AC197" i="13"/>
  <c r="AB197" i="13"/>
  <c r="AA197" i="13"/>
  <c r="Z197" i="13"/>
  <c r="Y197" i="13"/>
  <c r="X197" i="13"/>
  <c r="W197" i="13"/>
  <c r="V197" i="13"/>
  <c r="U197" i="13"/>
  <c r="T197" i="13"/>
  <c r="S197" i="13"/>
  <c r="R197" i="13"/>
  <c r="Q197" i="13"/>
  <c r="P197" i="13"/>
  <c r="O197" i="13"/>
  <c r="N197" i="13"/>
  <c r="M197" i="13"/>
  <c r="L197" i="13"/>
  <c r="K197" i="13"/>
  <c r="J197" i="13"/>
  <c r="I197" i="13"/>
  <c r="H197" i="13"/>
  <c r="G197" i="13"/>
  <c r="F197" i="13"/>
  <c r="E197" i="13"/>
  <c r="D197" i="13"/>
  <c r="AG188" i="13"/>
  <c r="AF188" i="13"/>
  <c r="AE188" i="13"/>
  <c r="AD188" i="13"/>
  <c r="AC188" i="13"/>
  <c r="AB188" i="13"/>
  <c r="AA188" i="13"/>
  <c r="Z188" i="13"/>
  <c r="Y188" i="13"/>
  <c r="X188" i="13"/>
  <c r="W188" i="13"/>
  <c r="V188" i="13"/>
  <c r="U188" i="13"/>
  <c r="T188" i="13"/>
  <c r="S188" i="13"/>
  <c r="R188" i="13"/>
  <c r="Q188" i="13"/>
  <c r="P188" i="13"/>
  <c r="O188" i="13"/>
  <c r="N188" i="13"/>
  <c r="M188" i="13"/>
  <c r="L188" i="13"/>
  <c r="K188" i="13"/>
  <c r="J188" i="13"/>
  <c r="I188" i="13"/>
  <c r="H188" i="13"/>
  <c r="G188" i="13"/>
  <c r="F188" i="13"/>
  <c r="E188" i="13"/>
  <c r="D188" i="13"/>
  <c r="AG179" i="13"/>
  <c r="AF179" i="13"/>
  <c r="AE179" i="13"/>
  <c r="AD179" i="13"/>
  <c r="AC179" i="13"/>
  <c r="AB179" i="13"/>
  <c r="AA179" i="13"/>
  <c r="Z179" i="13"/>
  <c r="Y179" i="13"/>
  <c r="X179" i="13"/>
  <c r="W179" i="13"/>
  <c r="V179" i="13"/>
  <c r="U179" i="13"/>
  <c r="T179" i="13"/>
  <c r="S179" i="13"/>
  <c r="R179" i="13"/>
  <c r="Q179" i="13"/>
  <c r="P179" i="13"/>
  <c r="O179" i="13"/>
  <c r="N179" i="13"/>
  <c r="M179" i="13"/>
  <c r="L179" i="13"/>
  <c r="K179" i="13"/>
  <c r="J179" i="13"/>
  <c r="I179" i="13"/>
  <c r="H179" i="13"/>
  <c r="G179" i="13"/>
  <c r="F179" i="13"/>
  <c r="E179" i="13"/>
  <c r="D179" i="13"/>
  <c r="AG170" i="13"/>
  <c r="AF170" i="13"/>
  <c r="AE170" i="13"/>
  <c r="AD170" i="13"/>
  <c r="AC170" i="13"/>
  <c r="AB170" i="13"/>
  <c r="AA170" i="13"/>
  <c r="Z170" i="13"/>
  <c r="Y170" i="13"/>
  <c r="X170" i="13"/>
  <c r="W170" i="13"/>
  <c r="V170" i="13"/>
  <c r="U170" i="13"/>
  <c r="T170" i="13"/>
  <c r="S170" i="13"/>
  <c r="R170" i="13"/>
  <c r="Q170" i="13"/>
  <c r="P170" i="13"/>
  <c r="O170" i="13"/>
  <c r="N170" i="13"/>
  <c r="M170" i="13"/>
  <c r="L170" i="13"/>
  <c r="K170" i="13"/>
  <c r="J170" i="13"/>
  <c r="I170" i="13"/>
  <c r="H170" i="13"/>
  <c r="G170" i="13"/>
  <c r="F170" i="13"/>
  <c r="E170" i="13"/>
  <c r="D170" i="13"/>
  <c r="AG161" i="13"/>
  <c r="AF161" i="13"/>
  <c r="AE161" i="13"/>
  <c r="AD161" i="13"/>
  <c r="AC161" i="13"/>
  <c r="AB161" i="13"/>
  <c r="AA161" i="13"/>
  <c r="Z161" i="13"/>
  <c r="Y161" i="13"/>
  <c r="X161" i="13"/>
  <c r="W161" i="13"/>
  <c r="V161" i="13"/>
  <c r="U161" i="13"/>
  <c r="T161" i="13"/>
  <c r="S161" i="13"/>
  <c r="R161" i="13"/>
  <c r="Q161" i="13"/>
  <c r="P161" i="13"/>
  <c r="O161" i="13"/>
  <c r="N161" i="13"/>
  <c r="M161" i="13"/>
  <c r="L161" i="13"/>
  <c r="K161" i="13"/>
  <c r="J161" i="13"/>
  <c r="I161" i="13"/>
  <c r="H161" i="13"/>
  <c r="G161" i="13"/>
  <c r="F161" i="13"/>
  <c r="E161" i="13"/>
  <c r="D161" i="13"/>
  <c r="AG152" i="13"/>
  <c r="AF152" i="13"/>
  <c r="AE152" i="13"/>
  <c r="AD152" i="13"/>
  <c r="AC152" i="13"/>
  <c r="AB152" i="13"/>
  <c r="AA152" i="13"/>
  <c r="Z152" i="13"/>
  <c r="Y152" i="13"/>
  <c r="X152" i="13"/>
  <c r="W152" i="13"/>
  <c r="V152" i="13"/>
  <c r="U152" i="13"/>
  <c r="T152" i="13"/>
  <c r="S152" i="13"/>
  <c r="R152" i="13"/>
  <c r="Q152" i="13"/>
  <c r="P152" i="13"/>
  <c r="O152" i="13"/>
  <c r="N152" i="13"/>
  <c r="M152" i="13"/>
  <c r="L152" i="13"/>
  <c r="K152" i="13"/>
  <c r="J152" i="13"/>
  <c r="I152" i="13"/>
  <c r="H152" i="13"/>
  <c r="G152" i="13"/>
  <c r="F152" i="13"/>
  <c r="E152" i="13"/>
  <c r="D152" i="13"/>
  <c r="AG143" i="13"/>
  <c r="AF143" i="13"/>
  <c r="AE143" i="13"/>
  <c r="AD143" i="13"/>
  <c r="AC143" i="13"/>
  <c r="AB143" i="13"/>
  <c r="AA143" i="13"/>
  <c r="Z143" i="13"/>
  <c r="Y143" i="13"/>
  <c r="X143" i="13"/>
  <c r="W143" i="13"/>
  <c r="V143" i="13"/>
  <c r="U143" i="13"/>
  <c r="T143" i="13"/>
  <c r="S143" i="13"/>
  <c r="R143" i="13"/>
  <c r="Q143" i="13"/>
  <c r="P143" i="13"/>
  <c r="O143" i="13"/>
  <c r="N143" i="13"/>
  <c r="M143" i="13"/>
  <c r="L143" i="13"/>
  <c r="K143" i="13"/>
  <c r="J143" i="13"/>
  <c r="I143" i="13"/>
  <c r="H143" i="13"/>
  <c r="G143" i="13"/>
  <c r="F143" i="13"/>
  <c r="E143" i="13"/>
  <c r="D143" i="13"/>
  <c r="AG134" i="13"/>
  <c r="AF134" i="13"/>
  <c r="AE134" i="13"/>
  <c r="AD134" i="13"/>
  <c r="AC134" i="13"/>
  <c r="AB134" i="13"/>
  <c r="AA134" i="13"/>
  <c r="Z134" i="13"/>
  <c r="Y134" i="13"/>
  <c r="X134" i="13"/>
  <c r="W134" i="13"/>
  <c r="V134" i="13"/>
  <c r="U134" i="13"/>
  <c r="T134" i="13"/>
  <c r="S134" i="13"/>
  <c r="R134" i="13"/>
  <c r="Q134" i="13"/>
  <c r="P134" i="13"/>
  <c r="O134" i="13"/>
  <c r="N134" i="13"/>
  <c r="M134" i="13"/>
  <c r="L134" i="13"/>
  <c r="K134" i="13"/>
  <c r="J134" i="13"/>
  <c r="I134" i="13"/>
  <c r="H134" i="13"/>
  <c r="G134" i="13"/>
  <c r="F134" i="13"/>
  <c r="E134" i="13"/>
  <c r="D134" i="13"/>
  <c r="AG122" i="13"/>
  <c r="AF122" i="13"/>
  <c r="AE122" i="13"/>
  <c r="AD122" i="13"/>
  <c r="AC122" i="13"/>
  <c r="AB122" i="13"/>
  <c r="AA122" i="13"/>
  <c r="Z122" i="13"/>
  <c r="Y122" i="13"/>
  <c r="X122" i="13"/>
  <c r="W122" i="13"/>
  <c r="V122" i="13"/>
  <c r="U122" i="13"/>
  <c r="T122" i="13"/>
  <c r="S122" i="13"/>
  <c r="R122" i="13"/>
  <c r="Q122" i="13"/>
  <c r="P122" i="13"/>
  <c r="O122" i="13"/>
  <c r="N122" i="13"/>
  <c r="M122" i="13"/>
  <c r="L122" i="13"/>
  <c r="K122" i="13"/>
  <c r="J122" i="13"/>
  <c r="I122" i="13"/>
  <c r="H122" i="13"/>
  <c r="G122" i="13"/>
  <c r="F122" i="13"/>
  <c r="E122" i="13"/>
  <c r="D122" i="13"/>
  <c r="AG113" i="13"/>
  <c r="AF113" i="13"/>
  <c r="AE113" i="13"/>
  <c r="AD113" i="13"/>
  <c r="AC113" i="13"/>
  <c r="AB113" i="13"/>
  <c r="AA113" i="13"/>
  <c r="Z113" i="13"/>
  <c r="Y113" i="13"/>
  <c r="X113" i="13"/>
  <c r="W113" i="13"/>
  <c r="V113" i="13"/>
  <c r="U113" i="13"/>
  <c r="T113" i="13"/>
  <c r="S113" i="13"/>
  <c r="R113" i="13"/>
  <c r="Q113" i="13"/>
  <c r="P113" i="13"/>
  <c r="O113" i="13"/>
  <c r="N113" i="13"/>
  <c r="M113" i="13"/>
  <c r="L113" i="13"/>
  <c r="K113" i="13"/>
  <c r="J113" i="13"/>
  <c r="I113" i="13"/>
  <c r="H113" i="13"/>
  <c r="G113" i="13"/>
  <c r="F113" i="13"/>
  <c r="E113" i="13"/>
  <c r="D113" i="13"/>
  <c r="AG104" i="13"/>
  <c r="AF104" i="13"/>
  <c r="AE104" i="13"/>
  <c r="AD104" i="13"/>
  <c r="AC104" i="13"/>
  <c r="AB104" i="13"/>
  <c r="AA104" i="13"/>
  <c r="Z104" i="13"/>
  <c r="Y104" i="13"/>
  <c r="X104" i="13"/>
  <c r="W104" i="13"/>
  <c r="V104" i="13"/>
  <c r="U104" i="13"/>
  <c r="T104" i="13"/>
  <c r="S104" i="13"/>
  <c r="R104" i="13"/>
  <c r="Q104" i="13"/>
  <c r="P104" i="13"/>
  <c r="O104" i="13"/>
  <c r="N104" i="13"/>
  <c r="M104" i="13"/>
  <c r="L104" i="13"/>
  <c r="K104" i="13"/>
  <c r="J104" i="13"/>
  <c r="I104" i="13"/>
  <c r="H104" i="13"/>
  <c r="G104" i="13"/>
  <c r="F104" i="13"/>
  <c r="E104" i="13"/>
  <c r="D104" i="13"/>
  <c r="AG95" i="13"/>
  <c r="AF95" i="13"/>
  <c r="AE95" i="13"/>
  <c r="AD95" i="13"/>
  <c r="AC95" i="13"/>
  <c r="AB95" i="13"/>
  <c r="AA95" i="13"/>
  <c r="Z95" i="13"/>
  <c r="Y95" i="13"/>
  <c r="X95" i="13"/>
  <c r="W95" i="13"/>
  <c r="V95" i="13"/>
  <c r="U95" i="13"/>
  <c r="T95" i="13"/>
  <c r="S95" i="13"/>
  <c r="R95" i="13"/>
  <c r="Q95" i="13"/>
  <c r="P95" i="13"/>
  <c r="O95" i="13"/>
  <c r="N95" i="13"/>
  <c r="M95" i="13"/>
  <c r="L95" i="13"/>
  <c r="K95" i="13"/>
  <c r="J95" i="13"/>
  <c r="I95" i="13"/>
  <c r="H95" i="13"/>
  <c r="G95" i="13"/>
  <c r="F95" i="13"/>
  <c r="E95" i="13"/>
  <c r="D95" i="13"/>
  <c r="AG86" i="13"/>
  <c r="AF86" i="13"/>
  <c r="AE86" i="13"/>
  <c r="AD86" i="13"/>
  <c r="AC86" i="13"/>
  <c r="AB86" i="13"/>
  <c r="AA86" i="13"/>
  <c r="Z86" i="13"/>
  <c r="Y86" i="13"/>
  <c r="X86" i="13"/>
  <c r="W86" i="13"/>
  <c r="V86" i="13"/>
  <c r="U86" i="13"/>
  <c r="T86" i="13"/>
  <c r="S86" i="13"/>
  <c r="R86" i="13"/>
  <c r="Q86" i="13"/>
  <c r="P86" i="13"/>
  <c r="O86" i="13"/>
  <c r="N86" i="13"/>
  <c r="M86" i="13"/>
  <c r="L86" i="13"/>
  <c r="K86" i="13"/>
  <c r="J86" i="13"/>
  <c r="I86" i="13"/>
  <c r="H86" i="13"/>
  <c r="G86" i="13"/>
  <c r="F86" i="13"/>
  <c r="E86" i="13"/>
  <c r="D86" i="13"/>
  <c r="AG77" i="13"/>
  <c r="AF77" i="13"/>
  <c r="AE77" i="13"/>
  <c r="AD77" i="13"/>
  <c r="AC77" i="13"/>
  <c r="AB77" i="13"/>
  <c r="AA77" i="13"/>
  <c r="Z77" i="13"/>
  <c r="Y77" i="13"/>
  <c r="X77" i="13"/>
  <c r="W77" i="13"/>
  <c r="V77" i="13"/>
  <c r="U77" i="13"/>
  <c r="T77" i="13"/>
  <c r="S77" i="13"/>
  <c r="R77" i="13"/>
  <c r="Q77" i="13"/>
  <c r="P77" i="13"/>
  <c r="O77" i="13"/>
  <c r="N77" i="13"/>
  <c r="M77" i="13"/>
  <c r="L77" i="13"/>
  <c r="K77" i="13"/>
  <c r="J77" i="13"/>
  <c r="I77" i="13"/>
  <c r="H77" i="13"/>
  <c r="G77" i="13"/>
  <c r="F77" i="13"/>
  <c r="E77" i="13"/>
  <c r="D77" i="13"/>
  <c r="AG68" i="13"/>
  <c r="AF68" i="13"/>
  <c r="AE68" i="13"/>
  <c r="AD68" i="13"/>
  <c r="AC68" i="13"/>
  <c r="AB68" i="13"/>
  <c r="AA68" i="13"/>
  <c r="Z68" i="13"/>
  <c r="Y68" i="13"/>
  <c r="X68" i="13"/>
  <c r="W68" i="13"/>
  <c r="V68" i="13"/>
  <c r="U68" i="13"/>
  <c r="T68" i="13"/>
  <c r="S68" i="13"/>
  <c r="R68" i="13"/>
  <c r="Q68" i="13"/>
  <c r="P68" i="13"/>
  <c r="O68" i="13"/>
  <c r="N68" i="13"/>
  <c r="M68" i="13"/>
  <c r="L68" i="13"/>
  <c r="K68" i="13"/>
  <c r="J68" i="13"/>
  <c r="I68" i="13"/>
  <c r="H68" i="13"/>
  <c r="G68" i="13"/>
  <c r="F68" i="13"/>
  <c r="E68" i="13"/>
  <c r="D68" i="13"/>
  <c r="AG59" i="13"/>
  <c r="AF59" i="13"/>
  <c r="AE59" i="13"/>
  <c r="AD59" i="13"/>
  <c r="AC59" i="13"/>
  <c r="AB59" i="13"/>
  <c r="AA59" i="13"/>
  <c r="Z59" i="13"/>
  <c r="Y59" i="13"/>
  <c r="X59" i="13"/>
  <c r="W59" i="13"/>
  <c r="V59" i="13"/>
  <c r="U59" i="13"/>
  <c r="T59" i="13"/>
  <c r="S59" i="13"/>
  <c r="R59" i="13"/>
  <c r="Q59" i="13"/>
  <c r="P59" i="13"/>
  <c r="O59" i="13"/>
  <c r="N59" i="13"/>
  <c r="M59" i="13"/>
  <c r="L59" i="13"/>
  <c r="K59" i="13"/>
  <c r="J59" i="13"/>
  <c r="I59" i="13"/>
  <c r="H59" i="13"/>
  <c r="G59" i="13"/>
  <c r="F59" i="13"/>
  <c r="E59" i="13"/>
  <c r="D59" i="13"/>
  <c r="AG50" i="13"/>
  <c r="AF50" i="13"/>
  <c r="AE50" i="13"/>
  <c r="AD50" i="13"/>
  <c r="AC50" i="13"/>
  <c r="AB50" i="13"/>
  <c r="AA50" i="13"/>
  <c r="Z50" i="13"/>
  <c r="Y50" i="13"/>
  <c r="X50" i="13"/>
  <c r="W50" i="13"/>
  <c r="V50" i="13"/>
  <c r="U50" i="13"/>
  <c r="T50" i="13"/>
  <c r="S50" i="13"/>
  <c r="R50" i="13"/>
  <c r="Q50" i="13"/>
  <c r="P50" i="13"/>
  <c r="O50" i="13"/>
  <c r="N50" i="13"/>
  <c r="M50" i="13"/>
  <c r="L50" i="13"/>
  <c r="K50" i="13"/>
  <c r="J50" i="13"/>
  <c r="I50" i="13"/>
  <c r="H50" i="13"/>
  <c r="G50" i="13"/>
  <c r="F50" i="13"/>
  <c r="E50" i="13"/>
  <c r="D50" i="13"/>
  <c r="AG41" i="13"/>
  <c r="AF41" i="13"/>
  <c r="AE41" i="13"/>
  <c r="AD41" i="13"/>
  <c r="AC41" i="13"/>
  <c r="AB41" i="13"/>
  <c r="AA41" i="13"/>
  <c r="Z41" i="13"/>
  <c r="Y41" i="13"/>
  <c r="X41" i="13"/>
  <c r="W41" i="13"/>
  <c r="V41" i="13"/>
  <c r="U41" i="13"/>
  <c r="T41" i="13"/>
  <c r="S41" i="13"/>
  <c r="R41" i="13"/>
  <c r="Q41" i="13"/>
  <c r="P41" i="13"/>
  <c r="O41" i="13"/>
  <c r="N41" i="13"/>
  <c r="M41" i="13"/>
  <c r="L41" i="13"/>
  <c r="K41" i="13"/>
  <c r="J41" i="13"/>
  <c r="I41" i="13"/>
  <c r="H41" i="13"/>
  <c r="G41" i="13"/>
  <c r="F41" i="13"/>
  <c r="E41" i="13"/>
  <c r="D41" i="13"/>
  <c r="AG32" i="13"/>
  <c r="AF32" i="13"/>
  <c r="AE32" i="13"/>
  <c r="AD32" i="13"/>
  <c r="AC32" i="13"/>
  <c r="AB32" i="13"/>
  <c r="AA32" i="13"/>
  <c r="Z32" i="13"/>
  <c r="Y32" i="13"/>
  <c r="X32" i="13"/>
  <c r="W32" i="13"/>
  <c r="V32" i="13"/>
  <c r="U32" i="13"/>
  <c r="T32" i="13"/>
  <c r="S32" i="13"/>
  <c r="R32" i="13"/>
  <c r="Q32" i="13"/>
  <c r="P32" i="13"/>
  <c r="O32" i="13"/>
  <c r="N32" i="13"/>
  <c r="M32" i="13"/>
  <c r="L32" i="13"/>
  <c r="K32" i="13"/>
  <c r="J32" i="13"/>
  <c r="I32" i="13"/>
  <c r="H32" i="13"/>
  <c r="G32" i="13"/>
  <c r="F32" i="13"/>
  <c r="E32" i="13"/>
  <c r="D32" i="13"/>
  <c r="AG23" i="13"/>
  <c r="AF23" i="13"/>
  <c r="AE23" i="13"/>
  <c r="AD23" i="13"/>
  <c r="AC23" i="13"/>
  <c r="AB23" i="13"/>
  <c r="AA23" i="13"/>
  <c r="Z23" i="13"/>
  <c r="Y23" i="13"/>
  <c r="X23" i="13"/>
  <c r="W23" i="13"/>
  <c r="V23" i="13"/>
  <c r="U23" i="13"/>
  <c r="T23" i="13"/>
  <c r="S23" i="13"/>
  <c r="R23" i="13"/>
  <c r="Q23" i="13"/>
  <c r="P23" i="13"/>
  <c r="O23" i="13"/>
  <c r="N23" i="13"/>
  <c r="M23" i="13"/>
  <c r="L23" i="13"/>
  <c r="K23" i="13"/>
  <c r="J23" i="13"/>
  <c r="I23" i="13"/>
  <c r="H23" i="13"/>
  <c r="G23" i="13"/>
  <c r="F23" i="13"/>
  <c r="E23" i="13"/>
  <c r="D23" i="13"/>
  <c r="C72" i="12" l="1"/>
  <c r="C71" i="12"/>
  <c r="F347" i="9" l="1"/>
  <c r="D347" i="9"/>
  <c r="G121" i="9"/>
  <c r="F121" i="9"/>
  <c r="E121" i="9"/>
  <c r="D121" i="9"/>
  <c r="G96" i="9"/>
  <c r="F96" i="9"/>
  <c r="E96" i="9"/>
  <c r="D96" i="9"/>
  <c r="G71" i="9"/>
  <c r="F71" i="9"/>
  <c r="E71" i="9"/>
  <c r="D71" i="9"/>
  <c r="H71" i="9"/>
  <c r="H96" i="9"/>
  <c r="H121" i="9"/>
  <c r="I272" i="9"/>
  <c r="I297" i="9"/>
  <c r="I322" i="9"/>
  <c r="I143" i="9" l="1"/>
  <c r="I175" i="9" l="1"/>
  <c r="C80" i="12"/>
  <c r="E269" i="15"/>
  <c r="F269" i="15"/>
  <c r="G269" i="15"/>
  <c r="H269" i="15"/>
  <c r="I269" i="15"/>
  <c r="J269" i="15"/>
  <c r="K269" i="15"/>
  <c r="L269" i="15"/>
  <c r="M269" i="15"/>
  <c r="N269" i="15"/>
  <c r="O269" i="15"/>
  <c r="P269" i="15"/>
  <c r="Q269" i="15"/>
  <c r="R269" i="15"/>
  <c r="S269" i="15"/>
  <c r="T269" i="15"/>
  <c r="U269" i="15"/>
  <c r="V269" i="15"/>
  <c r="W269" i="15"/>
  <c r="X269" i="15"/>
  <c r="Y269" i="15"/>
  <c r="Z269" i="15"/>
  <c r="AA269" i="15"/>
  <c r="AB269" i="15"/>
  <c r="AC269" i="15"/>
  <c r="AD269" i="15"/>
  <c r="AE269" i="15"/>
  <c r="AF269" i="15"/>
  <c r="AG269" i="15"/>
  <c r="D269" i="15"/>
  <c r="E266" i="15" l="1"/>
  <c r="F266" i="15"/>
  <c r="G266" i="15"/>
  <c r="H266" i="15"/>
  <c r="I266" i="15"/>
  <c r="J266" i="15"/>
  <c r="K266" i="15"/>
  <c r="L266" i="15"/>
  <c r="M266" i="15"/>
  <c r="N266" i="15"/>
  <c r="O266" i="15"/>
  <c r="P266" i="15"/>
  <c r="Q266" i="15"/>
  <c r="R266" i="15"/>
  <c r="S266" i="15"/>
  <c r="T266" i="15"/>
  <c r="U266" i="15"/>
  <c r="V266" i="15"/>
  <c r="W266" i="15"/>
  <c r="X266" i="15"/>
  <c r="Y266" i="15"/>
  <c r="Z266" i="15"/>
  <c r="AA266" i="15"/>
  <c r="AB266" i="15"/>
  <c r="AC266" i="15"/>
  <c r="AD266" i="15"/>
  <c r="AE266" i="15"/>
  <c r="AF266" i="15"/>
  <c r="AG266" i="15"/>
  <c r="E268" i="15"/>
  <c r="F268" i="15"/>
  <c r="G268" i="15"/>
  <c r="H268" i="15"/>
  <c r="I268" i="15"/>
  <c r="J268" i="15"/>
  <c r="K268" i="15"/>
  <c r="L268" i="15"/>
  <c r="M268" i="15"/>
  <c r="N268" i="15"/>
  <c r="O268" i="15"/>
  <c r="P268" i="15"/>
  <c r="Q268" i="15"/>
  <c r="R268" i="15"/>
  <c r="S268" i="15"/>
  <c r="T268" i="15"/>
  <c r="U268" i="15"/>
  <c r="V268" i="15"/>
  <c r="W268" i="15"/>
  <c r="X268" i="15"/>
  <c r="Y268" i="15"/>
  <c r="Z268" i="15"/>
  <c r="AA268" i="15"/>
  <c r="AB268" i="15"/>
  <c r="AC268" i="15"/>
  <c r="AD268" i="15"/>
  <c r="AE268" i="15"/>
  <c r="AF268" i="15"/>
  <c r="AG268" i="15"/>
  <c r="D235" i="15"/>
  <c r="E235" i="15"/>
  <c r="F235" i="15"/>
  <c r="G235" i="15"/>
  <c r="H235" i="15"/>
  <c r="I235" i="15"/>
  <c r="J235" i="15"/>
  <c r="K235" i="15"/>
  <c r="L235" i="15"/>
  <c r="M235" i="15"/>
  <c r="N235" i="15"/>
  <c r="O235" i="15"/>
  <c r="P235" i="15"/>
  <c r="Q235" i="15"/>
  <c r="R235" i="15"/>
  <c r="S235" i="15"/>
  <c r="T235" i="15"/>
  <c r="U235" i="15"/>
  <c r="V235" i="15"/>
  <c r="W235" i="15"/>
  <c r="X235" i="15"/>
  <c r="Y235" i="15"/>
  <c r="Z235" i="15"/>
  <c r="AA235" i="15"/>
  <c r="AB235" i="15"/>
  <c r="AC235" i="15"/>
  <c r="AD235" i="15"/>
  <c r="AE235" i="15"/>
  <c r="AF235" i="15"/>
  <c r="D242" i="15"/>
  <c r="E242" i="15"/>
  <c r="F242" i="15"/>
  <c r="G242" i="15"/>
  <c r="H242" i="15"/>
  <c r="I242" i="15"/>
  <c r="J242" i="15"/>
  <c r="K242" i="15"/>
  <c r="L242" i="15"/>
  <c r="M242" i="15"/>
  <c r="N242" i="15"/>
  <c r="O242" i="15"/>
  <c r="P242" i="15"/>
  <c r="Q242" i="15"/>
  <c r="R242" i="15"/>
  <c r="S242" i="15"/>
  <c r="T242" i="15"/>
  <c r="U242" i="15"/>
  <c r="V242" i="15"/>
  <c r="W242" i="15"/>
  <c r="X242" i="15"/>
  <c r="Y242" i="15"/>
  <c r="Z242" i="15"/>
  <c r="AA242" i="15"/>
  <c r="AB242" i="15"/>
  <c r="AC242" i="15"/>
  <c r="AD242" i="15"/>
  <c r="AE242" i="15"/>
  <c r="AF242" i="15"/>
  <c r="U244" i="15"/>
  <c r="AC244" i="15"/>
  <c r="D251" i="15"/>
  <c r="E251" i="15"/>
  <c r="F251" i="15"/>
  <c r="G251" i="15"/>
  <c r="H251" i="15"/>
  <c r="I251" i="15"/>
  <c r="J251" i="15"/>
  <c r="K251" i="15"/>
  <c r="L251" i="15"/>
  <c r="M251" i="15"/>
  <c r="N251" i="15"/>
  <c r="O251" i="15"/>
  <c r="P251" i="15"/>
  <c r="Q251" i="15"/>
  <c r="R251" i="15"/>
  <c r="S251" i="15"/>
  <c r="T251" i="15"/>
  <c r="U251" i="15"/>
  <c r="V251" i="15"/>
  <c r="W251" i="15"/>
  <c r="X251" i="15"/>
  <c r="Y251" i="15"/>
  <c r="Z251" i="15"/>
  <c r="AA251" i="15"/>
  <c r="AB251" i="15"/>
  <c r="AC251" i="15"/>
  <c r="AD251" i="15"/>
  <c r="AE251" i="15"/>
  <c r="AF251" i="15"/>
  <c r="D258" i="15"/>
  <c r="E258" i="15"/>
  <c r="F258" i="15"/>
  <c r="G258" i="15"/>
  <c r="H258" i="15"/>
  <c r="I258" i="15"/>
  <c r="J258" i="15"/>
  <c r="K258" i="15"/>
  <c r="L258" i="15"/>
  <c r="M258" i="15"/>
  <c r="N258" i="15"/>
  <c r="O258" i="15"/>
  <c r="P258" i="15"/>
  <c r="Q258" i="15"/>
  <c r="R258" i="15"/>
  <c r="S258" i="15"/>
  <c r="T258" i="15"/>
  <c r="U258" i="15"/>
  <c r="V258" i="15"/>
  <c r="W258" i="15"/>
  <c r="X258" i="15"/>
  <c r="Y258" i="15"/>
  <c r="Z258" i="15"/>
  <c r="AA258" i="15"/>
  <c r="AB258" i="15"/>
  <c r="AC258" i="15"/>
  <c r="AD258" i="15"/>
  <c r="AE258" i="15"/>
  <c r="AF258" i="15"/>
  <c r="D266" i="15"/>
  <c r="D268" i="15"/>
  <c r="J244" i="15" l="1"/>
  <c r="Z244" i="15"/>
  <c r="G244" i="15"/>
  <c r="O244" i="15"/>
  <c r="W244" i="15"/>
  <c r="AE244" i="15"/>
  <c r="M244" i="15"/>
  <c r="E244" i="15"/>
  <c r="X244" i="15"/>
  <c r="P244" i="15"/>
  <c r="AF244" i="15"/>
  <c r="K244" i="15"/>
  <c r="H244" i="15"/>
  <c r="I244" i="15"/>
  <c r="Q244" i="15"/>
  <c r="Y244" i="15"/>
  <c r="S244" i="15"/>
  <c r="AA244" i="15"/>
  <c r="R244" i="15"/>
  <c r="F244" i="15" l="1"/>
  <c r="N244" i="15"/>
  <c r="AB244" i="15"/>
  <c r="L244" i="15"/>
  <c r="AD244" i="15"/>
  <c r="T244" i="15"/>
  <c r="D244" i="15"/>
  <c r="V244" i="15"/>
  <c r="E180" i="15" l="1"/>
  <c r="F180" i="15"/>
  <c r="G180" i="15"/>
  <c r="H180" i="15"/>
  <c r="I180" i="15"/>
  <c r="J180" i="15"/>
  <c r="K180" i="15"/>
  <c r="L180" i="15"/>
  <c r="M180" i="15"/>
  <c r="N180" i="15"/>
  <c r="O180" i="15"/>
  <c r="P180" i="15"/>
  <c r="Q180" i="15"/>
  <c r="R180" i="15"/>
  <c r="S180" i="15"/>
  <c r="T180" i="15"/>
  <c r="U180" i="15"/>
  <c r="V180" i="15"/>
  <c r="W180" i="15"/>
  <c r="X180" i="15"/>
  <c r="Y180" i="15"/>
  <c r="Z180" i="15"/>
  <c r="AA180" i="15"/>
  <c r="AB180" i="15"/>
  <c r="AC180" i="15"/>
  <c r="AD180" i="15"/>
  <c r="AE180" i="15"/>
  <c r="AF180" i="15"/>
  <c r="AG180" i="15"/>
  <c r="D180" i="15"/>
  <c r="E164" i="15"/>
  <c r="F164" i="15"/>
  <c r="G164" i="15"/>
  <c r="H164" i="15"/>
  <c r="I164" i="15"/>
  <c r="J164" i="15"/>
  <c r="K164" i="15"/>
  <c r="L164" i="15"/>
  <c r="M164" i="15"/>
  <c r="N164" i="15"/>
  <c r="O164" i="15"/>
  <c r="P164" i="15"/>
  <c r="Q164" i="15"/>
  <c r="R164" i="15"/>
  <c r="S164" i="15"/>
  <c r="T164" i="15"/>
  <c r="U164" i="15"/>
  <c r="V164" i="15"/>
  <c r="W164" i="15"/>
  <c r="X164" i="15"/>
  <c r="Y164" i="15"/>
  <c r="Z164" i="15"/>
  <c r="AA164" i="15"/>
  <c r="AB164" i="15"/>
  <c r="AC164" i="15"/>
  <c r="AD164" i="15"/>
  <c r="AE164" i="15"/>
  <c r="AF164" i="15"/>
  <c r="AG164" i="15"/>
  <c r="D164" i="15"/>
  <c r="P270" i="13"/>
  <c r="M320" i="13" s="1"/>
  <c r="L270" i="13"/>
  <c r="L286" i="13" s="1"/>
  <c r="M270" i="13"/>
  <c r="K320" i="13" s="1"/>
  <c r="I270" i="13"/>
  <c r="I286" i="13" s="1"/>
  <c r="P286" i="13" l="1"/>
  <c r="H320" i="13"/>
  <c r="J320" i="13"/>
  <c r="M286" i="13"/>
  <c r="D61" i="12"/>
  <c r="AG111" i="15" l="1"/>
  <c r="AF111" i="15"/>
  <c r="AE111" i="15"/>
  <c r="AD111" i="15"/>
  <c r="AC111" i="15"/>
  <c r="AB111" i="15"/>
  <c r="AA111" i="15"/>
  <c r="Z111" i="15"/>
  <c r="Y111" i="15"/>
  <c r="X111" i="15"/>
  <c r="W111" i="15"/>
  <c r="V111" i="15"/>
  <c r="U111" i="15"/>
  <c r="T111" i="15"/>
  <c r="S111" i="15"/>
  <c r="R111" i="15"/>
  <c r="Q111" i="15"/>
  <c r="P111" i="15"/>
  <c r="O111" i="15"/>
  <c r="N111" i="15"/>
  <c r="M111" i="15"/>
  <c r="L111" i="15"/>
  <c r="K111" i="15"/>
  <c r="J111" i="15"/>
  <c r="I111" i="15"/>
  <c r="H111" i="15"/>
  <c r="G111" i="15"/>
  <c r="F111" i="15"/>
  <c r="E111" i="15"/>
  <c r="D111" i="15"/>
  <c r="AG109" i="15"/>
  <c r="AF109" i="15"/>
  <c r="AE109" i="15"/>
  <c r="AD109" i="15"/>
  <c r="AC109" i="15"/>
  <c r="AB109" i="15"/>
  <c r="AA109" i="15"/>
  <c r="Z109" i="15"/>
  <c r="Y109" i="15"/>
  <c r="X109" i="15"/>
  <c r="W109" i="15"/>
  <c r="V109" i="15"/>
  <c r="U109" i="15"/>
  <c r="T109" i="15"/>
  <c r="S109" i="15"/>
  <c r="R109" i="15"/>
  <c r="Q109" i="15"/>
  <c r="P109" i="15"/>
  <c r="O109" i="15"/>
  <c r="N109" i="15"/>
  <c r="M109" i="15"/>
  <c r="L109" i="15"/>
  <c r="K109" i="15"/>
  <c r="J109" i="15"/>
  <c r="I109" i="15"/>
  <c r="H109" i="15"/>
  <c r="G109" i="15"/>
  <c r="F109" i="15"/>
  <c r="E109" i="15"/>
  <c r="D109" i="15"/>
  <c r="AG108" i="15"/>
  <c r="AF108" i="15"/>
  <c r="AE108" i="15"/>
  <c r="AD108" i="15"/>
  <c r="AC108" i="15"/>
  <c r="AB108" i="15"/>
  <c r="AA108" i="15"/>
  <c r="Z108" i="15"/>
  <c r="Y108" i="15"/>
  <c r="X108" i="15"/>
  <c r="W108" i="15"/>
  <c r="V108" i="15"/>
  <c r="U108" i="15"/>
  <c r="T108" i="15"/>
  <c r="S108" i="15"/>
  <c r="R108" i="15"/>
  <c r="Q108" i="15"/>
  <c r="P108" i="15"/>
  <c r="O108" i="15"/>
  <c r="N108" i="15"/>
  <c r="M108" i="15"/>
  <c r="L108" i="15"/>
  <c r="K108" i="15"/>
  <c r="J108" i="15"/>
  <c r="I108" i="15"/>
  <c r="H108" i="15"/>
  <c r="G108" i="15"/>
  <c r="F108" i="15"/>
  <c r="E108" i="15"/>
  <c r="D108" i="15"/>
  <c r="AG107" i="15"/>
  <c r="AF107" i="15"/>
  <c r="AE107" i="15"/>
  <c r="AD107" i="15"/>
  <c r="AC107" i="15"/>
  <c r="AB107" i="15"/>
  <c r="AA107" i="15"/>
  <c r="Z107" i="15"/>
  <c r="Y107" i="15"/>
  <c r="X107" i="15"/>
  <c r="W107" i="15"/>
  <c r="V107" i="15"/>
  <c r="U107" i="15"/>
  <c r="T107" i="15"/>
  <c r="S107" i="15"/>
  <c r="R107" i="15"/>
  <c r="Q107" i="15"/>
  <c r="P107" i="15"/>
  <c r="O107" i="15"/>
  <c r="N107" i="15"/>
  <c r="M107" i="15"/>
  <c r="L107" i="15"/>
  <c r="K107" i="15"/>
  <c r="J107" i="15"/>
  <c r="I107" i="15"/>
  <c r="H107" i="15"/>
  <c r="G107" i="15"/>
  <c r="F107" i="15"/>
  <c r="E107" i="15"/>
  <c r="D107" i="15"/>
  <c r="AG244" i="15"/>
  <c r="AG228" i="15"/>
  <c r="AF228" i="15"/>
  <c r="AE228" i="15"/>
  <c r="AD228" i="15"/>
  <c r="AC228" i="15"/>
  <c r="AB228" i="15"/>
  <c r="AA228" i="15"/>
  <c r="Z228" i="15"/>
  <c r="Y228" i="15"/>
  <c r="X228" i="15"/>
  <c r="W228" i="15"/>
  <c r="V228" i="15"/>
  <c r="U228" i="15"/>
  <c r="T228" i="15"/>
  <c r="S228" i="15"/>
  <c r="R228" i="15"/>
  <c r="Q228" i="15"/>
  <c r="P228" i="15"/>
  <c r="O228" i="15"/>
  <c r="N228" i="15"/>
  <c r="M228" i="15"/>
  <c r="L228" i="15"/>
  <c r="K228" i="15"/>
  <c r="J228" i="15"/>
  <c r="I228" i="15"/>
  <c r="H228" i="15"/>
  <c r="G228" i="15"/>
  <c r="F228" i="15"/>
  <c r="E228" i="15"/>
  <c r="D228" i="15"/>
  <c r="H344" i="9"/>
  <c r="G344" i="9"/>
  <c r="E344" i="9"/>
  <c r="I243" i="9"/>
  <c r="I42" i="9"/>
  <c r="AG258" i="15"/>
  <c r="AG251" i="15"/>
  <c r="AG194" i="15"/>
  <c r="AF194" i="15"/>
  <c r="AE194" i="15"/>
  <c r="AD194" i="15"/>
  <c r="AC194" i="15"/>
  <c r="AB194" i="15"/>
  <c r="AA194" i="15"/>
  <c r="Z194" i="15"/>
  <c r="Y194" i="15"/>
  <c r="X194" i="15"/>
  <c r="W194" i="15"/>
  <c r="V194" i="15"/>
  <c r="U194" i="15"/>
  <c r="T194" i="15"/>
  <c r="S194" i="15"/>
  <c r="R194" i="15"/>
  <c r="Q194" i="15"/>
  <c r="P194" i="15"/>
  <c r="O194" i="15"/>
  <c r="N194" i="15"/>
  <c r="M194" i="15"/>
  <c r="L194" i="15"/>
  <c r="K194" i="15"/>
  <c r="J194" i="15"/>
  <c r="I194" i="15"/>
  <c r="H194" i="15"/>
  <c r="G194" i="15"/>
  <c r="F194" i="15"/>
  <c r="E194" i="15"/>
  <c r="D194" i="15"/>
  <c r="AG187" i="15"/>
  <c r="AF187" i="15"/>
  <c r="AE187" i="15"/>
  <c r="AD187" i="15"/>
  <c r="AC187" i="15"/>
  <c r="AB187" i="15"/>
  <c r="AA187" i="15"/>
  <c r="Z187" i="15"/>
  <c r="Y187" i="15"/>
  <c r="X187" i="15"/>
  <c r="W187" i="15"/>
  <c r="V187" i="15"/>
  <c r="U187" i="15"/>
  <c r="T187" i="15"/>
  <c r="S187" i="15"/>
  <c r="R187" i="15"/>
  <c r="Q187" i="15"/>
  <c r="P187" i="15"/>
  <c r="O187" i="15"/>
  <c r="N187" i="15"/>
  <c r="M187" i="15"/>
  <c r="L187" i="15"/>
  <c r="K187" i="15"/>
  <c r="J187" i="15"/>
  <c r="I187" i="15"/>
  <c r="H187" i="15"/>
  <c r="G187" i="15"/>
  <c r="F187" i="15"/>
  <c r="E187" i="15"/>
  <c r="D187" i="15"/>
  <c r="AG146" i="15"/>
  <c r="AF146" i="15"/>
  <c r="AE146" i="15"/>
  <c r="AD146" i="15"/>
  <c r="AC146" i="15"/>
  <c r="AB146" i="15"/>
  <c r="AA146" i="15"/>
  <c r="Z146" i="15"/>
  <c r="Y146" i="15"/>
  <c r="X146" i="15"/>
  <c r="W146" i="15"/>
  <c r="V146" i="15"/>
  <c r="U146" i="15"/>
  <c r="T146" i="15"/>
  <c r="S146" i="15"/>
  <c r="R146" i="15"/>
  <c r="Q146" i="15"/>
  <c r="P146" i="15"/>
  <c r="O146" i="15"/>
  <c r="N146" i="15"/>
  <c r="M146" i="15"/>
  <c r="L146" i="15"/>
  <c r="K146" i="15"/>
  <c r="J146" i="15"/>
  <c r="I146" i="15"/>
  <c r="H146" i="15"/>
  <c r="G146" i="15"/>
  <c r="F146" i="15"/>
  <c r="E146" i="15"/>
  <c r="D146" i="15"/>
  <c r="AG139" i="15"/>
  <c r="AF139" i="15"/>
  <c r="AE139" i="15"/>
  <c r="AD139" i="15"/>
  <c r="AC139" i="15"/>
  <c r="AB139" i="15"/>
  <c r="AA139" i="15"/>
  <c r="Z139" i="15"/>
  <c r="Y139" i="15"/>
  <c r="X139" i="15"/>
  <c r="W139" i="15"/>
  <c r="V139" i="15"/>
  <c r="U139" i="15"/>
  <c r="T139" i="15"/>
  <c r="S139" i="15"/>
  <c r="R139" i="15"/>
  <c r="Q139" i="15"/>
  <c r="P139" i="15"/>
  <c r="O139" i="15"/>
  <c r="N139" i="15"/>
  <c r="M139" i="15"/>
  <c r="L139" i="15"/>
  <c r="K139" i="15"/>
  <c r="J139" i="15"/>
  <c r="I139" i="15"/>
  <c r="H139" i="15"/>
  <c r="G139" i="15"/>
  <c r="F139" i="15"/>
  <c r="E139" i="15"/>
  <c r="D139" i="15"/>
  <c r="I242" i="9"/>
  <c r="I256" i="9"/>
  <c r="I177" i="9"/>
  <c r="H357" i="9"/>
  <c r="G357" i="9"/>
  <c r="H354" i="9"/>
  <c r="G354" i="9"/>
  <c r="H353" i="9"/>
  <c r="G353" i="9"/>
  <c r="H348" i="9"/>
  <c r="G348" i="9"/>
  <c r="H347" i="9"/>
  <c r="G347" i="9"/>
  <c r="H343" i="9"/>
  <c r="G343" i="9"/>
  <c r="E357" i="9"/>
  <c r="E354" i="9"/>
  <c r="E353" i="9"/>
  <c r="E348" i="9"/>
  <c r="E347" i="9"/>
  <c r="E343" i="9"/>
  <c r="I171" i="9"/>
  <c r="I180" i="9"/>
  <c r="I167" i="9"/>
  <c r="D148" i="15" s="1"/>
  <c r="F342" i="9"/>
  <c r="D342" i="9"/>
  <c r="I317" i="9"/>
  <c r="I216" i="9"/>
  <c r="H116" i="9"/>
  <c r="G116" i="9"/>
  <c r="F116" i="9"/>
  <c r="E116" i="9"/>
  <c r="I292" i="9"/>
  <c r="I268" i="9"/>
  <c r="H91" i="9"/>
  <c r="G91" i="9"/>
  <c r="F91" i="9"/>
  <c r="E91" i="9"/>
  <c r="D91" i="9"/>
  <c r="H67" i="9"/>
  <c r="G67" i="9"/>
  <c r="F67" i="9"/>
  <c r="E67" i="9"/>
  <c r="D67" i="9"/>
  <c r="I221" i="9"/>
  <c r="I196" i="9"/>
  <c r="I146" i="9"/>
  <c r="I142" i="9"/>
  <c r="F357" i="9"/>
  <c r="D357" i="9"/>
  <c r="I331" i="9"/>
  <c r="I306" i="9"/>
  <c r="I230" i="9"/>
  <c r="I205" i="9"/>
  <c r="H130" i="9"/>
  <c r="G130" i="9"/>
  <c r="F130" i="9"/>
  <c r="E130" i="9"/>
  <c r="D130" i="9"/>
  <c r="H105" i="9"/>
  <c r="G105" i="9"/>
  <c r="F105" i="9"/>
  <c r="E105" i="9"/>
  <c r="D105" i="9"/>
  <c r="F352" i="9"/>
  <c r="D352" i="9"/>
  <c r="I326" i="9"/>
  <c r="I301" i="9"/>
  <c r="I225" i="9"/>
  <c r="I200" i="9"/>
  <c r="H125" i="9"/>
  <c r="G125" i="9"/>
  <c r="F125" i="9"/>
  <c r="E125" i="9"/>
  <c r="D125" i="9"/>
  <c r="H100" i="9"/>
  <c r="G100" i="9"/>
  <c r="F100" i="9"/>
  <c r="E100" i="9"/>
  <c r="D100" i="9"/>
  <c r="I191" i="9"/>
  <c r="I277" i="9"/>
  <c r="I151" i="9"/>
  <c r="H76" i="9"/>
  <c r="G76" i="9"/>
  <c r="F76" i="9"/>
  <c r="E76" i="9"/>
  <c r="D76" i="9"/>
  <c r="F344" i="9"/>
  <c r="D344" i="9"/>
  <c r="I319" i="9"/>
  <c r="I294" i="9"/>
  <c r="I269" i="9"/>
  <c r="I218" i="9"/>
  <c r="I193" i="9"/>
  <c r="I168" i="9"/>
  <c r="H118" i="9"/>
  <c r="G118" i="9"/>
  <c r="F118" i="9"/>
  <c r="E118" i="9"/>
  <c r="D118" i="9"/>
  <c r="H93" i="9"/>
  <c r="G93" i="9"/>
  <c r="F93" i="9"/>
  <c r="E93" i="9"/>
  <c r="D93" i="9"/>
  <c r="H68" i="9"/>
  <c r="G68" i="9"/>
  <c r="F68" i="9"/>
  <c r="E68" i="9"/>
  <c r="D68" i="9"/>
  <c r="I253" i="9"/>
  <c r="I52" i="9"/>
  <c r="I252" i="9"/>
  <c r="I247" i="9"/>
  <c r="I51" i="9"/>
  <c r="I46" i="9"/>
  <c r="I41" i="9"/>
  <c r="F354" i="9"/>
  <c r="D354" i="9"/>
  <c r="I328" i="9"/>
  <c r="I303" i="9"/>
  <c r="I278" i="9"/>
  <c r="I227" i="9"/>
  <c r="I202" i="9"/>
  <c r="I152" i="9"/>
  <c r="H127" i="9"/>
  <c r="G127" i="9"/>
  <c r="F127" i="9"/>
  <c r="E127" i="9"/>
  <c r="D127" i="9"/>
  <c r="H102" i="9"/>
  <c r="G102" i="9"/>
  <c r="F102" i="9"/>
  <c r="E102" i="9"/>
  <c r="D102" i="9"/>
  <c r="H77" i="9"/>
  <c r="G77" i="9"/>
  <c r="F77" i="9"/>
  <c r="E77" i="9"/>
  <c r="D77" i="9"/>
  <c r="I281" i="9"/>
  <c r="I155" i="9"/>
  <c r="H80" i="9"/>
  <c r="G80" i="9"/>
  <c r="F80" i="9"/>
  <c r="E80" i="9"/>
  <c r="D80" i="9"/>
  <c r="I55" i="9"/>
  <c r="I29" i="9"/>
  <c r="I26" i="9"/>
  <c r="I25" i="9"/>
  <c r="I20" i="9"/>
  <c r="I246" i="9"/>
  <c r="I45" i="9"/>
  <c r="I19" i="9"/>
  <c r="I15" i="9"/>
  <c r="AC101" i="15" l="1"/>
  <c r="AG243" i="15"/>
  <c r="AG132" i="15"/>
  <c r="AA105" i="15"/>
  <c r="AC227" i="15"/>
  <c r="Z132" i="15"/>
  <c r="AE102" i="15"/>
  <c r="X227" i="15"/>
  <c r="T103" i="15"/>
  <c r="X101" i="15"/>
  <c r="V105" i="15"/>
  <c r="J132" i="15"/>
  <c r="R132" i="15"/>
  <c r="H261" i="15"/>
  <c r="P261" i="15"/>
  <c r="X261" i="15"/>
  <c r="AF261" i="15"/>
  <c r="I261" i="15"/>
  <c r="Q261" i="15"/>
  <c r="Y261" i="15"/>
  <c r="AG261" i="15"/>
  <c r="J261" i="15"/>
  <c r="R261" i="15"/>
  <c r="Z261" i="15"/>
  <c r="AA261" i="15"/>
  <c r="K261" i="15"/>
  <c r="S261" i="15"/>
  <c r="L261" i="15"/>
  <c r="T261" i="15"/>
  <c r="AB261" i="15"/>
  <c r="E261" i="15"/>
  <c r="M261" i="15"/>
  <c r="U261" i="15"/>
  <c r="AC261" i="15"/>
  <c r="W261" i="15"/>
  <c r="F261" i="15"/>
  <c r="N261" i="15"/>
  <c r="V261" i="15"/>
  <c r="AD261" i="15"/>
  <c r="D261" i="15"/>
  <c r="G261" i="15"/>
  <c r="O261" i="15"/>
  <c r="AE261" i="15"/>
  <c r="K132" i="15"/>
  <c r="S132" i="15"/>
  <c r="AA132" i="15"/>
  <c r="H101" i="15"/>
  <c r="AG103" i="15"/>
  <c r="D132" i="15"/>
  <c r="L132" i="15"/>
  <c r="T132" i="15"/>
  <c r="AB132" i="15"/>
  <c r="G270" i="15"/>
  <c r="O270" i="15"/>
  <c r="W270" i="15"/>
  <c r="AE270" i="15"/>
  <c r="P270" i="15"/>
  <c r="AF270" i="15"/>
  <c r="H270" i="15"/>
  <c r="X270" i="15"/>
  <c r="I270" i="15"/>
  <c r="Q270" i="15"/>
  <c r="Y270" i="15"/>
  <c r="AG270" i="15"/>
  <c r="J270" i="15"/>
  <c r="Z270" i="15"/>
  <c r="R270" i="15"/>
  <c r="D270" i="15"/>
  <c r="K270" i="15"/>
  <c r="S270" i="15"/>
  <c r="AA270" i="15"/>
  <c r="V270" i="15"/>
  <c r="L270" i="15"/>
  <c r="T270" i="15"/>
  <c r="AB270" i="15"/>
  <c r="N270" i="15"/>
  <c r="E270" i="15"/>
  <c r="M270" i="15"/>
  <c r="U270" i="15"/>
  <c r="AC270" i="15"/>
  <c r="F270" i="15"/>
  <c r="AD270" i="15"/>
  <c r="E132" i="15"/>
  <c r="M132" i="15"/>
  <c r="U132" i="15"/>
  <c r="AC132" i="15"/>
  <c r="F132" i="15"/>
  <c r="N132" i="15"/>
  <c r="V132" i="15"/>
  <c r="AD132" i="15"/>
  <c r="F105" i="15"/>
  <c r="G132" i="15"/>
  <c r="O132" i="15"/>
  <c r="W132" i="15"/>
  <c r="AE132" i="15"/>
  <c r="H132" i="15"/>
  <c r="P132" i="15"/>
  <c r="X132" i="15"/>
  <c r="AF132" i="15"/>
  <c r="AA131" i="15"/>
  <c r="F148" i="15"/>
  <c r="N148" i="15"/>
  <c r="V148" i="15"/>
  <c r="AD148" i="15"/>
  <c r="AE148" i="15"/>
  <c r="G148" i="15"/>
  <c r="H148" i="15"/>
  <c r="P148" i="15"/>
  <c r="X148" i="15"/>
  <c r="I148" i="15"/>
  <c r="Q148" i="15"/>
  <c r="Y148" i="15"/>
  <c r="AG148" i="15"/>
  <c r="E148" i="15"/>
  <c r="O148" i="15"/>
  <c r="J148" i="15"/>
  <c r="R148" i="15"/>
  <c r="Z148" i="15"/>
  <c r="U148" i="15"/>
  <c r="K148" i="15"/>
  <c r="S148" i="15"/>
  <c r="AA148" i="15"/>
  <c r="AC148" i="15"/>
  <c r="W148" i="15"/>
  <c r="L148" i="15"/>
  <c r="T148" i="15"/>
  <c r="AB148" i="15"/>
  <c r="M148" i="15"/>
  <c r="AF148" i="15"/>
  <c r="I267" i="15"/>
  <c r="Q267" i="15"/>
  <c r="Y267" i="15"/>
  <c r="AG267" i="15"/>
  <c r="Z267" i="15"/>
  <c r="D267" i="15"/>
  <c r="J267" i="15"/>
  <c r="R267" i="15"/>
  <c r="K267" i="15"/>
  <c r="S267" i="15"/>
  <c r="AA267" i="15"/>
  <c r="T267" i="15"/>
  <c r="L267" i="15"/>
  <c r="AB267" i="15"/>
  <c r="E267" i="15"/>
  <c r="E265" i="15" s="1"/>
  <c r="M267" i="15"/>
  <c r="U267" i="15"/>
  <c r="AC267" i="15"/>
  <c r="F267" i="15"/>
  <c r="N267" i="15"/>
  <c r="V267" i="15"/>
  <c r="AD267" i="15"/>
  <c r="H267" i="15"/>
  <c r="AF267" i="15"/>
  <c r="G267" i="15"/>
  <c r="O267" i="15"/>
  <c r="W267" i="15"/>
  <c r="AE267" i="15"/>
  <c r="P267" i="15"/>
  <c r="X267" i="15"/>
  <c r="K264" i="15"/>
  <c r="S264" i="15"/>
  <c r="AA264" i="15"/>
  <c r="L264" i="15"/>
  <c r="T264" i="15"/>
  <c r="AB264" i="15"/>
  <c r="E264" i="15"/>
  <c r="M264" i="15"/>
  <c r="U264" i="15"/>
  <c r="AC264" i="15"/>
  <c r="F264" i="15"/>
  <c r="N264" i="15"/>
  <c r="V264" i="15"/>
  <c r="AD264" i="15"/>
  <c r="D264" i="15"/>
  <c r="G264" i="15"/>
  <c r="O264" i="15"/>
  <c r="W264" i="15"/>
  <c r="AE264" i="15"/>
  <c r="H264" i="15"/>
  <c r="P264" i="15"/>
  <c r="X264" i="15"/>
  <c r="AF264" i="15"/>
  <c r="J264" i="15"/>
  <c r="Z264" i="15"/>
  <c r="I264" i="15"/>
  <c r="Q264" i="15"/>
  <c r="Y264" i="15"/>
  <c r="AG264" i="15"/>
  <c r="R264" i="15"/>
  <c r="I132" i="15"/>
  <c r="Q132" i="15"/>
  <c r="Y132" i="15"/>
  <c r="V131" i="15"/>
  <c r="AF227" i="15"/>
  <c r="AD131" i="15"/>
  <c r="AB103" i="15"/>
  <c r="P101" i="15"/>
  <c r="N105" i="15"/>
  <c r="AF101" i="15"/>
  <c r="AD105" i="15"/>
  <c r="H227" i="15"/>
  <c r="F131" i="15"/>
  <c r="D103" i="15"/>
  <c r="P227" i="15"/>
  <c r="N131" i="15"/>
  <c r="L103" i="15"/>
  <c r="E179" i="15"/>
  <c r="M179" i="15"/>
  <c r="U179" i="15"/>
  <c r="AC179" i="15"/>
  <c r="AB179" i="15"/>
  <c r="F179" i="15"/>
  <c r="N179" i="15"/>
  <c r="V179" i="15"/>
  <c r="AD179" i="15"/>
  <c r="D179" i="15"/>
  <c r="G179" i="15"/>
  <c r="O179" i="15"/>
  <c r="W179" i="15"/>
  <c r="AE179" i="15"/>
  <c r="H179" i="15"/>
  <c r="P179" i="15"/>
  <c r="X179" i="15"/>
  <c r="AF179" i="15"/>
  <c r="Y179" i="15"/>
  <c r="Z179" i="15"/>
  <c r="T179" i="15"/>
  <c r="I179" i="15"/>
  <c r="Q179" i="15"/>
  <c r="AG179" i="15"/>
  <c r="J179" i="15"/>
  <c r="R179" i="15"/>
  <c r="K179" i="15"/>
  <c r="S179" i="15"/>
  <c r="AA179" i="15"/>
  <c r="L179" i="15"/>
  <c r="AC243" i="15"/>
  <c r="E243" i="15"/>
  <c r="Z243" i="15"/>
  <c r="Y243" i="15"/>
  <c r="U243" i="15"/>
  <c r="R243" i="15"/>
  <c r="I243" i="15"/>
  <c r="Q243" i="15"/>
  <c r="M243" i="15"/>
  <c r="AE243" i="15"/>
  <c r="AA243" i="15"/>
  <c r="L243" i="15"/>
  <c r="AB243" i="15"/>
  <c r="D243" i="15"/>
  <c r="T243" i="15"/>
  <c r="S243" i="15"/>
  <c r="O243" i="15"/>
  <c r="J243" i="15"/>
  <c r="AD243" i="15"/>
  <c r="G243" i="15"/>
  <c r="K243" i="15"/>
  <c r="W243" i="15"/>
  <c r="F243" i="15"/>
  <c r="N243" i="15"/>
  <c r="AF243" i="15"/>
  <c r="X243" i="15"/>
  <c r="P243" i="15"/>
  <c r="H243" i="15"/>
  <c r="V243" i="15"/>
  <c r="F227" i="15"/>
  <c r="N227" i="15"/>
  <c r="V227" i="15"/>
  <c r="AD227" i="15"/>
  <c r="D131" i="15"/>
  <c r="L131" i="15"/>
  <c r="T131" i="15"/>
  <c r="AB131" i="15"/>
  <c r="F101" i="15"/>
  <c r="N101" i="15"/>
  <c r="V101" i="15"/>
  <c r="AD101" i="15"/>
  <c r="H102" i="15"/>
  <c r="P102" i="15"/>
  <c r="X102" i="15"/>
  <c r="AF102" i="15"/>
  <c r="J103" i="15"/>
  <c r="R103" i="15"/>
  <c r="Z103" i="15"/>
  <c r="D105" i="15"/>
  <c r="L105" i="15"/>
  <c r="T105" i="15"/>
  <c r="AB105" i="15"/>
  <c r="H260" i="15"/>
  <c r="P260" i="15"/>
  <c r="X260" i="15"/>
  <c r="AF260" i="15"/>
  <c r="O260" i="15"/>
  <c r="I260" i="15"/>
  <c r="Q260" i="15"/>
  <c r="Y260" i="15"/>
  <c r="AG260" i="15"/>
  <c r="D260" i="15"/>
  <c r="AE260" i="15"/>
  <c r="J260" i="15"/>
  <c r="R260" i="15"/>
  <c r="Z260" i="15"/>
  <c r="G260" i="15"/>
  <c r="K260" i="15"/>
  <c r="S260" i="15"/>
  <c r="AA260" i="15"/>
  <c r="W260" i="15"/>
  <c r="L260" i="15"/>
  <c r="T260" i="15"/>
  <c r="AB260" i="15"/>
  <c r="E260" i="15"/>
  <c r="M260" i="15"/>
  <c r="U260" i="15"/>
  <c r="AC260" i="15"/>
  <c r="F260" i="15"/>
  <c r="N260" i="15"/>
  <c r="V260" i="15"/>
  <c r="AD260" i="15"/>
  <c r="K163" i="15"/>
  <c r="S163" i="15"/>
  <c r="AA163" i="15"/>
  <c r="W163" i="15"/>
  <c r="P163" i="15"/>
  <c r="L163" i="15"/>
  <c r="T163" i="15"/>
  <c r="AB163" i="15"/>
  <c r="E163" i="15"/>
  <c r="M163" i="15"/>
  <c r="U163" i="15"/>
  <c r="AC163" i="15"/>
  <c r="AE163" i="15"/>
  <c r="X163" i="15"/>
  <c r="Z163" i="15"/>
  <c r="F163" i="15"/>
  <c r="N163" i="15"/>
  <c r="V163" i="15"/>
  <c r="AD163" i="15"/>
  <c r="D163" i="15"/>
  <c r="G163" i="15"/>
  <c r="O163" i="15"/>
  <c r="AF163" i="15"/>
  <c r="R163" i="15"/>
  <c r="H163" i="15"/>
  <c r="I163" i="15"/>
  <c r="Q163" i="15"/>
  <c r="Y163" i="15"/>
  <c r="AG163" i="15"/>
  <c r="J163" i="15"/>
  <c r="G227" i="15"/>
  <c r="O227" i="15"/>
  <c r="W227" i="15"/>
  <c r="AE227" i="15"/>
  <c r="E131" i="15"/>
  <c r="M131" i="15"/>
  <c r="U131" i="15"/>
  <c r="AC131" i="15"/>
  <c r="G101" i="15"/>
  <c r="O101" i="15"/>
  <c r="W101" i="15"/>
  <c r="AE101" i="15"/>
  <c r="I102" i="15"/>
  <c r="Q102" i="15"/>
  <c r="Y102" i="15"/>
  <c r="AG102" i="15"/>
  <c r="K103" i="15"/>
  <c r="S103" i="15"/>
  <c r="AA103" i="15"/>
  <c r="E105" i="15"/>
  <c r="M105" i="15"/>
  <c r="U105" i="15"/>
  <c r="AC105" i="15"/>
  <c r="J102" i="15"/>
  <c r="I227" i="15"/>
  <c r="Q227" i="15"/>
  <c r="Y227" i="15"/>
  <c r="AG227" i="15"/>
  <c r="G131" i="15"/>
  <c r="O131" i="15"/>
  <c r="W131" i="15"/>
  <c r="AE131" i="15"/>
  <c r="I101" i="15"/>
  <c r="Q101" i="15"/>
  <c r="Y101" i="15"/>
  <c r="AG101" i="15"/>
  <c r="K102" i="15"/>
  <c r="S102" i="15"/>
  <c r="AA102" i="15"/>
  <c r="E103" i="15"/>
  <c r="M103" i="15"/>
  <c r="U103" i="15"/>
  <c r="AC103" i="15"/>
  <c r="G105" i="15"/>
  <c r="O105" i="15"/>
  <c r="W105" i="15"/>
  <c r="AE105" i="15"/>
  <c r="Z102" i="15"/>
  <c r="J227" i="15"/>
  <c r="R227" i="15"/>
  <c r="Z227" i="15"/>
  <c r="H131" i="15"/>
  <c r="P131" i="15"/>
  <c r="X131" i="15"/>
  <c r="AF131" i="15"/>
  <c r="J101" i="15"/>
  <c r="R101" i="15"/>
  <c r="Z101" i="15"/>
  <c r="D102" i="15"/>
  <c r="L102" i="15"/>
  <c r="T102" i="15"/>
  <c r="AB102" i="15"/>
  <c r="F103" i="15"/>
  <c r="N103" i="15"/>
  <c r="V103" i="15"/>
  <c r="AD103" i="15"/>
  <c r="H105" i="15"/>
  <c r="P105" i="15"/>
  <c r="X105" i="15"/>
  <c r="AF105" i="15"/>
  <c r="K227" i="15"/>
  <c r="S227" i="15"/>
  <c r="AA227" i="15"/>
  <c r="I131" i="15"/>
  <c r="Q131" i="15"/>
  <c r="Y131" i="15"/>
  <c r="AG131" i="15"/>
  <c r="K101" i="15"/>
  <c r="S101" i="15"/>
  <c r="AA101" i="15"/>
  <c r="E102" i="15"/>
  <c r="M102" i="15"/>
  <c r="U102" i="15"/>
  <c r="AC102" i="15"/>
  <c r="G103" i="15"/>
  <c r="O103" i="15"/>
  <c r="W103" i="15"/>
  <c r="AE103" i="15"/>
  <c r="I105" i="15"/>
  <c r="Q105" i="15"/>
  <c r="Y105" i="15"/>
  <c r="AG105" i="15"/>
  <c r="F263" i="15"/>
  <c r="N263" i="15"/>
  <c r="V263" i="15"/>
  <c r="AD263" i="15"/>
  <c r="AC263" i="15"/>
  <c r="G263" i="15"/>
  <c r="O263" i="15"/>
  <c r="W263" i="15"/>
  <c r="AE263" i="15"/>
  <c r="H263" i="15"/>
  <c r="P263" i="15"/>
  <c r="X263" i="15"/>
  <c r="AF263" i="15"/>
  <c r="I263" i="15"/>
  <c r="Q263" i="15"/>
  <c r="Y263" i="15"/>
  <c r="AG263" i="15"/>
  <c r="J263" i="15"/>
  <c r="R263" i="15"/>
  <c r="Z263" i="15"/>
  <c r="D263" i="15"/>
  <c r="E263" i="15"/>
  <c r="K263" i="15"/>
  <c r="S263" i="15"/>
  <c r="AA263" i="15"/>
  <c r="M263" i="15"/>
  <c r="L263" i="15"/>
  <c r="T263" i="15"/>
  <c r="AB263" i="15"/>
  <c r="U263" i="15"/>
  <c r="F262" i="15"/>
  <c r="N262" i="15"/>
  <c r="V262" i="15"/>
  <c r="AD262" i="15"/>
  <c r="G262" i="15"/>
  <c r="O262" i="15"/>
  <c r="W262" i="15"/>
  <c r="AE262" i="15"/>
  <c r="H262" i="15"/>
  <c r="P262" i="15"/>
  <c r="X262" i="15"/>
  <c r="AF262" i="15"/>
  <c r="AC262" i="15"/>
  <c r="I262" i="15"/>
  <c r="Q262" i="15"/>
  <c r="Y262" i="15"/>
  <c r="AG262" i="15"/>
  <c r="D262" i="15"/>
  <c r="J262" i="15"/>
  <c r="R262" i="15"/>
  <c r="Z262" i="15"/>
  <c r="U262" i="15"/>
  <c r="K262" i="15"/>
  <c r="S262" i="15"/>
  <c r="AA262" i="15"/>
  <c r="M262" i="15"/>
  <c r="L262" i="15"/>
  <c r="T262" i="15"/>
  <c r="AB262" i="15"/>
  <c r="E262" i="15"/>
  <c r="D227" i="15"/>
  <c r="L227" i="15"/>
  <c r="T227" i="15"/>
  <c r="AB227" i="15"/>
  <c r="J131" i="15"/>
  <c r="R131" i="15"/>
  <c r="Z131" i="15"/>
  <c r="D101" i="15"/>
  <c r="L101" i="15"/>
  <c r="T101" i="15"/>
  <c r="AB101" i="15"/>
  <c r="F102" i="15"/>
  <c r="N102" i="15"/>
  <c r="V102" i="15"/>
  <c r="AD102" i="15"/>
  <c r="H103" i="15"/>
  <c r="P103" i="15"/>
  <c r="X103" i="15"/>
  <c r="AF103" i="15"/>
  <c r="J105" i="15"/>
  <c r="R105" i="15"/>
  <c r="Z105" i="15"/>
  <c r="J147" i="15"/>
  <c r="R147" i="15"/>
  <c r="Z147" i="15"/>
  <c r="S147" i="15"/>
  <c r="K147" i="15"/>
  <c r="AA147" i="15"/>
  <c r="Q147" i="15"/>
  <c r="L147" i="15"/>
  <c r="T147" i="15"/>
  <c r="AB147" i="15"/>
  <c r="U147" i="15"/>
  <c r="D147" i="15"/>
  <c r="M147" i="15"/>
  <c r="AC147" i="15"/>
  <c r="G147" i="15"/>
  <c r="N147" i="15"/>
  <c r="V147" i="15"/>
  <c r="AD147" i="15"/>
  <c r="AE147" i="15"/>
  <c r="AG147" i="15"/>
  <c r="E147" i="15"/>
  <c r="O147" i="15"/>
  <c r="W147" i="15"/>
  <c r="F147" i="15"/>
  <c r="P147" i="15"/>
  <c r="X147" i="15"/>
  <c r="AF147" i="15"/>
  <c r="Y147" i="15"/>
  <c r="H147" i="15"/>
  <c r="I147" i="15"/>
  <c r="R102" i="15"/>
  <c r="E227" i="15"/>
  <c r="M227" i="15"/>
  <c r="U227" i="15"/>
  <c r="K131" i="15"/>
  <c r="S131" i="15"/>
  <c r="E101" i="15"/>
  <c r="M101" i="15"/>
  <c r="U101" i="15"/>
  <c r="G102" i="15"/>
  <c r="O102" i="15"/>
  <c r="W102" i="15"/>
  <c r="I103" i="15"/>
  <c r="Q103" i="15"/>
  <c r="Y103" i="15"/>
  <c r="K105" i="15"/>
  <c r="S105" i="15"/>
  <c r="C73" i="12"/>
  <c r="O265" i="15" l="1"/>
  <c r="S265" i="15"/>
  <c r="Q265" i="15"/>
  <c r="M265" i="15"/>
  <c r="AC265" i="15"/>
  <c r="AE265" i="15"/>
  <c r="N265" i="15"/>
  <c r="J265" i="15"/>
  <c r="P265" i="15"/>
  <c r="V265" i="15"/>
  <c r="L265" i="15"/>
  <c r="F265" i="15"/>
  <c r="AF265" i="15"/>
  <c r="AD265" i="15"/>
  <c r="Z265" i="15"/>
  <c r="T265" i="15"/>
  <c r="AG265" i="15"/>
  <c r="X265" i="15"/>
  <c r="D265" i="15"/>
  <c r="W265" i="15"/>
  <c r="AA265" i="15"/>
  <c r="Y265" i="15"/>
  <c r="G265" i="15"/>
  <c r="U265" i="15"/>
  <c r="K265" i="15"/>
  <c r="I265" i="15"/>
  <c r="R265" i="15"/>
  <c r="H265" i="15"/>
  <c r="AB265" i="15"/>
  <c r="N259" i="15"/>
  <c r="L259" i="15"/>
  <c r="J259" i="15"/>
  <c r="AF259" i="15"/>
  <c r="AD259" i="15"/>
  <c r="AB259" i="15"/>
  <c r="Z259" i="15"/>
  <c r="I259" i="15"/>
  <c r="V259" i="15"/>
  <c r="T259" i="15"/>
  <c r="R259" i="15"/>
  <c r="O259" i="15"/>
  <c r="F259" i="15"/>
  <c r="W259" i="15"/>
  <c r="AE259" i="15"/>
  <c r="X259" i="15"/>
  <c r="AC259" i="15"/>
  <c r="AA259" i="15"/>
  <c r="D259" i="15"/>
  <c r="P259" i="15"/>
  <c r="U259" i="15"/>
  <c r="S259" i="15"/>
  <c r="AG259" i="15"/>
  <c r="H259" i="15"/>
  <c r="M259" i="15"/>
  <c r="K259" i="15"/>
  <c r="Y259" i="15"/>
  <c r="E259" i="15"/>
  <c r="G259" i="15"/>
  <c r="Q259" i="15"/>
  <c r="C87" i="12" l="1"/>
  <c r="C86" i="12"/>
  <c r="E270" i="13" l="1"/>
  <c r="F270" i="13"/>
  <c r="G270" i="13"/>
  <c r="H270" i="13"/>
  <c r="J270" i="13"/>
  <c r="K270" i="13"/>
  <c r="N270" i="13"/>
  <c r="O270" i="13"/>
  <c r="D270" i="13"/>
  <c r="D320" i="13" s="1"/>
  <c r="N286" i="13" l="1"/>
  <c r="J286" i="13"/>
  <c r="F320" i="13"/>
  <c r="G286" i="13"/>
  <c r="F286" i="13"/>
  <c r="E320" i="13"/>
  <c r="E286" i="13"/>
  <c r="K286" i="13"/>
  <c r="I320" i="13"/>
  <c r="H286" i="13"/>
  <c r="G320" i="13"/>
  <c r="L320" i="13"/>
  <c r="O286" i="13"/>
  <c r="D286" i="13"/>
  <c r="H357" i="18" l="1"/>
  <c r="AF417" i="18"/>
  <c r="AE417" i="18"/>
  <c r="AD417" i="18"/>
  <c r="AC417" i="18"/>
  <c r="AB417" i="18"/>
  <c r="AA417" i="18"/>
  <c r="Z417" i="18"/>
  <c r="Y417" i="18"/>
  <c r="X417" i="18"/>
  <c r="W417" i="18"/>
  <c r="V417" i="18"/>
  <c r="U417" i="18"/>
  <c r="T417" i="18"/>
  <c r="S417" i="18"/>
  <c r="R417" i="18"/>
  <c r="Q417" i="18"/>
  <c r="P417" i="18"/>
  <c r="O417" i="18"/>
  <c r="N417" i="18"/>
  <c r="M417" i="18"/>
  <c r="L417" i="18"/>
  <c r="K417" i="18"/>
  <c r="J417" i="18"/>
  <c r="I417" i="18"/>
  <c r="H417" i="18"/>
  <c r="G417" i="18"/>
  <c r="F417" i="18"/>
  <c r="E417" i="18"/>
  <c r="D417" i="18"/>
  <c r="C417" i="18"/>
  <c r="AF416" i="18"/>
  <c r="AE416" i="18"/>
  <c r="AD416" i="18"/>
  <c r="AC416" i="18"/>
  <c r="AB416" i="18"/>
  <c r="AA416" i="18"/>
  <c r="Z416" i="18"/>
  <c r="Y416" i="18"/>
  <c r="X416" i="18"/>
  <c r="W416" i="18"/>
  <c r="V416" i="18"/>
  <c r="U416" i="18"/>
  <c r="T416" i="18"/>
  <c r="S416" i="18"/>
  <c r="R416" i="18"/>
  <c r="Q416" i="18"/>
  <c r="P416" i="18"/>
  <c r="O416" i="18"/>
  <c r="N416" i="18"/>
  <c r="M416" i="18"/>
  <c r="L416" i="18"/>
  <c r="K416" i="18"/>
  <c r="J416" i="18"/>
  <c r="I416" i="18"/>
  <c r="H416" i="18"/>
  <c r="G416" i="18"/>
  <c r="F416" i="18"/>
  <c r="E416" i="18"/>
  <c r="D416" i="18"/>
  <c r="C416" i="18"/>
  <c r="AF415" i="18"/>
  <c r="AE415" i="18"/>
  <c r="AD415" i="18"/>
  <c r="AC415" i="18"/>
  <c r="AB415" i="18"/>
  <c r="AA415" i="18"/>
  <c r="Z415" i="18"/>
  <c r="Y415" i="18"/>
  <c r="X415" i="18"/>
  <c r="W415" i="18"/>
  <c r="V415" i="18"/>
  <c r="U415" i="18"/>
  <c r="T415" i="18"/>
  <c r="S415" i="18"/>
  <c r="R415" i="18"/>
  <c r="Q415" i="18"/>
  <c r="P415" i="18"/>
  <c r="O415" i="18"/>
  <c r="N415" i="18"/>
  <c r="M415" i="18"/>
  <c r="L415" i="18"/>
  <c r="K415" i="18"/>
  <c r="J415" i="18"/>
  <c r="I415" i="18"/>
  <c r="H415" i="18"/>
  <c r="G415" i="18"/>
  <c r="F415" i="18"/>
  <c r="E415" i="18"/>
  <c r="D415" i="18"/>
  <c r="C415" i="18"/>
  <c r="AF414" i="18"/>
  <c r="AE414" i="18"/>
  <c r="AD414" i="18"/>
  <c r="AC414" i="18"/>
  <c r="AB414" i="18"/>
  <c r="AA414" i="18"/>
  <c r="Z414" i="18"/>
  <c r="Y414" i="18"/>
  <c r="X414" i="18"/>
  <c r="W414" i="18"/>
  <c r="V414" i="18"/>
  <c r="U414" i="18"/>
  <c r="T414" i="18"/>
  <c r="S414" i="18"/>
  <c r="R414" i="18"/>
  <c r="Q414" i="18"/>
  <c r="P414" i="18"/>
  <c r="O414" i="18"/>
  <c r="N414" i="18"/>
  <c r="M414" i="18"/>
  <c r="L414" i="18"/>
  <c r="K414" i="18"/>
  <c r="J414" i="18"/>
  <c r="I414" i="18"/>
  <c r="H414" i="18"/>
  <c r="G414" i="18"/>
  <c r="F414" i="18"/>
  <c r="E414" i="18"/>
  <c r="D414" i="18"/>
  <c r="C414" i="18"/>
  <c r="AF413" i="18"/>
  <c r="AE413" i="18"/>
  <c r="AD413" i="18"/>
  <c r="AC413" i="18"/>
  <c r="AB413" i="18"/>
  <c r="AA413" i="18"/>
  <c r="Z413" i="18"/>
  <c r="Y413" i="18"/>
  <c r="X413" i="18"/>
  <c r="W413" i="18"/>
  <c r="V413" i="18"/>
  <c r="U413" i="18"/>
  <c r="T413" i="18"/>
  <c r="S413" i="18"/>
  <c r="R413" i="18"/>
  <c r="Q413" i="18"/>
  <c r="P413" i="18"/>
  <c r="O413" i="18"/>
  <c r="N413" i="18"/>
  <c r="M413" i="18"/>
  <c r="L413" i="18"/>
  <c r="K413" i="18"/>
  <c r="J413" i="18"/>
  <c r="I413" i="18"/>
  <c r="H413" i="18"/>
  <c r="G413" i="18"/>
  <c r="F413" i="18"/>
  <c r="E413" i="18"/>
  <c r="D413" i="18"/>
  <c r="C413" i="18"/>
  <c r="AF412" i="18"/>
  <c r="AE412" i="18"/>
  <c r="AD412" i="18"/>
  <c r="AC412" i="18"/>
  <c r="AB412" i="18"/>
  <c r="AA412" i="18"/>
  <c r="Z412" i="18"/>
  <c r="Y412" i="18"/>
  <c r="X412" i="18"/>
  <c r="W412" i="18"/>
  <c r="V412" i="18"/>
  <c r="U412" i="18"/>
  <c r="T412" i="18"/>
  <c r="S412" i="18"/>
  <c r="R412" i="18"/>
  <c r="Q412" i="18"/>
  <c r="P412" i="18"/>
  <c r="O412" i="18"/>
  <c r="N412" i="18"/>
  <c r="M412" i="18"/>
  <c r="L412" i="18"/>
  <c r="K412" i="18"/>
  <c r="J412" i="18"/>
  <c r="I412" i="18"/>
  <c r="H412" i="18"/>
  <c r="G412" i="18"/>
  <c r="F412" i="18"/>
  <c r="E412" i="18"/>
  <c r="D412" i="18"/>
  <c r="C412" i="18"/>
  <c r="AF408" i="18"/>
  <c r="AE408" i="18"/>
  <c r="AD408" i="18"/>
  <c r="AC408" i="18"/>
  <c r="AB408" i="18"/>
  <c r="AA408" i="18"/>
  <c r="Z408" i="18"/>
  <c r="Y408" i="18"/>
  <c r="X408" i="18"/>
  <c r="W408" i="18"/>
  <c r="V408" i="18"/>
  <c r="U408" i="18"/>
  <c r="T408" i="18"/>
  <c r="S408" i="18"/>
  <c r="R408" i="18"/>
  <c r="Q408" i="18"/>
  <c r="P408" i="18"/>
  <c r="O408" i="18"/>
  <c r="N408" i="18"/>
  <c r="M408" i="18"/>
  <c r="L408" i="18"/>
  <c r="K408" i="18"/>
  <c r="J408" i="18"/>
  <c r="I408" i="18"/>
  <c r="H408" i="18"/>
  <c r="G408" i="18"/>
  <c r="F408" i="18"/>
  <c r="E408" i="18"/>
  <c r="D408" i="18"/>
  <c r="C408" i="18"/>
  <c r="AF407" i="18"/>
  <c r="AE407" i="18"/>
  <c r="AD407" i="18"/>
  <c r="AC407" i="18"/>
  <c r="AB407" i="18"/>
  <c r="AA407" i="18"/>
  <c r="Z407" i="18"/>
  <c r="Y407" i="18"/>
  <c r="X407" i="18"/>
  <c r="W407" i="18"/>
  <c r="V407" i="18"/>
  <c r="U407" i="18"/>
  <c r="T407" i="18"/>
  <c r="S407" i="18"/>
  <c r="R407" i="18"/>
  <c r="Q407" i="18"/>
  <c r="P407" i="18"/>
  <c r="O407" i="18"/>
  <c r="N407" i="18"/>
  <c r="M407" i="18"/>
  <c r="L407" i="18"/>
  <c r="K407" i="18"/>
  <c r="J407" i="18"/>
  <c r="I407" i="18"/>
  <c r="H407" i="18"/>
  <c r="G407" i="18"/>
  <c r="F407" i="18"/>
  <c r="E407" i="18"/>
  <c r="D407" i="18"/>
  <c r="C407" i="18"/>
  <c r="AF406" i="18"/>
  <c r="AE406" i="18"/>
  <c r="AD406" i="18"/>
  <c r="AC406" i="18"/>
  <c r="AB406" i="18"/>
  <c r="AA406" i="18"/>
  <c r="Z406" i="18"/>
  <c r="Y406" i="18"/>
  <c r="X406" i="18"/>
  <c r="W406" i="18"/>
  <c r="V406" i="18"/>
  <c r="U406" i="18"/>
  <c r="T406" i="18"/>
  <c r="S406" i="18"/>
  <c r="R406" i="18"/>
  <c r="Q406" i="18"/>
  <c r="P406" i="18"/>
  <c r="O406" i="18"/>
  <c r="N406" i="18"/>
  <c r="M406" i="18"/>
  <c r="L406" i="18"/>
  <c r="K406" i="18"/>
  <c r="J406" i="18"/>
  <c r="I406" i="18"/>
  <c r="H406" i="18"/>
  <c r="G406" i="18"/>
  <c r="F406" i="18"/>
  <c r="E406" i="18"/>
  <c r="D406" i="18"/>
  <c r="C406" i="18"/>
  <c r="AF405" i="18"/>
  <c r="AE405" i="18"/>
  <c r="AD405" i="18"/>
  <c r="AC405" i="18"/>
  <c r="AB405" i="18"/>
  <c r="AA405" i="18"/>
  <c r="Z405" i="18"/>
  <c r="Y405" i="18"/>
  <c r="X405" i="18"/>
  <c r="W405" i="18"/>
  <c r="V405" i="18"/>
  <c r="U405" i="18"/>
  <c r="T405" i="18"/>
  <c r="S405" i="18"/>
  <c r="R405" i="18"/>
  <c r="Q405" i="18"/>
  <c r="P405" i="18"/>
  <c r="O405" i="18"/>
  <c r="N405" i="18"/>
  <c r="M405" i="18"/>
  <c r="L405" i="18"/>
  <c r="K405" i="18"/>
  <c r="J405" i="18"/>
  <c r="I405" i="18"/>
  <c r="H405" i="18"/>
  <c r="G405" i="18"/>
  <c r="F405" i="18"/>
  <c r="E405" i="18"/>
  <c r="D405" i="18"/>
  <c r="C405" i="18"/>
  <c r="AF404" i="18"/>
  <c r="AE404" i="18"/>
  <c r="AD404" i="18"/>
  <c r="AC404" i="18"/>
  <c r="AB404" i="18"/>
  <c r="AA404" i="18"/>
  <c r="Z404" i="18"/>
  <c r="Y404" i="18"/>
  <c r="X404" i="18"/>
  <c r="W404" i="18"/>
  <c r="V404" i="18"/>
  <c r="U404" i="18"/>
  <c r="T404" i="18"/>
  <c r="S404" i="18"/>
  <c r="R404" i="18"/>
  <c r="Q404" i="18"/>
  <c r="P404" i="18"/>
  <c r="O404" i="18"/>
  <c r="N404" i="18"/>
  <c r="M404" i="18"/>
  <c r="L404" i="18"/>
  <c r="K404" i="18"/>
  <c r="J404" i="18"/>
  <c r="I404" i="18"/>
  <c r="H404" i="18"/>
  <c r="G404" i="18"/>
  <c r="F404" i="18"/>
  <c r="E404" i="18"/>
  <c r="D404" i="18"/>
  <c r="C404" i="18"/>
  <c r="AF403" i="18"/>
  <c r="AE403" i="18"/>
  <c r="AD403" i="18"/>
  <c r="AC403" i="18"/>
  <c r="AB403" i="18"/>
  <c r="AA403" i="18"/>
  <c r="Z403" i="18"/>
  <c r="Y403" i="18"/>
  <c r="X403" i="18"/>
  <c r="W403" i="18"/>
  <c r="V403" i="18"/>
  <c r="U403" i="18"/>
  <c r="T403" i="18"/>
  <c r="S403" i="18"/>
  <c r="R403" i="18"/>
  <c r="Q403" i="18"/>
  <c r="P403" i="18"/>
  <c r="O403" i="18"/>
  <c r="N403" i="18"/>
  <c r="M403" i="18"/>
  <c r="L403" i="18"/>
  <c r="K403" i="18"/>
  <c r="J403" i="18"/>
  <c r="I403" i="18"/>
  <c r="H403" i="18"/>
  <c r="G403" i="18"/>
  <c r="F403" i="18"/>
  <c r="E403" i="18"/>
  <c r="D403" i="18"/>
  <c r="C403" i="18"/>
  <c r="AF397" i="18"/>
  <c r="AE397" i="18"/>
  <c r="AD397" i="18"/>
  <c r="AC397" i="18"/>
  <c r="AB397" i="18"/>
  <c r="AA397" i="18"/>
  <c r="Z397" i="18"/>
  <c r="Y397" i="18"/>
  <c r="X397" i="18"/>
  <c r="W397" i="18"/>
  <c r="V397" i="18"/>
  <c r="U397" i="18"/>
  <c r="T397" i="18"/>
  <c r="S397" i="18"/>
  <c r="R397" i="18"/>
  <c r="Q397" i="18"/>
  <c r="P397" i="18"/>
  <c r="O397" i="18"/>
  <c r="N397" i="18"/>
  <c r="M397" i="18"/>
  <c r="L397" i="18"/>
  <c r="K397" i="18"/>
  <c r="J397" i="18"/>
  <c r="I397" i="18"/>
  <c r="H397" i="18"/>
  <c r="G397" i="18"/>
  <c r="F397" i="18"/>
  <c r="E397" i="18"/>
  <c r="D397" i="18"/>
  <c r="C397" i="18"/>
  <c r="AF396" i="18"/>
  <c r="AE396" i="18"/>
  <c r="AD396" i="18"/>
  <c r="AC396" i="18"/>
  <c r="AB396" i="18"/>
  <c r="AA396" i="18"/>
  <c r="Z396" i="18"/>
  <c r="Y396" i="18"/>
  <c r="X396" i="18"/>
  <c r="W396" i="18"/>
  <c r="V396" i="18"/>
  <c r="U396" i="18"/>
  <c r="T396" i="18"/>
  <c r="S396" i="18"/>
  <c r="R396" i="18"/>
  <c r="Q396" i="18"/>
  <c r="P396" i="18"/>
  <c r="O396" i="18"/>
  <c r="N396" i="18"/>
  <c r="M396" i="18"/>
  <c r="L396" i="18"/>
  <c r="K396" i="18"/>
  <c r="J396" i="18"/>
  <c r="I396" i="18"/>
  <c r="H396" i="18"/>
  <c r="G396" i="18"/>
  <c r="F396" i="18"/>
  <c r="E396" i="18"/>
  <c r="D396" i="18"/>
  <c r="C396" i="18"/>
  <c r="AF395" i="18"/>
  <c r="AE395" i="18"/>
  <c r="AD395" i="18"/>
  <c r="AC395" i="18"/>
  <c r="AB395" i="18"/>
  <c r="AA395" i="18"/>
  <c r="Z395" i="18"/>
  <c r="Y395" i="18"/>
  <c r="X395" i="18"/>
  <c r="W395" i="18"/>
  <c r="V395" i="18"/>
  <c r="U395" i="18"/>
  <c r="T395" i="18"/>
  <c r="S395" i="18"/>
  <c r="R395" i="18"/>
  <c r="Q395" i="18"/>
  <c r="P395" i="18"/>
  <c r="O395" i="18"/>
  <c r="N395" i="18"/>
  <c r="M395" i="18"/>
  <c r="L395" i="18"/>
  <c r="K395" i="18"/>
  <c r="J395" i="18"/>
  <c r="I395" i="18"/>
  <c r="H395" i="18"/>
  <c r="G395" i="18"/>
  <c r="F395" i="18"/>
  <c r="E395" i="18"/>
  <c r="D395" i="18"/>
  <c r="C395" i="18"/>
  <c r="AF394" i="18"/>
  <c r="AE394" i="18"/>
  <c r="AD394" i="18"/>
  <c r="AC394" i="18"/>
  <c r="AB394" i="18"/>
  <c r="AA394" i="18"/>
  <c r="Z394" i="18"/>
  <c r="Y394" i="18"/>
  <c r="X394" i="18"/>
  <c r="W394" i="18"/>
  <c r="V394" i="18"/>
  <c r="U394" i="18"/>
  <c r="T394" i="18"/>
  <c r="S394" i="18"/>
  <c r="R394" i="18"/>
  <c r="Q394" i="18"/>
  <c r="P394" i="18"/>
  <c r="O394" i="18"/>
  <c r="N394" i="18"/>
  <c r="M394" i="18"/>
  <c r="L394" i="18"/>
  <c r="K394" i="18"/>
  <c r="J394" i="18"/>
  <c r="I394" i="18"/>
  <c r="H394" i="18"/>
  <c r="G394" i="18"/>
  <c r="F394" i="18"/>
  <c r="E394" i="18"/>
  <c r="D394" i="18"/>
  <c r="C394" i="18"/>
  <c r="AF393" i="18"/>
  <c r="AE393" i="18"/>
  <c r="AD393" i="18"/>
  <c r="AC393" i="18"/>
  <c r="AB393" i="18"/>
  <c r="AA393" i="18"/>
  <c r="Z393" i="18"/>
  <c r="Y393" i="18"/>
  <c r="X393" i="18"/>
  <c r="W393" i="18"/>
  <c r="V393" i="18"/>
  <c r="U393" i="18"/>
  <c r="T393" i="18"/>
  <c r="S393" i="18"/>
  <c r="R393" i="18"/>
  <c r="Q393" i="18"/>
  <c r="P393" i="18"/>
  <c r="O393" i="18"/>
  <c r="N393" i="18"/>
  <c r="M393" i="18"/>
  <c r="L393" i="18"/>
  <c r="K393" i="18"/>
  <c r="J393" i="18"/>
  <c r="I393" i="18"/>
  <c r="H393" i="18"/>
  <c r="G393" i="18"/>
  <c r="F393" i="18"/>
  <c r="E393" i="18"/>
  <c r="D393" i="18"/>
  <c r="C393" i="18"/>
  <c r="AF392" i="18"/>
  <c r="AE392" i="18"/>
  <c r="AD392" i="18"/>
  <c r="AC392" i="18"/>
  <c r="AB392" i="18"/>
  <c r="AA392" i="18"/>
  <c r="Z392" i="18"/>
  <c r="Y392" i="18"/>
  <c r="X392" i="18"/>
  <c r="W392" i="18"/>
  <c r="V392" i="18"/>
  <c r="U392" i="18"/>
  <c r="T392" i="18"/>
  <c r="S392" i="18"/>
  <c r="R392" i="18"/>
  <c r="Q392" i="18"/>
  <c r="P392" i="18"/>
  <c r="O392" i="18"/>
  <c r="N392" i="18"/>
  <c r="M392" i="18"/>
  <c r="L392" i="18"/>
  <c r="K392" i="18"/>
  <c r="J392" i="18"/>
  <c r="I392" i="18"/>
  <c r="H392" i="18"/>
  <c r="G392" i="18"/>
  <c r="F392" i="18"/>
  <c r="E392" i="18"/>
  <c r="D392" i="18"/>
  <c r="C392" i="18"/>
  <c r="AF388" i="18"/>
  <c r="AE388" i="18"/>
  <c r="AD388" i="18"/>
  <c r="AC388" i="18"/>
  <c r="AB388" i="18"/>
  <c r="AA388" i="18"/>
  <c r="Z388" i="18"/>
  <c r="Y388" i="18"/>
  <c r="X388" i="18"/>
  <c r="W388" i="18"/>
  <c r="V388" i="18"/>
  <c r="U388" i="18"/>
  <c r="T388" i="18"/>
  <c r="S388" i="18"/>
  <c r="R388" i="18"/>
  <c r="Q388" i="18"/>
  <c r="P388" i="18"/>
  <c r="O388" i="18"/>
  <c r="N388" i="18"/>
  <c r="M388" i="18"/>
  <c r="L388" i="18"/>
  <c r="K388" i="18"/>
  <c r="J388" i="18"/>
  <c r="I388" i="18"/>
  <c r="H388" i="18"/>
  <c r="G388" i="18"/>
  <c r="F388" i="18"/>
  <c r="E388" i="18"/>
  <c r="D388" i="18"/>
  <c r="C388" i="18"/>
  <c r="AF387" i="18"/>
  <c r="AE387" i="18"/>
  <c r="AD387" i="18"/>
  <c r="AC387" i="18"/>
  <c r="AB387" i="18"/>
  <c r="AA387" i="18"/>
  <c r="Z387" i="18"/>
  <c r="Y387" i="18"/>
  <c r="X387" i="18"/>
  <c r="W387" i="18"/>
  <c r="V387" i="18"/>
  <c r="U387" i="18"/>
  <c r="T387" i="18"/>
  <c r="S387" i="18"/>
  <c r="R387" i="18"/>
  <c r="Q387" i="18"/>
  <c r="P387" i="18"/>
  <c r="O387" i="18"/>
  <c r="N387" i="18"/>
  <c r="M387" i="18"/>
  <c r="L387" i="18"/>
  <c r="K387" i="18"/>
  <c r="J387" i="18"/>
  <c r="I387" i="18"/>
  <c r="H387" i="18"/>
  <c r="G387" i="18"/>
  <c r="F387" i="18"/>
  <c r="E387" i="18"/>
  <c r="D387" i="18"/>
  <c r="C387" i="18"/>
  <c r="AF386" i="18"/>
  <c r="AE386" i="18"/>
  <c r="AD386" i="18"/>
  <c r="AC386" i="18"/>
  <c r="AB386" i="18"/>
  <c r="AA386" i="18"/>
  <c r="Z386" i="18"/>
  <c r="Y386" i="18"/>
  <c r="X386" i="18"/>
  <c r="W386" i="18"/>
  <c r="V386" i="18"/>
  <c r="U386" i="18"/>
  <c r="T386" i="18"/>
  <c r="S386" i="18"/>
  <c r="R386" i="18"/>
  <c r="Q386" i="18"/>
  <c r="P386" i="18"/>
  <c r="O386" i="18"/>
  <c r="N386" i="18"/>
  <c r="M386" i="18"/>
  <c r="L386" i="18"/>
  <c r="K386" i="18"/>
  <c r="J386" i="18"/>
  <c r="I386" i="18"/>
  <c r="H386" i="18"/>
  <c r="G386" i="18"/>
  <c r="F386" i="18"/>
  <c r="E386" i="18"/>
  <c r="D386" i="18"/>
  <c r="C386" i="18"/>
  <c r="AF385" i="18"/>
  <c r="AE385" i="18"/>
  <c r="AD385" i="18"/>
  <c r="AC385" i="18"/>
  <c r="AB385" i="18"/>
  <c r="AA385" i="18"/>
  <c r="Z385" i="18"/>
  <c r="Y385" i="18"/>
  <c r="X385" i="18"/>
  <c r="W385" i="18"/>
  <c r="V385" i="18"/>
  <c r="U385" i="18"/>
  <c r="T385" i="18"/>
  <c r="S385" i="18"/>
  <c r="R385" i="18"/>
  <c r="Q385" i="18"/>
  <c r="P385" i="18"/>
  <c r="O385" i="18"/>
  <c r="N385" i="18"/>
  <c r="M385" i="18"/>
  <c r="L385" i="18"/>
  <c r="K385" i="18"/>
  <c r="J385" i="18"/>
  <c r="I385" i="18"/>
  <c r="H385" i="18"/>
  <c r="G385" i="18"/>
  <c r="F385" i="18"/>
  <c r="E385" i="18"/>
  <c r="D385" i="18"/>
  <c r="C385" i="18"/>
  <c r="AF384" i="18"/>
  <c r="AE384" i="18"/>
  <c r="AD384" i="18"/>
  <c r="AC384" i="18"/>
  <c r="AB384" i="18"/>
  <c r="AA384" i="18"/>
  <c r="Z384" i="18"/>
  <c r="Y384" i="18"/>
  <c r="X384" i="18"/>
  <c r="W384" i="18"/>
  <c r="V384" i="18"/>
  <c r="U384" i="18"/>
  <c r="T384" i="18"/>
  <c r="S384" i="18"/>
  <c r="R384" i="18"/>
  <c r="Q384" i="18"/>
  <c r="P384" i="18"/>
  <c r="O384" i="18"/>
  <c r="N384" i="18"/>
  <c r="M384" i="18"/>
  <c r="L384" i="18"/>
  <c r="K384" i="18"/>
  <c r="J384" i="18"/>
  <c r="I384" i="18"/>
  <c r="H384" i="18"/>
  <c r="G384" i="18"/>
  <c r="F384" i="18"/>
  <c r="E384" i="18"/>
  <c r="D384" i="18"/>
  <c r="C384" i="18"/>
  <c r="AF383" i="18"/>
  <c r="AE383" i="18"/>
  <c r="AD383" i="18"/>
  <c r="AC383" i="18"/>
  <c r="AB383" i="18"/>
  <c r="AA383" i="18"/>
  <c r="Z383" i="18"/>
  <c r="Y383" i="18"/>
  <c r="X383" i="18"/>
  <c r="W383" i="18"/>
  <c r="V383" i="18"/>
  <c r="U383" i="18"/>
  <c r="T383" i="18"/>
  <c r="S383" i="18"/>
  <c r="R383" i="18"/>
  <c r="Q383" i="18"/>
  <c r="P383" i="18"/>
  <c r="O383" i="18"/>
  <c r="N383" i="18"/>
  <c r="M383" i="18"/>
  <c r="L383" i="18"/>
  <c r="K383" i="18"/>
  <c r="J383" i="18"/>
  <c r="I383" i="18"/>
  <c r="H383" i="18"/>
  <c r="G383" i="18"/>
  <c r="F383" i="18"/>
  <c r="E383" i="18"/>
  <c r="D383" i="18"/>
  <c r="C383" i="18"/>
  <c r="AF377" i="18"/>
  <c r="AE377" i="18"/>
  <c r="AD377" i="18"/>
  <c r="AC377" i="18"/>
  <c r="AB377" i="18"/>
  <c r="AA377" i="18"/>
  <c r="Z377" i="18"/>
  <c r="Y377" i="18"/>
  <c r="X377" i="18"/>
  <c r="W377" i="18"/>
  <c r="V377" i="18"/>
  <c r="U377" i="18"/>
  <c r="T377" i="18"/>
  <c r="S377" i="18"/>
  <c r="R377" i="18"/>
  <c r="Q377" i="18"/>
  <c r="P377" i="18"/>
  <c r="O377" i="18"/>
  <c r="N377" i="18"/>
  <c r="M377" i="18"/>
  <c r="L377" i="18"/>
  <c r="K377" i="18"/>
  <c r="J377" i="18"/>
  <c r="I377" i="18"/>
  <c r="H377" i="18"/>
  <c r="G377" i="18"/>
  <c r="F377" i="18"/>
  <c r="E377" i="18"/>
  <c r="D377" i="18"/>
  <c r="C377" i="18"/>
  <c r="AF376" i="18"/>
  <c r="AE376" i="18"/>
  <c r="AD376" i="18"/>
  <c r="AC376" i="18"/>
  <c r="AB376" i="18"/>
  <c r="AA376" i="18"/>
  <c r="Z376" i="18"/>
  <c r="Y376" i="18"/>
  <c r="X376" i="18"/>
  <c r="W376" i="18"/>
  <c r="V376" i="18"/>
  <c r="U376" i="18"/>
  <c r="T376" i="18"/>
  <c r="S376" i="18"/>
  <c r="R376" i="18"/>
  <c r="Q376" i="18"/>
  <c r="P376" i="18"/>
  <c r="O376" i="18"/>
  <c r="N376" i="18"/>
  <c r="M376" i="18"/>
  <c r="L376" i="18"/>
  <c r="K376" i="18"/>
  <c r="J376" i="18"/>
  <c r="I376" i="18"/>
  <c r="H376" i="18"/>
  <c r="G376" i="18"/>
  <c r="F376" i="18"/>
  <c r="E376" i="18"/>
  <c r="D376" i="18"/>
  <c r="C376" i="18"/>
  <c r="AF375" i="18"/>
  <c r="AE375" i="18"/>
  <c r="AD375" i="18"/>
  <c r="AC375" i="18"/>
  <c r="AB375" i="18"/>
  <c r="AA375" i="18"/>
  <c r="Z375" i="18"/>
  <c r="Y375" i="18"/>
  <c r="X375" i="18"/>
  <c r="W375" i="18"/>
  <c r="V375" i="18"/>
  <c r="U375" i="18"/>
  <c r="T375" i="18"/>
  <c r="S375" i="18"/>
  <c r="R375" i="18"/>
  <c r="Q375" i="18"/>
  <c r="P375" i="18"/>
  <c r="O375" i="18"/>
  <c r="N375" i="18"/>
  <c r="M375" i="18"/>
  <c r="L375" i="18"/>
  <c r="K375" i="18"/>
  <c r="J375" i="18"/>
  <c r="I375" i="18"/>
  <c r="H375" i="18"/>
  <c r="G375" i="18"/>
  <c r="F375" i="18"/>
  <c r="E375" i="18"/>
  <c r="D375" i="18"/>
  <c r="C375" i="18"/>
  <c r="AF374" i="18"/>
  <c r="AE374" i="18"/>
  <c r="AD374" i="18"/>
  <c r="AC374" i="18"/>
  <c r="AB374" i="18"/>
  <c r="AA374" i="18"/>
  <c r="Z374" i="18"/>
  <c r="Y374" i="18"/>
  <c r="X374" i="18"/>
  <c r="W374" i="18"/>
  <c r="V374" i="18"/>
  <c r="U374" i="18"/>
  <c r="T374" i="18"/>
  <c r="S374" i="18"/>
  <c r="R374" i="18"/>
  <c r="Q374" i="18"/>
  <c r="P374" i="18"/>
  <c r="O374" i="18"/>
  <c r="N374" i="18"/>
  <c r="M374" i="18"/>
  <c r="L374" i="18"/>
  <c r="K374" i="18"/>
  <c r="J374" i="18"/>
  <c r="I374" i="18"/>
  <c r="H374" i="18"/>
  <c r="G374" i="18"/>
  <c r="F374" i="18"/>
  <c r="E374" i="18"/>
  <c r="D374" i="18"/>
  <c r="C374" i="18"/>
  <c r="AF373" i="18"/>
  <c r="AE373" i="18"/>
  <c r="AD373" i="18"/>
  <c r="AC373" i="18"/>
  <c r="AB373" i="18"/>
  <c r="AA373" i="18"/>
  <c r="Z373" i="18"/>
  <c r="Y373" i="18"/>
  <c r="X373" i="18"/>
  <c r="W373" i="18"/>
  <c r="V373" i="18"/>
  <c r="U373" i="18"/>
  <c r="T373" i="18"/>
  <c r="S373" i="18"/>
  <c r="R373" i="18"/>
  <c r="Q373" i="18"/>
  <c r="P373" i="18"/>
  <c r="O373" i="18"/>
  <c r="N373" i="18"/>
  <c r="M373" i="18"/>
  <c r="L373" i="18"/>
  <c r="K373" i="18"/>
  <c r="J373" i="18"/>
  <c r="I373" i="18"/>
  <c r="H373" i="18"/>
  <c r="G373" i="18"/>
  <c r="F373" i="18"/>
  <c r="E373" i="18"/>
  <c r="D373" i="18"/>
  <c r="C373" i="18"/>
  <c r="AF372" i="18"/>
  <c r="AE372" i="18"/>
  <c r="AD372" i="18"/>
  <c r="AC372" i="18"/>
  <c r="AB372" i="18"/>
  <c r="AA372" i="18"/>
  <c r="Z372" i="18"/>
  <c r="Y372" i="18"/>
  <c r="X372" i="18"/>
  <c r="W372" i="18"/>
  <c r="V372" i="18"/>
  <c r="U372" i="18"/>
  <c r="T372" i="18"/>
  <c r="S372" i="18"/>
  <c r="R372" i="18"/>
  <c r="Q372" i="18"/>
  <c r="P372" i="18"/>
  <c r="O372" i="18"/>
  <c r="N372" i="18"/>
  <c r="M372" i="18"/>
  <c r="L372" i="18"/>
  <c r="K372" i="18"/>
  <c r="J372" i="18"/>
  <c r="I372" i="18"/>
  <c r="H372" i="18"/>
  <c r="G372" i="18"/>
  <c r="F372" i="18"/>
  <c r="E372" i="18"/>
  <c r="D372" i="18"/>
  <c r="C372" i="18"/>
  <c r="AF368" i="18"/>
  <c r="AE368" i="18"/>
  <c r="AD368" i="18"/>
  <c r="AC368" i="18"/>
  <c r="AB368" i="18"/>
  <c r="AA368" i="18"/>
  <c r="Z368" i="18"/>
  <c r="Y368" i="18"/>
  <c r="X368" i="18"/>
  <c r="W368" i="18"/>
  <c r="V368" i="18"/>
  <c r="U368" i="18"/>
  <c r="T368" i="18"/>
  <c r="S368" i="18"/>
  <c r="R368" i="18"/>
  <c r="Q368" i="18"/>
  <c r="P368" i="18"/>
  <c r="O368" i="18"/>
  <c r="N368" i="18"/>
  <c r="M368" i="18"/>
  <c r="L368" i="18"/>
  <c r="K368" i="18"/>
  <c r="J368" i="18"/>
  <c r="I368" i="18"/>
  <c r="H368" i="18"/>
  <c r="G368" i="18"/>
  <c r="F368" i="18"/>
  <c r="E368" i="18"/>
  <c r="D368" i="18"/>
  <c r="C368" i="18"/>
  <c r="AF367" i="18"/>
  <c r="AE367" i="18"/>
  <c r="AD367" i="18"/>
  <c r="AC367" i="18"/>
  <c r="AB367" i="18"/>
  <c r="AA367" i="18"/>
  <c r="Z367" i="18"/>
  <c r="Y367" i="18"/>
  <c r="X367" i="18"/>
  <c r="W367" i="18"/>
  <c r="V367" i="18"/>
  <c r="U367" i="18"/>
  <c r="T367" i="18"/>
  <c r="S367" i="18"/>
  <c r="R367" i="18"/>
  <c r="Q367" i="18"/>
  <c r="P367" i="18"/>
  <c r="O367" i="18"/>
  <c r="N367" i="18"/>
  <c r="M367" i="18"/>
  <c r="L367" i="18"/>
  <c r="K367" i="18"/>
  <c r="J367" i="18"/>
  <c r="I367" i="18"/>
  <c r="H367" i="18"/>
  <c r="G367" i="18"/>
  <c r="F367" i="18"/>
  <c r="E367" i="18"/>
  <c r="D367" i="18"/>
  <c r="C367" i="18"/>
  <c r="AF366" i="18"/>
  <c r="AE366" i="18"/>
  <c r="AD366" i="18"/>
  <c r="AC366" i="18"/>
  <c r="AB366" i="18"/>
  <c r="AA366" i="18"/>
  <c r="Z366" i="18"/>
  <c r="Y366" i="18"/>
  <c r="X366" i="18"/>
  <c r="W366" i="18"/>
  <c r="V366" i="18"/>
  <c r="U366" i="18"/>
  <c r="T366" i="18"/>
  <c r="S366" i="18"/>
  <c r="R366" i="18"/>
  <c r="Q366" i="18"/>
  <c r="P366" i="18"/>
  <c r="O366" i="18"/>
  <c r="N366" i="18"/>
  <c r="M366" i="18"/>
  <c r="L366" i="18"/>
  <c r="K366" i="18"/>
  <c r="J366" i="18"/>
  <c r="I366" i="18"/>
  <c r="H366" i="18"/>
  <c r="G366" i="18"/>
  <c r="F366" i="18"/>
  <c r="E366" i="18"/>
  <c r="D366" i="18"/>
  <c r="C366" i="18"/>
  <c r="AF365" i="18"/>
  <c r="AE365" i="18"/>
  <c r="AD365" i="18"/>
  <c r="AC365" i="18"/>
  <c r="AB365" i="18"/>
  <c r="AA365" i="18"/>
  <c r="Z365" i="18"/>
  <c r="Y365" i="18"/>
  <c r="X365" i="18"/>
  <c r="W365" i="18"/>
  <c r="V365" i="18"/>
  <c r="U365" i="18"/>
  <c r="T365" i="18"/>
  <c r="S365" i="18"/>
  <c r="R365" i="18"/>
  <c r="Q365" i="18"/>
  <c r="P365" i="18"/>
  <c r="O365" i="18"/>
  <c r="N365" i="18"/>
  <c r="M365" i="18"/>
  <c r="L365" i="18"/>
  <c r="K365" i="18"/>
  <c r="J365" i="18"/>
  <c r="I365" i="18"/>
  <c r="H365" i="18"/>
  <c r="G365" i="18"/>
  <c r="F365" i="18"/>
  <c r="E365" i="18"/>
  <c r="D365" i="18"/>
  <c r="C365" i="18"/>
  <c r="AF364" i="18"/>
  <c r="AE364" i="18"/>
  <c r="AD364" i="18"/>
  <c r="AC364" i="18"/>
  <c r="AB364" i="18"/>
  <c r="AA364" i="18"/>
  <c r="Z364" i="18"/>
  <c r="Y364" i="18"/>
  <c r="X364" i="18"/>
  <c r="W364" i="18"/>
  <c r="V364" i="18"/>
  <c r="U364" i="18"/>
  <c r="T364" i="18"/>
  <c r="S364" i="18"/>
  <c r="R364" i="18"/>
  <c r="Q364" i="18"/>
  <c r="P364" i="18"/>
  <c r="O364" i="18"/>
  <c r="N364" i="18"/>
  <c r="M364" i="18"/>
  <c r="L364" i="18"/>
  <c r="K364" i="18"/>
  <c r="J364" i="18"/>
  <c r="I364" i="18"/>
  <c r="H364" i="18"/>
  <c r="G364" i="18"/>
  <c r="F364" i="18"/>
  <c r="E364" i="18"/>
  <c r="D364" i="18"/>
  <c r="C364" i="18"/>
  <c r="AF363" i="18"/>
  <c r="AE363" i="18"/>
  <c r="AD363" i="18"/>
  <c r="AC363" i="18"/>
  <c r="AB363" i="18"/>
  <c r="AA363" i="18"/>
  <c r="Z363" i="18"/>
  <c r="Y363" i="18"/>
  <c r="X363" i="18"/>
  <c r="W363" i="18"/>
  <c r="V363" i="18"/>
  <c r="U363" i="18"/>
  <c r="T363" i="18"/>
  <c r="S363" i="18"/>
  <c r="R363" i="18"/>
  <c r="Q363" i="18"/>
  <c r="P363" i="18"/>
  <c r="O363" i="18"/>
  <c r="N363" i="18"/>
  <c r="M363" i="18"/>
  <c r="L363" i="18"/>
  <c r="K363" i="18"/>
  <c r="J363" i="18"/>
  <c r="I363" i="18"/>
  <c r="H363" i="18"/>
  <c r="G363" i="18"/>
  <c r="F363" i="18"/>
  <c r="E363" i="18"/>
  <c r="D363" i="18"/>
  <c r="C363" i="18"/>
  <c r="AF357" i="18"/>
  <c r="AE357" i="18"/>
  <c r="AD357" i="18"/>
  <c r="AC357" i="18"/>
  <c r="AB357" i="18"/>
  <c r="AA357" i="18"/>
  <c r="Z357" i="18"/>
  <c r="Y357" i="18"/>
  <c r="X357" i="18"/>
  <c r="W357" i="18"/>
  <c r="V357" i="18"/>
  <c r="U357" i="18"/>
  <c r="T357" i="18"/>
  <c r="S357" i="18"/>
  <c r="R357" i="18"/>
  <c r="Q357" i="18"/>
  <c r="P357" i="18"/>
  <c r="O357" i="18"/>
  <c r="N357" i="18"/>
  <c r="M357" i="18"/>
  <c r="L357" i="18"/>
  <c r="K357" i="18"/>
  <c r="J357" i="18"/>
  <c r="I357" i="18"/>
  <c r="G357" i="18"/>
  <c r="F357" i="18"/>
  <c r="E357" i="18"/>
  <c r="D357" i="18"/>
  <c r="C357" i="18"/>
  <c r="AF356" i="18"/>
  <c r="AE356" i="18"/>
  <c r="AD356" i="18"/>
  <c r="AC356" i="18"/>
  <c r="AB356" i="18"/>
  <c r="AA356" i="18"/>
  <c r="Z356" i="18"/>
  <c r="Y356" i="18"/>
  <c r="X356" i="18"/>
  <c r="W356" i="18"/>
  <c r="V356" i="18"/>
  <c r="U356" i="18"/>
  <c r="T356" i="18"/>
  <c r="S356" i="18"/>
  <c r="R356" i="18"/>
  <c r="Q356" i="18"/>
  <c r="P356" i="18"/>
  <c r="O356" i="18"/>
  <c r="N356" i="18"/>
  <c r="M356" i="18"/>
  <c r="L356" i="18"/>
  <c r="K356" i="18"/>
  <c r="J356" i="18"/>
  <c r="I356" i="18"/>
  <c r="H356" i="18"/>
  <c r="G356" i="18"/>
  <c r="F356" i="18"/>
  <c r="E356" i="18"/>
  <c r="D356" i="18"/>
  <c r="C356" i="18"/>
  <c r="AF355" i="18"/>
  <c r="AE355" i="18"/>
  <c r="AD355" i="18"/>
  <c r="AC355" i="18"/>
  <c r="AB355" i="18"/>
  <c r="AA355" i="18"/>
  <c r="Z355" i="18"/>
  <c r="Y355" i="18"/>
  <c r="X355" i="18"/>
  <c r="W355" i="18"/>
  <c r="V355" i="18"/>
  <c r="U355" i="18"/>
  <c r="T355" i="18"/>
  <c r="S355" i="18"/>
  <c r="R355" i="18"/>
  <c r="Q355" i="18"/>
  <c r="P355" i="18"/>
  <c r="O355" i="18"/>
  <c r="N355" i="18"/>
  <c r="M355" i="18"/>
  <c r="L355" i="18"/>
  <c r="K355" i="18"/>
  <c r="J355" i="18"/>
  <c r="I355" i="18"/>
  <c r="H355" i="18"/>
  <c r="G355" i="18"/>
  <c r="F355" i="18"/>
  <c r="E355" i="18"/>
  <c r="D355" i="18"/>
  <c r="C355" i="18"/>
  <c r="AF354" i="18"/>
  <c r="AE354" i="18"/>
  <c r="AD354" i="18"/>
  <c r="AC354" i="18"/>
  <c r="AB354" i="18"/>
  <c r="AA354" i="18"/>
  <c r="Z354" i="18"/>
  <c r="Y354" i="18"/>
  <c r="X354" i="18"/>
  <c r="W354" i="18"/>
  <c r="V354" i="18"/>
  <c r="U354" i="18"/>
  <c r="T354" i="18"/>
  <c r="S354" i="18"/>
  <c r="R354" i="18"/>
  <c r="Q354" i="18"/>
  <c r="P354" i="18"/>
  <c r="O354" i="18"/>
  <c r="N354" i="18"/>
  <c r="M354" i="18"/>
  <c r="L354" i="18"/>
  <c r="K354" i="18"/>
  <c r="J354" i="18"/>
  <c r="I354" i="18"/>
  <c r="H354" i="18"/>
  <c r="G354" i="18"/>
  <c r="F354" i="18"/>
  <c r="E354" i="18"/>
  <c r="D354" i="18"/>
  <c r="C354" i="18"/>
  <c r="AF353" i="18"/>
  <c r="AE353" i="18"/>
  <c r="AD353" i="18"/>
  <c r="AC353" i="18"/>
  <c r="AB353" i="18"/>
  <c r="AA353" i="18"/>
  <c r="Z353" i="18"/>
  <c r="Y353" i="18"/>
  <c r="X353" i="18"/>
  <c r="W353" i="18"/>
  <c r="V353" i="18"/>
  <c r="U353" i="18"/>
  <c r="T353" i="18"/>
  <c r="S353" i="18"/>
  <c r="R353" i="18"/>
  <c r="Q353" i="18"/>
  <c r="P353" i="18"/>
  <c r="O353" i="18"/>
  <c r="N353" i="18"/>
  <c r="M353" i="18"/>
  <c r="L353" i="18"/>
  <c r="K353" i="18"/>
  <c r="J353" i="18"/>
  <c r="I353" i="18"/>
  <c r="H353" i="18"/>
  <c r="G353" i="18"/>
  <c r="F353" i="18"/>
  <c r="E353" i="18"/>
  <c r="D353" i="18"/>
  <c r="C353" i="18"/>
  <c r="AF352" i="18"/>
  <c r="AE352" i="18"/>
  <c r="AD352" i="18"/>
  <c r="AC352" i="18"/>
  <c r="AB352" i="18"/>
  <c r="AA352" i="18"/>
  <c r="Z352" i="18"/>
  <c r="Y352" i="18"/>
  <c r="X352" i="18"/>
  <c r="W352" i="18"/>
  <c r="V352" i="18"/>
  <c r="U352" i="18"/>
  <c r="T352" i="18"/>
  <c r="S352" i="18"/>
  <c r="R352" i="18"/>
  <c r="Q352" i="18"/>
  <c r="P352" i="18"/>
  <c r="O352" i="18"/>
  <c r="N352" i="18"/>
  <c r="M352" i="18"/>
  <c r="L352" i="18"/>
  <c r="K352" i="18"/>
  <c r="J352" i="18"/>
  <c r="I352" i="18"/>
  <c r="H352" i="18"/>
  <c r="G352" i="18"/>
  <c r="F352" i="18"/>
  <c r="E352" i="18"/>
  <c r="D352" i="18"/>
  <c r="C352" i="18"/>
  <c r="AF348" i="18"/>
  <c r="AE348" i="18"/>
  <c r="AD348" i="18"/>
  <c r="AC348" i="18"/>
  <c r="AB348" i="18"/>
  <c r="AA348" i="18"/>
  <c r="Z348" i="18"/>
  <c r="Y348" i="18"/>
  <c r="X348" i="18"/>
  <c r="W348" i="18"/>
  <c r="V348" i="18"/>
  <c r="U348" i="18"/>
  <c r="T348" i="18"/>
  <c r="S348" i="18"/>
  <c r="R348" i="18"/>
  <c r="Q348" i="18"/>
  <c r="P348" i="18"/>
  <c r="O348" i="18"/>
  <c r="N348" i="18"/>
  <c r="M348" i="18"/>
  <c r="L348" i="18"/>
  <c r="K348" i="18"/>
  <c r="J348" i="18"/>
  <c r="I348" i="18"/>
  <c r="H348" i="18"/>
  <c r="G348" i="18"/>
  <c r="F348" i="18"/>
  <c r="E348" i="18"/>
  <c r="D348" i="18"/>
  <c r="C348" i="18"/>
  <c r="AF347" i="18"/>
  <c r="AE347" i="18"/>
  <c r="AD347" i="18"/>
  <c r="AC347" i="18"/>
  <c r="AB347" i="18"/>
  <c r="AA347" i="18"/>
  <c r="Z347" i="18"/>
  <c r="Y347" i="18"/>
  <c r="X347" i="18"/>
  <c r="W347" i="18"/>
  <c r="V347" i="18"/>
  <c r="U347" i="18"/>
  <c r="T347" i="18"/>
  <c r="S347" i="18"/>
  <c r="R347" i="18"/>
  <c r="Q347" i="18"/>
  <c r="P347" i="18"/>
  <c r="O347" i="18"/>
  <c r="N347" i="18"/>
  <c r="M347" i="18"/>
  <c r="L347" i="18"/>
  <c r="K347" i="18"/>
  <c r="J347" i="18"/>
  <c r="I347" i="18"/>
  <c r="H347" i="18"/>
  <c r="G347" i="18"/>
  <c r="F347" i="18"/>
  <c r="E347" i="18"/>
  <c r="D347" i="18"/>
  <c r="C347" i="18"/>
  <c r="AF346" i="18"/>
  <c r="AE346" i="18"/>
  <c r="AD346" i="18"/>
  <c r="AC346" i="18"/>
  <c r="AB346" i="18"/>
  <c r="AA346" i="18"/>
  <c r="Z346" i="18"/>
  <c r="Y346" i="18"/>
  <c r="X346" i="18"/>
  <c r="W346" i="18"/>
  <c r="V346" i="18"/>
  <c r="U346" i="18"/>
  <c r="T346" i="18"/>
  <c r="S346" i="18"/>
  <c r="R346" i="18"/>
  <c r="Q346" i="18"/>
  <c r="P346" i="18"/>
  <c r="O346" i="18"/>
  <c r="N346" i="18"/>
  <c r="M346" i="18"/>
  <c r="L346" i="18"/>
  <c r="K346" i="18"/>
  <c r="J346" i="18"/>
  <c r="I346" i="18"/>
  <c r="H346" i="18"/>
  <c r="G346" i="18"/>
  <c r="F346" i="18"/>
  <c r="E346" i="18"/>
  <c r="D346" i="18"/>
  <c r="C346" i="18"/>
  <c r="AF345" i="18"/>
  <c r="AE345" i="18"/>
  <c r="AD345" i="18"/>
  <c r="AC345" i="18"/>
  <c r="AB345" i="18"/>
  <c r="AA345" i="18"/>
  <c r="Z345" i="18"/>
  <c r="Y345" i="18"/>
  <c r="X345" i="18"/>
  <c r="W345" i="18"/>
  <c r="V345" i="18"/>
  <c r="U345" i="18"/>
  <c r="T345" i="18"/>
  <c r="S345" i="18"/>
  <c r="R345" i="18"/>
  <c r="Q345" i="18"/>
  <c r="P345" i="18"/>
  <c r="O345" i="18"/>
  <c r="N345" i="18"/>
  <c r="M345" i="18"/>
  <c r="L345" i="18"/>
  <c r="K345" i="18"/>
  <c r="J345" i="18"/>
  <c r="I345" i="18"/>
  <c r="H345" i="18"/>
  <c r="G345" i="18"/>
  <c r="F345" i="18"/>
  <c r="E345" i="18"/>
  <c r="D345" i="18"/>
  <c r="C345" i="18"/>
  <c r="AF344" i="18"/>
  <c r="AE344" i="18"/>
  <c r="AD344" i="18"/>
  <c r="AC344" i="18"/>
  <c r="AB344" i="18"/>
  <c r="AA344" i="18"/>
  <c r="Z344" i="18"/>
  <c r="Y344" i="18"/>
  <c r="X344" i="18"/>
  <c r="W344" i="18"/>
  <c r="V344" i="18"/>
  <c r="U344" i="18"/>
  <c r="T344" i="18"/>
  <c r="S344" i="18"/>
  <c r="R344" i="18"/>
  <c r="Q344" i="18"/>
  <c r="P344" i="18"/>
  <c r="O344" i="18"/>
  <c r="N344" i="18"/>
  <c r="M344" i="18"/>
  <c r="L344" i="18"/>
  <c r="K344" i="18"/>
  <c r="J344" i="18"/>
  <c r="I344" i="18"/>
  <c r="H344" i="18"/>
  <c r="G344" i="18"/>
  <c r="F344" i="18"/>
  <c r="E344" i="18"/>
  <c r="D344" i="18"/>
  <c r="C344" i="18"/>
  <c r="AF343" i="18"/>
  <c r="AE343" i="18"/>
  <c r="AD343" i="18"/>
  <c r="AC343" i="18"/>
  <c r="AB343" i="18"/>
  <c r="AA343" i="18"/>
  <c r="Z343" i="18"/>
  <c r="Y343" i="18"/>
  <c r="X343" i="18"/>
  <c r="W343" i="18"/>
  <c r="V343" i="18"/>
  <c r="U343" i="18"/>
  <c r="T343" i="18"/>
  <c r="S343" i="18"/>
  <c r="R343" i="18"/>
  <c r="Q343" i="18"/>
  <c r="P343" i="18"/>
  <c r="O343" i="18"/>
  <c r="N343" i="18"/>
  <c r="M343" i="18"/>
  <c r="L343" i="18"/>
  <c r="K343" i="18"/>
  <c r="J343" i="18"/>
  <c r="I343" i="18"/>
  <c r="H343" i="18"/>
  <c r="G343" i="18"/>
  <c r="F343" i="18"/>
  <c r="E343" i="18"/>
  <c r="D343" i="18"/>
  <c r="C343" i="18"/>
  <c r="AF335" i="18"/>
  <c r="AE335" i="18"/>
  <c r="AD335" i="18"/>
  <c r="AC335" i="18"/>
  <c r="AB335" i="18"/>
  <c r="AA335" i="18"/>
  <c r="Z335" i="18"/>
  <c r="Y335" i="18"/>
  <c r="X335" i="18"/>
  <c r="W335" i="18"/>
  <c r="V335" i="18"/>
  <c r="U335" i="18"/>
  <c r="T335" i="18"/>
  <c r="S335" i="18"/>
  <c r="R335" i="18"/>
  <c r="Q335" i="18"/>
  <c r="P335" i="18"/>
  <c r="O335" i="18"/>
  <c r="N335" i="18"/>
  <c r="M335" i="18"/>
  <c r="L335" i="18"/>
  <c r="K335" i="18"/>
  <c r="J335" i="18"/>
  <c r="I335" i="18"/>
  <c r="H335" i="18"/>
  <c r="G335" i="18"/>
  <c r="F335" i="18"/>
  <c r="E335" i="18"/>
  <c r="D335" i="18"/>
  <c r="C335" i="18"/>
  <c r="AF334" i="18"/>
  <c r="AE334" i="18"/>
  <c r="AD334" i="18"/>
  <c r="AC334" i="18"/>
  <c r="AB334" i="18"/>
  <c r="AA334" i="18"/>
  <c r="Z334" i="18"/>
  <c r="Y334" i="18"/>
  <c r="X334" i="18"/>
  <c r="W334" i="18"/>
  <c r="V334" i="18"/>
  <c r="U334" i="18"/>
  <c r="T334" i="18"/>
  <c r="S334" i="18"/>
  <c r="R334" i="18"/>
  <c r="Q334" i="18"/>
  <c r="P334" i="18"/>
  <c r="O334" i="18"/>
  <c r="N334" i="18"/>
  <c r="M334" i="18"/>
  <c r="L334" i="18"/>
  <c r="K334" i="18"/>
  <c r="J334" i="18"/>
  <c r="I334" i="18"/>
  <c r="H334" i="18"/>
  <c r="G334" i="18"/>
  <c r="F334" i="18"/>
  <c r="E334" i="18"/>
  <c r="D334" i="18"/>
  <c r="C334" i="18"/>
  <c r="AF333" i="18"/>
  <c r="AE333" i="18"/>
  <c r="AD333" i="18"/>
  <c r="AC333" i="18"/>
  <c r="AB333" i="18"/>
  <c r="AA333" i="18"/>
  <c r="Z333" i="18"/>
  <c r="Y333" i="18"/>
  <c r="X333" i="18"/>
  <c r="W333" i="18"/>
  <c r="V333" i="18"/>
  <c r="U333" i="18"/>
  <c r="T333" i="18"/>
  <c r="S333" i="18"/>
  <c r="R333" i="18"/>
  <c r="Q333" i="18"/>
  <c r="P333" i="18"/>
  <c r="O333" i="18"/>
  <c r="N333" i="18"/>
  <c r="M333" i="18"/>
  <c r="L333" i="18"/>
  <c r="K333" i="18"/>
  <c r="J333" i="18"/>
  <c r="I333" i="18"/>
  <c r="H333" i="18"/>
  <c r="G333" i="18"/>
  <c r="F333" i="18"/>
  <c r="E333" i="18"/>
  <c r="D333" i="18"/>
  <c r="C333" i="18"/>
  <c r="AF332" i="18"/>
  <c r="AE332" i="18"/>
  <c r="AD332" i="18"/>
  <c r="AC332" i="18"/>
  <c r="AB332" i="18"/>
  <c r="AA332" i="18"/>
  <c r="Z332" i="18"/>
  <c r="Y332" i="18"/>
  <c r="X332" i="18"/>
  <c r="W332" i="18"/>
  <c r="V332" i="18"/>
  <c r="U332" i="18"/>
  <c r="T332" i="18"/>
  <c r="S332" i="18"/>
  <c r="R332" i="18"/>
  <c r="Q332" i="18"/>
  <c r="P332" i="18"/>
  <c r="O332" i="18"/>
  <c r="N332" i="18"/>
  <c r="M332" i="18"/>
  <c r="L332" i="18"/>
  <c r="K332" i="18"/>
  <c r="J332" i="18"/>
  <c r="I332" i="18"/>
  <c r="H332" i="18"/>
  <c r="G332" i="18"/>
  <c r="F332" i="18"/>
  <c r="E332" i="18"/>
  <c r="D332" i="18"/>
  <c r="C332" i="18"/>
  <c r="AF331" i="18"/>
  <c r="AE331" i="18"/>
  <c r="AD331" i="18"/>
  <c r="AC331" i="18"/>
  <c r="AB331" i="18"/>
  <c r="AA331" i="18"/>
  <c r="Z331" i="18"/>
  <c r="Y331" i="18"/>
  <c r="X331" i="18"/>
  <c r="W331" i="18"/>
  <c r="V331" i="18"/>
  <c r="U331" i="18"/>
  <c r="T331" i="18"/>
  <c r="S331" i="18"/>
  <c r="R331" i="18"/>
  <c r="Q331" i="18"/>
  <c r="P331" i="18"/>
  <c r="O331" i="18"/>
  <c r="N331" i="18"/>
  <c r="M331" i="18"/>
  <c r="L331" i="18"/>
  <c r="K331" i="18"/>
  <c r="J331" i="18"/>
  <c r="I331" i="18"/>
  <c r="H331" i="18"/>
  <c r="G331" i="18"/>
  <c r="F331" i="18"/>
  <c r="E331" i="18"/>
  <c r="D331" i="18"/>
  <c r="C331" i="18"/>
  <c r="AF330" i="18"/>
  <c r="AE330" i="18"/>
  <c r="AD330" i="18"/>
  <c r="AC330" i="18"/>
  <c r="AB330" i="18"/>
  <c r="AA330" i="18"/>
  <c r="Z330" i="18"/>
  <c r="Y330" i="18"/>
  <c r="X330" i="18"/>
  <c r="W330" i="18"/>
  <c r="V330" i="18"/>
  <c r="U330" i="18"/>
  <c r="T330" i="18"/>
  <c r="S330" i="18"/>
  <c r="R330" i="18"/>
  <c r="Q330" i="18"/>
  <c r="P330" i="18"/>
  <c r="O330" i="18"/>
  <c r="N330" i="18"/>
  <c r="M330" i="18"/>
  <c r="L330" i="18"/>
  <c r="K330" i="18"/>
  <c r="J330" i="18"/>
  <c r="I330" i="18"/>
  <c r="H330" i="18"/>
  <c r="G330" i="18"/>
  <c r="F330" i="18"/>
  <c r="E330" i="18"/>
  <c r="D330" i="18"/>
  <c r="C330" i="18"/>
  <c r="AF326" i="18"/>
  <c r="AE326" i="18"/>
  <c r="AD326" i="18"/>
  <c r="AC326" i="18"/>
  <c r="AB326" i="18"/>
  <c r="AA326" i="18"/>
  <c r="Z326" i="18"/>
  <c r="Y326" i="18"/>
  <c r="X326" i="18"/>
  <c r="W326" i="18"/>
  <c r="V326" i="18"/>
  <c r="U326" i="18"/>
  <c r="T326" i="18"/>
  <c r="S326" i="18"/>
  <c r="R326" i="18"/>
  <c r="Q326" i="18"/>
  <c r="P326" i="18"/>
  <c r="O326" i="18"/>
  <c r="N326" i="18"/>
  <c r="M326" i="18"/>
  <c r="L326" i="18"/>
  <c r="K326" i="18"/>
  <c r="J326" i="18"/>
  <c r="I326" i="18"/>
  <c r="H326" i="18"/>
  <c r="G326" i="18"/>
  <c r="F326" i="18"/>
  <c r="E326" i="18"/>
  <c r="D326" i="18"/>
  <c r="C326" i="18"/>
  <c r="AF325" i="18"/>
  <c r="AE325" i="18"/>
  <c r="AD325" i="18"/>
  <c r="AC325" i="18"/>
  <c r="AB325" i="18"/>
  <c r="AA325" i="18"/>
  <c r="Z325" i="18"/>
  <c r="Y325" i="18"/>
  <c r="X325" i="18"/>
  <c r="W325" i="18"/>
  <c r="V325" i="18"/>
  <c r="U325" i="18"/>
  <c r="T325" i="18"/>
  <c r="S325" i="18"/>
  <c r="R325" i="18"/>
  <c r="Q325" i="18"/>
  <c r="P325" i="18"/>
  <c r="O325" i="18"/>
  <c r="N325" i="18"/>
  <c r="M325" i="18"/>
  <c r="L325" i="18"/>
  <c r="K325" i="18"/>
  <c r="J325" i="18"/>
  <c r="I325" i="18"/>
  <c r="H325" i="18"/>
  <c r="G325" i="18"/>
  <c r="F325" i="18"/>
  <c r="E325" i="18"/>
  <c r="D325" i="18"/>
  <c r="C325" i="18"/>
  <c r="AF324" i="18"/>
  <c r="AE324" i="18"/>
  <c r="AD324" i="18"/>
  <c r="AC324" i="18"/>
  <c r="AB324" i="18"/>
  <c r="AA324" i="18"/>
  <c r="Z324" i="18"/>
  <c r="Y324" i="18"/>
  <c r="X324" i="18"/>
  <c r="W324" i="18"/>
  <c r="V324" i="18"/>
  <c r="U324" i="18"/>
  <c r="T324" i="18"/>
  <c r="S324" i="18"/>
  <c r="R324" i="18"/>
  <c r="Q324" i="18"/>
  <c r="P324" i="18"/>
  <c r="O324" i="18"/>
  <c r="N324" i="18"/>
  <c r="M324" i="18"/>
  <c r="L324" i="18"/>
  <c r="K324" i="18"/>
  <c r="J324" i="18"/>
  <c r="I324" i="18"/>
  <c r="H324" i="18"/>
  <c r="G324" i="18"/>
  <c r="F324" i="18"/>
  <c r="E324" i="18"/>
  <c r="D324" i="18"/>
  <c r="C324" i="18"/>
  <c r="AF323" i="18"/>
  <c r="AE323" i="18"/>
  <c r="AD323" i="18"/>
  <c r="AC323" i="18"/>
  <c r="AB323" i="18"/>
  <c r="AA323" i="18"/>
  <c r="Z323" i="18"/>
  <c r="Y323" i="18"/>
  <c r="X323" i="18"/>
  <c r="W323" i="18"/>
  <c r="V323" i="18"/>
  <c r="U323" i="18"/>
  <c r="T323" i="18"/>
  <c r="S323" i="18"/>
  <c r="R323" i="18"/>
  <c r="Q323" i="18"/>
  <c r="P323" i="18"/>
  <c r="O323" i="18"/>
  <c r="N323" i="18"/>
  <c r="M323" i="18"/>
  <c r="L323" i="18"/>
  <c r="K323" i="18"/>
  <c r="J323" i="18"/>
  <c r="I323" i="18"/>
  <c r="H323" i="18"/>
  <c r="G323" i="18"/>
  <c r="F323" i="18"/>
  <c r="E323" i="18"/>
  <c r="D323" i="18"/>
  <c r="C323" i="18"/>
  <c r="AF322" i="18"/>
  <c r="AE322" i="18"/>
  <c r="AD322" i="18"/>
  <c r="AC322" i="18"/>
  <c r="AB322" i="18"/>
  <c r="AA322" i="18"/>
  <c r="Z322" i="18"/>
  <c r="Y322" i="18"/>
  <c r="X322" i="18"/>
  <c r="W322" i="18"/>
  <c r="V322" i="18"/>
  <c r="U322" i="18"/>
  <c r="T322" i="18"/>
  <c r="S322" i="18"/>
  <c r="R322" i="18"/>
  <c r="Q322" i="18"/>
  <c r="P322" i="18"/>
  <c r="O322" i="18"/>
  <c r="N322" i="18"/>
  <c r="M322" i="18"/>
  <c r="L322" i="18"/>
  <c r="K322" i="18"/>
  <c r="J322" i="18"/>
  <c r="I322" i="18"/>
  <c r="H322" i="18"/>
  <c r="G322" i="18"/>
  <c r="F322" i="18"/>
  <c r="E322" i="18"/>
  <c r="D322" i="18"/>
  <c r="C322" i="18"/>
  <c r="AF321" i="18"/>
  <c r="AE321" i="18"/>
  <c r="AD321" i="18"/>
  <c r="AC321" i="18"/>
  <c r="AB321" i="18"/>
  <c r="AA321" i="18"/>
  <c r="Z321" i="18"/>
  <c r="Y321" i="18"/>
  <c r="X321" i="18"/>
  <c r="W321" i="18"/>
  <c r="V321" i="18"/>
  <c r="U321" i="18"/>
  <c r="T321" i="18"/>
  <c r="S321" i="18"/>
  <c r="R321" i="18"/>
  <c r="Q321" i="18"/>
  <c r="P321" i="18"/>
  <c r="O321" i="18"/>
  <c r="N321" i="18"/>
  <c r="M321" i="18"/>
  <c r="L321" i="18"/>
  <c r="K321" i="18"/>
  <c r="J321" i="18"/>
  <c r="I321" i="18"/>
  <c r="H321" i="18"/>
  <c r="G321" i="18"/>
  <c r="F321" i="18"/>
  <c r="E321" i="18"/>
  <c r="D321" i="18"/>
  <c r="C321" i="18"/>
  <c r="AF315" i="18"/>
  <c r="AE315" i="18"/>
  <c r="AD315" i="18"/>
  <c r="AC315" i="18"/>
  <c r="AB315" i="18"/>
  <c r="AA315" i="18"/>
  <c r="Z315" i="18"/>
  <c r="Y315" i="18"/>
  <c r="X315" i="18"/>
  <c r="W315" i="18"/>
  <c r="V315" i="18"/>
  <c r="U315" i="18"/>
  <c r="T315" i="18"/>
  <c r="S315" i="18"/>
  <c r="R315" i="18"/>
  <c r="Q315" i="18"/>
  <c r="P315" i="18"/>
  <c r="O315" i="18"/>
  <c r="N315" i="18"/>
  <c r="M315" i="18"/>
  <c r="L315" i="18"/>
  <c r="K315" i="18"/>
  <c r="J315" i="18"/>
  <c r="I315" i="18"/>
  <c r="H315" i="18"/>
  <c r="G315" i="18"/>
  <c r="F315" i="18"/>
  <c r="E315" i="18"/>
  <c r="D315" i="18"/>
  <c r="C315" i="18"/>
  <c r="AF314" i="18"/>
  <c r="AE314" i="18"/>
  <c r="AD314" i="18"/>
  <c r="AC314" i="18"/>
  <c r="AB314" i="18"/>
  <c r="AA314" i="18"/>
  <c r="Z314" i="18"/>
  <c r="Y314" i="18"/>
  <c r="X314" i="18"/>
  <c r="W314" i="18"/>
  <c r="V314" i="18"/>
  <c r="U314" i="18"/>
  <c r="T314" i="18"/>
  <c r="S314" i="18"/>
  <c r="R314" i="18"/>
  <c r="Q314" i="18"/>
  <c r="P314" i="18"/>
  <c r="O314" i="18"/>
  <c r="N314" i="18"/>
  <c r="M314" i="18"/>
  <c r="L314" i="18"/>
  <c r="K314" i="18"/>
  <c r="J314" i="18"/>
  <c r="I314" i="18"/>
  <c r="H314" i="18"/>
  <c r="G314" i="18"/>
  <c r="F314" i="18"/>
  <c r="E314" i="18"/>
  <c r="D314" i="18"/>
  <c r="C314" i="18"/>
  <c r="AF313" i="18"/>
  <c r="AE313" i="18"/>
  <c r="AD313" i="18"/>
  <c r="AC313" i="18"/>
  <c r="AB313" i="18"/>
  <c r="AA313" i="18"/>
  <c r="Z313" i="18"/>
  <c r="Y313" i="18"/>
  <c r="X313" i="18"/>
  <c r="W313" i="18"/>
  <c r="V313" i="18"/>
  <c r="U313" i="18"/>
  <c r="T313" i="18"/>
  <c r="S313" i="18"/>
  <c r="R313" i="18"/>
  <c r="Q313" i="18"/>
  <c r="P313" i="18"/>
  <c r="O313" i="18"/>
  <c r="N313" i="18"/>
  <c r="M313" i="18"/>
  <c r="L313" i="18"/>
  <c r="K313" i="18"/>
  <c r="J313" i="18"/>
  <c r="I313" i="18"/>
  <c r="H313" i="18"/>
  <c r="G313" i="18"/>
  <c r="F313" i="18"/>
  <c r="E313" i="18"/>
  <c r="D313" i="18"/>
  <c r="C313" i="18"/>
  <c r="AF312" i="18"/>
  <c r="AE312" i="18"/>
  <c r="AD312" i="18"/>
  <c r="AC312" i="18"/>
  <c r="AB312" i="18"/>
  <c r="AA312" i="18"/>
  <c r="Z312" i="18"/>
  <c r="Y312" i="18"/>
  <c r="X312" i="18"/>
  <c r="W312" i="18"/>
  <c r="V312" i="18"/>
  <c r="U312" i="18"/>
  <c r="T312" i="18"/>
  <c r="S312" i="18"/>
  <c r="R312" i="18"/>
  <c r="Q312" i="18"/>
  <c r="P312" i="18"/>
  <c r="O312" i="18"/>
  <c r="N312" i="18"/>
  <c r="M312" i="18"/>
  <c r="L312" i="18"/>
  <c r="K312" i="18"/>
  <c r="J312" i="18"/>
  <c r="I312" i="18"/>
  <c r="H312" i="18"/>
  <c r="G312" i="18"/>
  <c r="F312" i="18"/>
  <c r="E312" i="18"/>
  <c r="D312" i="18"/>
  <c r="C312" i="18"/>
  <c r="AF311" i="18"/>
  <c r="AE311" i="18"/>
  <c r="AD311" i="18"/>
  <c r="AC311" i="18"/>
  <c r="AB311" i="18"/>
  <c r="AA311" i="18"/>
  <c r="Z311" i="18"/>
  <c r="Y311" i="18"/>
  <c r="X311" i="18"/>
  <c r="W311" i="18"/>
  <c r="V311" i="18"/>
  <c r="U311" i="18"/>
  <c r="T311" i="18"/>
  <c r="S311" i="18"/>
  <c r="R311" i="18"/>
  <c r="Q311" i="18"/>
  <c r="P311" i="18"/>
  <c r="O311" i="18"/>
  <c r="N311" i="18"/>
  <c r="M311" i="18"/>
  <c r="L311" i="18"/>
  <c r="K311" i="18"/>
  <c r="J311" i="18"/>
  <c r="I311" i="18"/>
  <c r="H311" i="18"/>
  <c r="G311" i="18"/>
  <c r="F311" i="18"/>
  <c r="E311" i="18"/>
  <c r="D311" i="18"/>
  <c r="C311" i="18"/>
  <c r="AF310" i="18"/>
  <c r="AE310" i="18"/>
  <c r="AD310" i="18"/>
  <c r="AC310" i="18"/>
  <c r="AB310" i="18"/>
  <c r="AA310" i="18"/>
  <c r="Z310" i="18"/>
  <c r="Y310" i="18"/>
  <c r="X310" i="18"/>
  <c r="W310" i="18"/>
  <c r="V310" i="18"/>
  <c r="U310" i="18"/>
  <c r="T310" i="18"/>
  <c r="S310" i="18"/>
  <c r="R310" i="18"/>
  <c r="Q310" i="18"/>
  <c r="P310" i="18"/>
  <c r="O310" i="18"/>
  <c r="N310" i="18"/>
  <c r="M310" i="18"/>
  <c r="L310" i="18"/>
  <c r="K310" i="18"/>
  <c r="J310" i="18"/>
  <c r="I310" i="18"/>
  <c r="H310" i="18"/>
  <c r="G310" i="18"/>
  <c r="F310" i="18"/>
  <c r="E310" i="18"/>
  <c r="D310" i="18"/>
  <c r="C310" i="18"/>
  <c r="AF306" i="18"/>
  <c r="AE306" i="18"/>
  <c r="AD306" i="18"/>
  <c r="AC306" i="18"/>
  <c r="AB306" i="18"/>
  <c r="AA306" i="18"/>
  <c r="Z306" i="18"/>
  <c r="Y306" i="18"/>
  <c r="X306" i="18"/>
  <c r="W306" i="18"/>
  <c r="V306" i="18"/>
  <c r="U306" i="18"/>
  <c r="T306" i="18"/>
  <c r="S306" i="18"/>
  <c r="R306" i="18"/>
  <c r="Q306" i="18"/>
  <c r="P306" i="18"/>
  <c r="O306" i="18"/>
  <c r="N306" i="18"/>
  <c r="M306" i="18"/>
  <c r="L306" i="18"/>
  <c r="K306" i="18"/>
  <c r="J306" i="18"/>
  <c r="I306" i="18"/>
  <c r="H306" i="18"/>
  <c r="G306" i="18"/>
  <c r="F306" i="18"/>
  <c r="E306" i="18"/>
  <c r="D306" i="18"/>
  <c r="C306" i="18"/>
  <c r="AF305" i="18"/>
  <c r="AE305" i="18"/>
  <c r="AD305" i="18"/>
  <c r="AC305" i="18"/>
  <c r="AB305" i="18"/>
  <c r="AA305" i="18"/>
  <c r="Z305" i="18"/>
  <c r="Y305" i="18"/>
  <c r="X305" i="18"/>
  <c r="W305" i="18"/>
  <c r="V305" i="18"/>
  <c r="U305" i="18"/>
  <c r="T305" i="18"/>
  <c r="S305" i="18"/>
  <c r="R305" i="18"/>
  <c r="Q305" i="18"/>
  <c r="P305" i="18"/>
  <c r="O305" i="18"/>
  <c r="N305" i="18"/>
  <c r="M305" i="18"/>
  <c r="L305" i="18"/>
  <c r="K305" i="18"/>
  <c r="J305" i="18"/>
  <c r="I305" i="18"/>
  <c r="H305" i="18"/>
  <c r="G305" i="18"/>
  <c r="F305" i="18"/>
  <c r="E305" i="18"/>
  <c r="D305" i="18"/>
  <c r="C305" i="18"/>
  <c r="AF304" i="18"/>
  <c r="AE304" i="18"/>
  <c r="AD304" i="18"/>
  <c r="AC304" i="18"/>
  <c r="AB304" i="18"/>
  <c r="AA304" i="18"/>
  <c r="Z304" i="18"/>
  <c r="Y304" i="18"/>
  <c r="X304" i="18"/>
  <c r="W304" i="18"/>
  <c r="V304" i="18"/>
  <c r="U304" i="18"/>
  <c r="T304" i="18"/>
  <c r="S304" i="18"/>
  <c r="R304" i="18"/>
  <c r="Q304" i="18"/>
  <c r="P304" i="18"/>
  <c r="O304" i="18"/>
  <c r="N304" i="18"/>
  <c r="M304" i="18"/>
  <c r="L304" i="18"/>
  <c r="K304" i="18"/>
  <c r="J304" i="18"/>
  <c r="I304" i="18"/>
  <c r="H304" i="18"/>
  <c r="G304" i="18"/>
  <c r="F304" i="18"/>
  <c r="E304" i="18"/>
  <c r="D304" i="18"/>
  <c r="C304" i="18"/>
  <c r="AF303" i="18"/>
  <c r="AE303" i="18"/>
  <c r="AD303" i="18"/>
  <c r="AC303" i="18"/>
  <c r="AB303" i="18"/>
  <c r="AA303" i="18"/>
  <c r="Z303" i="18"/>
  <c r="Y303" i="18"/>
  <c r="X303" i="18"/>
  <c r="W303" i="18"/>
  <c r="V303" i="18"/>
  <c r="U303" i="18"/>
  <c r="T303" i="18"/>
  <c r="S303" i="18"/>
  <c r="R303" i="18"/>
  <c r="Q303" i="18"/>
  <c r="P303" i="18"/>
  <c r="O303" i="18"/>
  <c r="N303" i="18"/>
  <c r="M303" i="18"/>
  <c r="L303" i="18"/>
  <c r="K303" i="18"/>
  <c r="J303" i="18"/>
  <c r="I303" i="18"/>
  <c r="H303" i="18"/>
  <c r="G303" i="18"/>
  <c r="F303" i="18"/>
  <c r="E303" i="18"/>
  <c r="D303" i="18"/>
  <c r="C303" i="18"/>
  <c r="AF302" i="18"/>
  <c r="AE302" i="18"/>
  <c r="AD302" i="18"/>
  <c r="AC302" i="18"/>
  <c r="AB302" i="18"/>
  <c r="AA302" i="18"/>
  <c r="Z302" i="18"/>
  <c r="Y302" i="18"/>
  <c r="X302" i="18"/>
  <c r="W302" i="18"/>
  <c r="V302" i="18"/>
  <c r="U302" i="18"/>
  <c r="T302" i="18"/>
  <c r="S302" i="18"/>
  <c r="R302" i="18"/>
  <c r="Q302" i="18"/>
  <c r="P302" i="18"/>
  <c r="O302" i="18"/>
  <c r="N302" i="18"/>
  <c r="M302" i="18"/>
  <c r="L302" i="18"/>
  <c r="K302" i="18"/>
  <c r="J302" i="18"/>
  <c r="I302" i="18"/>
  <c r="H302" i="18"/>
  <c r="G302" i="18"/>
  <c r="F302" i="18"/>
  <c r="E302" i="18"/>
  <c r="D302" i="18"/>
  <c r="C302" i="18"/>
  <c r="AF301" i="18"/>
  <c r="AE301" i="18"/>
  <c r="AD301" i="18"/>
  <c r="AC301" i="18"/>
  <c r="AB301" i="18"/>
  <c r="AA301" i="18"/>
  <c r="Z301" i="18"/>
  <c r="Y301" i="18"/>
  <c r="X301" i="18"/>
  <c r="W301" i="18"/>
  <c r="V301" i="18"/>
  <c r="U301" i="18"/>
  <c r="T301" i="18"/>
  <c r="S301" i="18"/>
  <c r="R301" i="18"/>
  <c r="Q301" i="18"/>
  <c r="P301" i="18"/>
  <c r="O301" i="18"/>
  <c r="N301" i="18"/>
  <c r="M301" i="18"/>
  <c r="L301" i="18"/>
  <c r="K301" i="18"/>
  <c r="J301" i="18"/>
  <c r="I301" i="18"/>
  <c r="H301" i="18"/>
  <c r="G301" i="18"/>
  <c r="F301" i="18"/>
  <c r="E301" i="18"/>
  <c r="D301" i="18"/>
  <c r="C301" i="18"/>
  <c r="AF295" i="18"/>
  <c r="AE295" i="18"/>
  <c r="AD295" i="18"/>
  <c r="AC295" i="18"/>
  <c r="AB295" i="18"/>
  <c r="AA295" i="18"/>
  <c r="Z295" i="18"/>
  <c r="Y295" i="18"/>
  <c r="X295" i="18"/>
  <c r="W295" i="18"/>
  <c r="V295" i="18"/>
  <c r="U295" i="18"/>
  <c r="T295" i="18"/>
  <c r="S295" i="18"/>
  <c r="R295" i="18"/>
  <c r="Q295" i="18"/>
  <c r="P295" i="18"/>
  <c r="O295" i="18"/>
  <c r="N295" i="18"/>
  <c r="M295" i="18"/>
  <c r="L295" i="18"/>
  <c r="K295" i="18"/>
  <c r="J295" i="18"/>
  <c r="I295" i="18"/>
  <c r="H295" i="18"/>
  <c r="G295" i="18"/>
  <c r="F295" i="18"/>
  <c r="E295" i="18"/>
  <c r="D295" i="18"/>
  <c r="C295" i="18"/>
  <c r="AF294" i="18"/>
  <c r="AE294" i="18"/>
  <c r="AD294" i="18"/>
  <c r="AC294" i="18"/>
  <c r="AB294" i="18"/>
  <c r="AA294" i="18"/>
  <c r="Z294" i="18"/>
  <c r="Y294" i="18"/>
  <c r="X294" i="18"/>
  <c r="W294" i="18"/>
  <c r="V294" i="18"/>
  <c r="U294" i="18"/>
  <c r="T294" i="18"/>
  <c r="S294" i="18"/>
  <c r="R294" i="18"/>
  <c r="Q294" i="18"/>
  <c r="P294" i="18"/>
  <c r="O294" i="18"/>
  <c r="N294" i="18"/>
  <c r="M294" i="18"/>
  <c r="L294" i="18"/>
  <c r="K294" i="18"/>
  <c r="J294" i="18"/>
  <c r="I294" i="18"/>
  <c r="H294" i="18"/>
  <c r="G294" i="18"/>
  <c r="F294" i="18"/>
  <c r="E294" i="18"/>
  <c r="D294" i="18"/>
  <c r="C294" i="18"/>
  <c r="AF293" i="18"/>
  <c r="AE293" i="18"/>
  <c r="AD293" i="18"/>
  <c r="AC293" i="18"/>
  <c r="AB293" i="18"/>
  <c r="AA293" i="18"/>
  <c r="Z293" i="18"/>
  <c r="Y293" i="18"/>
  <c r="X293" i="18"/>
  <c r="W293" i="18"/>
  <c r="V293" i="18"/>
  <c r="U293" i="18"/>
  <c r="T293" i="18"/>
  <c r="S293" i="18"/>
  <c r="R293" i="18"/>
  <c r="Q293" i="18"/>
  <c r="P293" i="18"/>
  <c r="O293" i="18"/>
  <c r="N293" i="18"/>
  <c r="M293" i="18"/>
  <c r="L293" i="18"/>
  <c r="K293" i="18"/>
  <c r="J293" i="18"/>
  <c r="I293" i="18"/>
  <c r="H293" i="18"/>
  <c r="G293" i="18"/>
  <c r="F293" i="18"/>
  <c r="E293" i="18"/>
  <c r="D293" i="18"/>
  <c r="C293" i="18"/>
  <c r="AF292" i="18"/>
  <c r="AE292" i="18"/>
  <c r="AD292" i="18"/>
  <c r="AC292" i="18"/>
  <c r="AB292" i="18"/>
  <c r="AA292" i="18"/>
  <c r="Z292" i="18"/>
  <c r="Y292" i="18"/>
  <c r="X292" i="18"/>
  <c r="W292" i="18"/>
  <c r="V292" i="18"/>
  <c r="U292" i="18"/>
  <c r="T292" i="18"/>
  <c r="S292" i="18"/>
  <c r="R292" i="18"/>
  <c r="Q292" i="18"/>
  <c r="P292" i="18"/>
  <c r="O292" i="18"/>
  <c r="N292" i="18"/>
  <c r="M292" i="18"/>
  <c r="L292" i="18"/>
  <c r="K292" i="18"/>
  <c r="J292" i="18"/>
  <c r="I292" i="18"/>
  <c r="H292" i="18"/>
  <c r="G292" i="18"/>
  <c r="F292" i="18"/>
  <c r="E292" i="18"/>
  <c r="D292" i="18"/>
  <c r="C292" i="18"/>
  <c r="AF291" i="18"/>
  <c r="AE291" i="18"/>
  <c r="AD291" i="18"/>
  <c r="AC291" i="18"/>
  <c r="AB291" i="18"/>
  <c r="AA291" i="18"/>
  <c r="Z291" i="18"/>
  <c r="Y291" i="18"/>
  <c r="X291" i="18"/>
  <c r="W291" i="18"/>
  <c r="V291" i="18"/>
  <c r="U291" i="18"/>
  <c r="T291" i="18"/>
  <c r="S291" i="18"/>
  <c r="R291" i="18"/>
  <c r="Q291" i="18"/>
  <c r="P291" i="18"/>
  <c r="O291" i="18"/>
  <c r="N291" i="18"/>
  <c r="M291" i="18"/>
  <c r="L291" i="18"/>
  <c r="K291" i="18"/>
  <c r="J291" i="18"/>
  <c r="I291" i="18"/>
  <c r="H291" i="18"/>
  <c r="G291" i="18"/>
  <c r="F291" i="18"/>
  <c r="E291" i="18"/>
  <c r="D291" i="18"/>
  <c r="C291" i="18"/>
  <c r="AF290" i="18"/>
  <c r="AE290" i="18"/>
  <c r="AD290" i="18"/>
  <c r="AC290" i="18"/>
  <c r="AB290" i="18"/>
  <c r="AA290" i="18"/>
  <c r="Z290" i="18"/>
  <c r="Y290" i="18"/>
  <c r="X290" i="18"/>
  <c r="W290" i="18"/>
  <c r="V290" i="18"/>
  <c r="U290" i="18"/>
  <c r="T290" i="18"/>
  <c r="S290" i="18"/>
  <c r="R290" i="18"/>
  <c r="Q290" i="18"/>
  <c r="P290" i="18"/>
  <c r="O290" i="18"/>
  <c r="N290" i="18"/>
  <c r="M290" i="18"/>
  <c r="L290" i="18"/>
  <c r="K290" i="18"/>
  <c r="J290" i="18"/>
  <c r="I290" i="18"/>
  <c r="H290" i="18"/>
  <c r="G290" i="18"/>
  <c r="F290" i="18"/>
  <c r="E290" i="18"/>
  <c r="D290" i="18"/>
  <c r="C290" i="18"/>
  <c r="AF286" i="18"/>
  <c r="AE286" i="18"/>
  <c r="AD286" i="18"/>
  <c r="AC286" i="18"/>
  <c r="AB286" i="18"/>
  <c r="AA286" i="18"/>
  <c r="Z286" i="18"/>
  <c r="Y286" i="18"/>
  <c r="X286" i="18"/>
  <c r="W286" i="18"/>
  <c r="V286" i="18"/>
  <c r="U286" i="18"/>
  <c r="T286" i="18"/>
  <c r="S286" i="18"/>
  <c r="R286" i="18"/>
  <c r="Q286" i="18"/>
  <c r="P286" i="18"/>
  <c r="O286" i="18"/>
  <c r="N286" i="18"/>
  <c r="M286" i="18"/>
  <c r="L286" i="18"/>
  <c r="K286" i="18"/>
  <c r="J286" i="18"/>
  <c r="I286" i="18"/>
  <c r="H286" i="18"/>
  <c r="G286" i="18"/>
  <c r="F286" i="18"/>
  <c r="E286" i="18"/>
  <c r="D286" i="18"/>
  <c r="C286" i="18"/>
  <c r="AF285" i="18"/>
  <c r="AE285" i="18"/>
  <c r="AD285" i="18"/>
  <c r="AC285" i="18"/>
  <c r="AB285" i="18"/>
  <c r="AA285" i="18"/>
  <c r="Z285" i="18"/>
  <c r="Y285" i="18"/>
  <c r="X285" i="18"/>
  <c r="W285" i="18"/>
  <c r="V285" i="18"/>
  <c r="U285" i="18"/>
  <c r="T285" i="18"/>
  <c r="S285" i="18"/>
  <c r="R285" i="18"/>
  <c r="Q285" i="18"/>
  <c r="P285" i="18"/>
  <c r="O285" i="18"/>
  <c r="N285" i="18"/>
  <c r="M285" i="18"/>
  <c r="L285" i="18"/>
  <c r="K285" i="18"/>
  <c r="J285" i="18"/>
  <c r="I285" i="18"/>
  <c r="H285" i="18"/>
  <c r="G285" i="18"/>
  <c r="F285" i="18"/>
  <c r="E285" i="18"/>
  <c r="D285" i="18"/>
  <c r="C285" i="18"/>
  <c r="AF284" i="18"/>
  <c r="AE284" i="18"/>
  <c r="AD284" i="18"/>
  <c r="AC284" i="18"/>
  <c r="AB284" i="18"/>
  <c r="AA284" i="18"/>
  <c r="Z284" i="18"/>
  <c r="Y284" i="18"/>
  <c r="X284" i="18"/>
  <c r="W284" i="18"/>
  <c r="V284" i="18"/>
  <c r="U284" i="18"/>
  <c r="T284" i="18"/>
  <c r="S284" i="18"/>
  <c r="R284" i="18"/>
  <c r="Q284" i="18"/>
  <c r="P284" i="18"/>
  <c r="O284" i="18"/>
  <c r="N284" i="18"/>
  <c r="M284" i="18"/>
  <c r="L284" i="18"/>
  <c r="K284" i="18"/>
  <c r="J284" i="18"/>
  <c r="I284" i="18"/>
  <c r="H284" i="18"/>
  <c r="G284" i="18"/>
  <c r="F284" i="18"/>
  <c r="E284" i="18"/>
  <c r="D284" i="18"/>
  <c r="C284" i="18"/>
  <c r="AF283" i="18"/>
  <c r="AE283" i="18"/>
  <c r="AD283" i="18"/>
  <c r="AC283" i="18"/>
  <c r="AB283" i="18"/>
  <c r="AA283" i="18"/>
  <c r="Z283" i="18"/>
  <c r="Y283" i="18"/>
  <c r="X283" i="18"/>
  <c r="W283" i="18"/>
  <c r="V283" i="18"/>
  <c r="U283" i="18"/>
  <c r="T283" i="18"/>
  <c r="S283" i="18"/>
  <c r="R283" i="18"/>
  <c r="Q283" i="18"/>
  <c r="P283" i="18"/>
  <c r="O283" i="18"/>
  <c r="N283" i="18"/>
  <c r="M283" i="18"/>
  <c r="L283" i="18"/>
  <c r="K283" i="18"/>
  <c r="J283" i="18"/>
  <c r="I283" i="18"/>
  <c r="H283" i="18"/>
  <c r="G283" i="18"/>
  <c r="F283" i="18"/>
  <c r="E283" i="18"/>
  <c r="D283" i="18"/>
  <c r="C283" i="18"/>
  <c r="AF282" i="18"/>
  <c r="AE282" i="18"/>
  <c r="AD282" i="18"/>
  <c r="AC282" i="18"/>
  <c r="AB282" i="18"/>
  <c r="AA282" i="18"/>
  <c r="Z282" i="18"/>
  <c r="Y282" i="18"/>
  <c r="X282" i="18"/>
  <c r="W282" i="18"/>
  <c r="V282" i="18"/>
  <c r="U282" i="18"/>
  <c r="T282" i="18"/>
  <c r="S282" i="18"/>
  <c r="R282" i="18"/>
  <c r="Q282" i="18"/>
  <c r="P282" i="18"/>
  <c r="O282" i="18"/>
  <c r="N282" i="18"/>
  <c r="M282" i="18"/>
  <c r="L282" i="18"/>
  <c r="K282" i="18"/>
  <c r="J282" i="18"/>
  <c r="I282" i="18"/>
  <c r="H282" i="18"/>
  <c r="G282" i="18"/>
  <c r="F282" i="18"/>
  <c r="E282" i="18"/>
  <c r="D282" i="18"/>
  <c r="C282" i="18"/>
  <c r="AF281" i="18"/>
  <c r="AE281" i="18"/>
  <c r="AD281" i="18"/>
  <c r="AC281" i="18"/>
  <c r="AB281" i="18"/>
  <c r="AA281" i="18"/>
  <c r="Z281" i="18"/>
  <c r="Y281" i="18"/>
  <c r="X281" i="18"/>
  <c r="W281" i="18"/>
  <c r="V281" i="18"/>
  <c r="U281" i="18"/>
  <c r="T281" i="18"/>
  <c r="S281" i="18"/>
  <c r="R281" i="18"/>
  <c r="Q281" i="18"/>
  <c r="P281" i="18"/>
  <c r="O281" i="18"/>
  <c r="N281" i="18"/>
  <c r="M281" i="18"/>
  <c r="L281" i="18"/>
  <c r="K281" i="18"/>
  <c r="J281" i="18"/>
  <c r="I281" i="18"/>
  <c r="H281" i="18"/>
  <c r="G281" i="18"/>
  <c r="F281" i="18"/>
  <c r="E281" i="18"/>
  <c r="D281" i="18"/>
  <c r="C281" i="18"/>
  <c r="AF275" i="18"/>
  <c r="AE275" i="18"/>
  <c r="AD275" i="18"/>
  <c r="AC275" i="18"/>
  <c r="AB275" i="18"/>
  <c r="AA275" i="18"/>
  <c r="Z275" i="18"/>
  <c r="Y275" i="18"/>
  <c r="X275" i="18"/>
  <c r="W275" i="18"/>
  <c r="V275" i="18"/>
  <c r="U275" i="18"/>
  <c r="T275" i="18"/>
  <c r="S275" i="18"/>
  <c r="R275" i="18"/>
  <c r="Q275" i="18"/>
  <c r="P275" i="18"/>
  <c r="O275" i="18"/>
  <c r="N275" i="18"/>
  <c r="M275" i="18"/>
  <c r="L275" i="18"/>
  <c r="K275" i="18"/>
  <c r="J275" i="18"/>
  <c r="I275" i="18"/>
  <c r="H275" i="18"/>
  <c r="G275" i="18"/>
  <c r="F275" i="18"/>
  <c r="E275" i="18"/>
  <c r="D275" i="18"/>
  <c r="C275" i="18"/>
  <c r="AF274" i="18"/>
  <c r="AE274" i="18"/>
  <c r="AD274" i="18"/>
  <c r="AC274" i="18"/>
  <c r="AB274" i="18"/>
  <c r="AA274" i="18"/>
  <c r="Z274" i="18"/>
  <c r="Y274" i="18"/>
  <c r="X274" i="18"/>
  <c r="W274" i="18"/>
  <c r="V274" i="18"/>
  <c r="U274" i="18"/>
  <c r="T274" i="18"/>
  <c r="S274" i="18"/>
  <c r="R274" i="18"/>
  <c r="Q274" i="18"/>
  <c r="P274" i="18"/>
  <c r="O274" i="18"/>
  <c r="N274" i="18"/>
  <c r="M274" i="18"/>
  <c r="L274" i="18"/>
  <c r="K274" i="18"/>
  <c r="J274" i="18"/>
  <c r="I274" i="18"/>
  <c r="H274" i="18"/>
  <c r="G274" i="18"/>
  <c r="F274" i="18"/>
  <c r="E274" i="18"/>
  <c r="D274" i="18"/>
  <c r="C274" i="18"/>
  <c r="AF273" i="18"/>
  <c r="AE273" i="18"/>
  <c r="AD273" i="18"/>
  <c r="AC273" i="18"/>
  <c r="AB273" i="18"/>
  <c r="AA273" i="18"/>
  <c r="Z273" i="18"/>
  <c r="Y273" i="18"/>
  <c r="X273" i="18"/>
  <c r="W273" i="18"/>
  <c r="V273" i="18"/>
  <c r="U273" i="18"/>
  <c r="T273" i="18"/>
  <c r="S273" i="18"/>
  <c r="R273" i="18"/>
  <c r="Q273" i="18"/>
  <c r="P273" i="18"/>
  <c r="O273" i="18"/>
  <c r="N273" i="18"/>
  <c r="M273" i="18"/>
  <c r="L273" i="18"/>
  <c r="K273" i="18"/>
  <c r="J273" i="18"/>
  <c r="I273" i="18"/>
  <c r="H273" i="18"/>
  <c r="G273" i="18"/>
  <c r="F273" i="18"/>
  <c r="E273" i="18"/>
  <c r="D273" i="18"/>
  <c r="C273" i="18"/>
  <c r="AF272" i="18"/>
  <c r="AE272" i="18"/>
  <c r="AD272" i="18"/>
  <c r="AC272" i="18"/>
  <c r="AB272" i="18"/>
  <c r="AA272" i="18"/>
  <c r="Z272" i="18"/>
  <c r="Y272" i="18"/>
  <c r="X272" i="18"/>
  <c r="W272" i="18"/>
  <c r="V272" i="18"/>
  <c r="U272" i="18"/>
  <c r="T272" i="18"/>
  <c r="S272" i="18"/>
  <c r="R272" i="18"/>
  <c r="Q272" i="18"/>
  <c r="P272" i="18"/>
  <c r="O272" i="18"/>
  <c r="N272" i="18"/>
  <c r="M272" i="18"/>
  <c r="L272" i="18"/>
  <c r="K272" i="18"/>
  <c r="J272" i="18"/>
  <c r="I272" i="18"/>
  <c r="H272" i="18"/>
  <c r="G272" i="18"/>
  <c r="F272" i="18"/>
  <c r="E272" i="18"/>
  <c r="D272" i="18"/>
  <c r="C272" i="18"/>
  <c r="AF271" i="18"/>
  <c r="AE271" i="18"/>
  <c r="AD271" i="18"/>
  <c r="AC271" i="18"/>
  <c r="AB271" i="18"/>
  <c r="AA271" i="18"/>
  <c r="Z271" i="18"/>
  <c r="Y271" i="18"/>
  <c r="X271" i="18"/>
  <c r="W271" i="18"/>
  <c r="V271" i="18"/>
  <c r="U271" i="18"/>
  <c r="T271" i="18"/>
  <c r="S271" i="18"/>
  <c r="R271" i="18"/>
  <c r="Q271" i="18"/>
  <c r="P271" i="18"/>
  <c r="O271" i="18"/>
  <c r="N271" i="18"/>
  <c r="M271" i="18"/>
  <c r="L271" i="18"/>
  <c r="K271" i="18"/>
  <c r="J271" i="18"/>
  <c r="I271" i="18"/>
  <c r="H271" i="18"/>
  <c r="G271" i="18"/>
  <c r="F271" i="18"/>
  <c r="E271" i="18"/>
  <c r="D271" i="18"/>
  <c r="C271" i="18"/>
  <c r="AF270" i="18"/>
  <c r="AE270" i="18"/>
  <c r="AD270" i="18"/>
  <c r="AC270" i="18"/>
  <c r="AB270" i="18"/>
  <c r="AA270" i="18"/>
  <c r="Z270" i="18"/>
  <c r="Y270" i="18"/>
  <c r="X270" i="18"/>
  <c r="W270" i="18"/>
  <c r="V270" i="18"/>
  <c r="U270" i="18"/>
  <c r="T270" i="18"/>
  <c r="S270" i="18"/>
  <c r="R270" i="18"/>
  <c r="Q270" i="18"/>
  <c r="P270" i="18"/>
  <c r="O270" i="18"/>
  <c r="N270" i="18"/>
  <c r="M270" i="18"/>
  <c r="L270" i="18"/>
  <c r="K270" i="18"/>
  <c r="J270" i="18"/>
  <c r="I270" i="18"/>
  <c r="H270" i="18"/>
  <c r="G270" i="18"/>
  <c r="F270" i="18"/>
  <c r="E270" i="18"/>
  <c r="D270" i="18"/>
  <c r="C270" i="18"/>
  <c r="AF266" i="18"/>
  <c r="AE266" i="18"/>
  <c r="AD266" i="18"/>
  <c r="AC266" i="18"/>
  <c r="AB266" i="18"/>
  <c r="AA266" i="18"/>
  <c r="Z266" i="18"/>
  <c r="Y266" i="18"/>
  <c r="X266" i="18"/>
  <c r="W266" i="18"/>
  <c r="V266" i="18"/>
  <c r="U266" i="18"/>
  <c r="T266" i="18"/>
  <c r="S266" i="18"/>
  <c r="R266" i="18"/>
  <c r="Q266" i="18"/>
  <c r="P266" i="18"/>
  <c r="O266" i="18"/>
  <c r="N266" i="18"/>
  <c r="M266" i="18"/>
  <c r="L266" i="18"/>
  <c r="K266" i="18"/>
  <c r="J266" i="18"/>
  <c r="I266" i="18"/>
  <c r="H266" i="18"/>
  <c r="G266" i="18"/>
  <c r="F266" i="18"/>
  <c r="E266" i="18"/>
  <c r="D266" i="18"/>
  <c r="C266" i="18"/>
  <c r="AF265" i="18"/>
  <c r="AE265" i="18"/>
  <c r="AD265" i="18"/>
  <c r="AC265" i="18"/>
  <c r="AB265" i="18"/>
  <c r="AA265" i="18"/>
  <c r="Z265" i="18"/>
  <c r="Y265" i="18"/>
  <c r="X265" i="18"/>
  <c r="W265" i="18"/>
  <c r="V265" i="18"/>
  <c r="U265" i="18"/>
  <c r="T265" i="18"/>
  <c r="S265" i="18"/>
  <c r="R265" i="18"/>
  <c r="Q265" i="18"/>
  <c r="P265" i="18"/>
  <c r="O265" i="18"/>
  <c r="N265" i="18"/>
  <c r="M265" i="18"/>
  <c r="L265" i="18"/>
  <c r="K265" i="18"/>
  <c r="J265" i="18"/>
  <c r="I265" i="18"/>
  <c r="H265" i="18"/>
  <c r="G265" i="18"/>
  <c r="F265" i="18"/>
  <c r="E265" i="18"/>
  <c r="D265" i="18"/>
  <c r="C265" i="18"/>
  <c r="AF264" i="18"/>
  <c r="AE264" i="18"/>
  <c r="AD264" i="18"/>
  <c r="AC264" i="18"/>
  <c r="AB264" i="18"/>
  <c r="AA264" i="18"/>
  <c r="Z264" i="18"/>
  <c r="Y264" i="18"/>
  <c r="X264" i="18"/>
  <c r="W264" i="18"/>
  <c r="V264" i="18"/>
  <c r="U264" i="18"/>
  <c r="T264" i="18"/>
  <c r="S264" i="18"/>
  <c r="R264" i="18"/>
  <c r="Q264" i="18"/>
  <c r="P264" i="18"/>
  <c r="O264" i="18"/>
  <c r="N264" i="18"/>
  <c r="M264" i="18"/>
  <c r="L264" i="18"/>
  <c r="K264" i="18"/>
  <c r="J264" i="18"/>
  <c r="I264" i="18"/>
  <c r="H264" i="18"/>
  <c r="G264" i="18"/>
  <c r="F264" i="18"/>
  <c r="E264" i="18"/>
  <c r="D264" i="18"/>
  <c r="C264" i="18"/>
  <c r="AF263" i="18"/>
  <c r="AE263" i="18"/>
  <c r="AD263" i="18"/>
  <c r="AC263" i="18"/>
  <c r="AB263" i="18"/>
  <c r="AA263" i="18"/>
  <c r="Z263" i="18"/>
  <c r="Y263" i="18"/>
  <c r="X263" i="18"/>
  <c r="W263" i="18"/>
  <c r="V263" i="18"/>
  <c r="U263" i="18"/>
  <c r="T263" i="18"/>
  <c r="S263" i="18"/>
  <c r="R263" i="18"/>
  <c r="Q263" i="18"/>
  <c r="P263" i="18"/>
  <c r="O263" i="18"/>
  <c r="N263" i="18"/>
  <c r="M263" i="18"/>
  <c r="L263" i="18"/>
  <c r="K263" i="18"/>
  <c r="J263" i="18"/>
  <c r="I263" i="18"/>
  <c r="H263" i="18"/>
  <c r="G263" i="18"/>
  <c r="F263" i="18"/>
  <c r="E263" i="18"/>
  <c r="D263" i="18"/>
  <c r="C263" i="18"/>
  <c r="AF262" i="18"/>
  <c r="AE262" i="18"/>
  <c r="AD262" i="18"/>
  <c r="AC262" i="18"/>
  <c r="AB262" i="18"/>
  <c r="AA262" i="18"/>
  <c r="Z262" i="18"/>
  <c r="Y262" i="18"/>
  <c r="X262" i="18"/>
  <c r="W262" i="18"/>
  <c r="V262" i="18"/>
  <c r="U262" i="18"/>
  <c r="T262" i="18"/>
  <c r="S262" i="18"/>
  <c r="R262" i="18"/>
  <c r="Q262" i="18"/>
  <c r="P262" i="18"/>
  <c r="O262" i="18"/>
  <c r="N262" i="18"/>
  <c r="M262" i="18"/>
  <c r="L262" i="18"/>
  <c r="K262" i="18"/>
  <c r="J262" i="18"/>
  <c r="I262" i="18"/>
  <c r="H262" i="18"/>
  <c r="G262" i="18"/>
  <c r="F262" i="18"/>
  <c r="E262" i="18"/>
  <c r="D262" i="18"/>
  <c r="C262" i="18"/>
  <c r="AF261" i="18"/>
  <c r="AE261" i="18"/>
  <c r="AD261" i="18"/>
  <c r="AC261" i="18"/>
  <c r="AB261" i="18"/>
  <c r="AA261" i="18"/>
  <c r="Z261" i="18"/>
  <c r="Y261" i="18"/>
  <c r="X261" i="18"/>
  <c r="W261" i="18"/>
  <c r="V261" i="18"/>
  <c r="U261" i="18"/>
  <c r="T261" i="18"/>
  <c r="S261" i="18"/>
  <c r="R261" i="18"/>
  <c r="Q261" i="18"/>
  <c r="P261" i="18"/>
  <c r="O261" i="18"/>
  <c r="N261" i="18"/>
  <c r="M261" i="18"/>
  <c r="L261" i="18"/>
  <c r="K261" i="18"/>
  <c r="J261" i="18"/>
  <c r="I261" i="18"/>
  <c r="H261" i="18"/>
  <c r="G261" i="18"/>
  <c r="F261" i="18"/>
  <c r="E261" i="18"/>
  <c r="D261" i="18"/>
  <c r="C261" i="18"/>
  <c r="AF253" i="18"/>
  <c r="AE253" i="18"/>
  <c r="AD253" i="18"/>
  <c r="AC253" i="18"/>
  <c r="AB253" i="18"/>
  <c r="AA253" i="18"/>
  <c r="Z253" i="18"/>
  <c r="Y253" i="18"/>
  <c r="X253" i="18"/>
  <c r="W253" i="18"/>
  <c r="V253" i="18"/>
  <c r="U253" i="18"/>
  <c r="T253" i="18"/>
  <c r="S253" i="18"/>
  <c r="R253" i="18"/>
  <c r="Q253" i="18"/>
  <c r="P253" i="18"/>
  <c r="O253" i="18"/>
  <c r="N253" i="18"/>
  <c r="M253" i="18"/>
  <c r="L253" i="18"/>
  <c r="K253" i="18"/>
  <c r="J253" i="18"/>
  <c r="I253" i="18"/>
  <c r="H253" i="18"/>
  <c r="G253" i="18"/>
  <c r="F253" i="18"/>
  <c r="E253" i="18"/>
  <c r="D253" i="18"/>
  <c r="C253" i="18"/>
  <c r="AF252" i="18"/>
  <c r="AE252" i="18"/>
  <c r="AD252" i="18"/>
  <c r="AC252" i="18"/>
  <c r="AB252" i="18"/>
  <c r="AA252" i="18"/>
  <c r="Z252" i="18"/>
  <c r="Y252" i="18"/>
  <c r="X252" i="18"/>
  <c r="W252" i="18"/>
  <c r="V252" i="18"/>
  <c r="U252" i="18"/>
  <c r="T252" i="18"/>
  <c r="S252" i="18"/>
  <c r="R252" i="18"/>
  <c r="Q252" i="18"/>
  <c r="P252" i="18"/>
  <c r="O252" i="18"/>
  <c r="N252" i="18"/>
  <c r="M252" i="18"/>
  <c r="L252" i="18"/>
  <c r="K252" i="18"/>
  <c r="J252" i="18"/>
  <c r="I252" i="18"/>
  <c r="H252" i="18"/>
  <c r="G252" i="18"/>
  <c r="F252" i="18"/>
  <c r="E252" i="18"/>
  <c r="D252" i="18"/>
  <c r="C252" i="18"/>
  <c r="AF251" i="18"/>
  <c r="AE251" i="18"/>
  <c r="AD251" i="18"/>
  <c r="AC251" i="18"/>
  <c r="AB251" i="18"/>
  <c r="AA251" i="18"/>
  <c r="Z251" i="18"/>
  <c r="Y251" i="18"/>
  <c r="X251" i="18"/>
  <c r="W251" i="18"/>
  <c r="V251" i="18"/>
  <c r="U251" i="18"/>
  <c r="T251" i="18"/>
  <c r="S251" i="18"/>
  <c r="R251" i="18"/>
  <c r="Q251" i="18"/>
  <c r="P251" i="18"/>
  <c r="O251" i="18"/>
  <c r="N251" i="18"/>
  <c r="M251" i="18"/>
  <c r="L251" i="18"/>
  <c r="K251" i="18"/>
  <c r="J251" i="18"/>
  <c r="I251" i="18"/>
  <c r="H251" i="18"/>
  <c r="G251" i="18"/>
  <c r="F251" i="18"/>
  <c r="E251" i="18"/>
  <c r="D251" i="18"/>
  <c r="C251" i="18"/>
  <c r="AF250" i="18"/>
  <c r="AE250" i="18"/>
  <c r="AD250" i="18"/>
  <c r="AC250" i="18"/>
  <c r="AB250" i="18"/>
  <c r="AA250" i="18"/>
  <c r="Z250" i="18"/>
  <c r="Y250" i="18"/>
  <c r="X250" i="18"/>
  <c r="W250" i="18"/>
  <c r="V250" i="18"/>
  <c r="U250" i="18"/>
  <c r="T250" i="18"/>
  <c r="S250" i="18"/>
  <c r="R250" i="18"/>
  <c r="Q250" i="18"/>
  <c r="P250" i="18"/>
  <c r="O250" i="18"/>
  <c r="N250" i="18"/>
  <c r="M250" i="18"/>
  <c r="L250" i="18"/>
  <c r="K250" i="18"/>
  <c r="J250" i="18"/>
  <c r="I250" i="18"/>
  <c r="H250" i="18"/>
  <c r="G250" i="18"/>
  <c r="F250" i="18"/>
  <c r="E250" i="18"/>
  <c r="D250" i="18"/>
  <c r="C250" i="18"/>
  <c r="AF249" i="18"/>
  <c r="AE249" i="18"/>
  <c r="AD249" i="18"/>
  <c r="AC249" i="18"/>
  <c r="AB249" i="18"/>
  <c r="AA249" i="18"/>
  <c r="Z249" i="18"/>
  <c r="Y249" i="18"/>
  <c r="X249" i="18"/>
  <c r="W249" i="18"/>
  <c r="V249" i="18"/>
  <c r="U249" i="18"/>
  <c r="T249" i="18"/>
  <c r="S249" i="18"/>
  <c r="R249" i="18"/>
  <c r="Q249" i="18"/>
  <c r="P249" i="18"/>
  <c r="O249" i="18"/>
  <c r="N249" i="18"/>
  <c r="M249" i="18"/>
  <c r="L249" i="18"/>
  <c r="K249" i="18"/>
  <c r="J249" i="18"/>
  <c r="I249" i="18"/>
  <c r="H249" i="18"/>
  <c r="G249" i="18"/>
  <c r="F249" i="18"/>
  <c r="E249" i="18"/>
  <c r="D249" i="18"/>
  <c r="C249" i="18"/>
  <c r="AF248" i="18"/>
  <c r="AE248" i="18"/>
  <c r="AD248" i="18"/>
  <c r="AC248" i="18"/>
  <c r="AB248" i="18"/>
  <c r="AA248" i="18"/>
  <c r="Z248" i="18"/>
  <c r="Y248" i="18"/>
  <c r="X248" i="18"/>
  <c r="W248" i="18"/>
  <c r="V248" i="18"/>
  <c r="U248" i="18"/>
  <c r="T248" i="18"/>
  <c r="S248" i="18"/>
  <c r="R248" i="18"/>
  <c r="Q248" i="18"/>
  <c r="P248" i="18"/>
  <c r="O248" i="18"/>
  <c r="N248" i="18"/>
  <c r="M248" i="18"/>
  <c r="L248" i="18"/>
  <c r="K248" i="18"/>
  <c r="J248" i="18"/>
  <c r="I248" i="18"/>
  <c r="H248" i="18"/>
  <c r="G248" i="18"/>
  <c r="F248" i="18"/>
  <c r="E248" i="18"/>
  <c r="D248" i="18"/>
  <c r="C248" i="18"/>
  <c r="AF244" i="18"/>
  <c r="AE244" i="18"/>
  <c r="AD244" i="18"/>
  <c r="AC244" i="18"/>
  <c r="AB244" i="18"/>
  <c r="AA244" i="18"/>
  <c r="Z244" i="18"/>
  <c r="Y244" i="18"/>
  <c r="X244" i="18"/>
  <c r="W244" i="18"/>
  <c r="V244" i="18"/>
  <c r="U244" i="18"/>
  <c r="T244" i="18"/>
  <c r="S244" i="18"/>
  <c r="R244" i="18"/>
  <c r="Q244" i="18"/>
  <c r="P244" i="18"/>
  <c r="O244" i="18"/>
  <c r="N244" i="18"/>
  <c r="M244" i="18"/>
  <c r="L244" i="18"/>
  <c r="K244" i="18"/>
  <c r="J244" i="18"/>
  <c r="I244" i="18"/>
  <c r="H244" i="18"/>
  <c r="G244" i="18"/>
  <c r="F244" i="18"/>
  <c r="E244" i="18"/>
  <c r="D244" i="18"/>
  <c r="C244" i="18"/>
  <c r="AF243" i="18"/>
  <c r="AE243" i="18"/>
  <c r="AD243" i="18"/>
  <c r="AC243" i="18"/>
  <c r="AB243" i="18"/>
  <c r="AA243" i="18"/>
  <c r="Z243" i="18"/>
  <c r="Y243" i="18"/>
  <c r="X243" i="18"/>
  <c r="W243" i="18"/>
  <c r="V243" i="18"/>
  <c r="U243" i="18"/>
  <c r="T243" i="18"/>
  <c r="S243" i="18"/>
  <c r="R243" i="18"/>
  <c r="Q243" i="18"/>
  <c r="P243" i="18"/>
  <c r="O243" i="18"/>
  <c r="N243" i="18"/>
  <c r="M243" i="18"/>
  <c r="L243" i="18"/>
  <c r="K243" i="18"/>
  <c r="J243" i="18"/>
  <c r="I243" i="18"/>
  <c r="H243" i="18"/>
  <c r="G243" i="18"/>
  <c r="F243" i="18"/>
  <c r="E243" i="18"/>
  <c r="D243" i="18"/>
  <c r="C243" i="18"/>
  <c r="AF242" i="18"/>
  <c r="AE242" i="18"/>
  <c r="AD242" i="18"/>
  <c r="AC242" i="18"/>
  <c r="AB242" i="18"/>
  <c r="AA242" i="18"/>
  <c r="Z242" i="18"/>
  <c r="Y242" i="18"/>
  <c r="X242" i="18"/>
  <c r="W242" i="18"/>
  <c r="V242" i="18"/>
  <c r="U242" i="18"/>
  <c r="T242" i="18"/>
  <c r="S242" i="18"/>
  <c r="R242" i="18"/>
  <c r="Q242" i="18"/>
  <c r="P242" i="18"/>
  <c r="O242" i="18"/>
  <c r="N242" i="18"/>
  <c r="M242" i="18"/>
  <c r="L242" i="18"/>
  <c r="K242" i="18"/>
  <c r="J242" i="18"/>
  <c r="I242" i="18"/>
  <c r="H242" i="18"/>
  <c r="G242" i="18"/>
  <c r="F242" i="18"/>
  <c r="E242" i="18"/>
  <c r="D242" i="18"/>
  <c r="C242" i="18"/>
  <c r="AF241" i="18"/>
  <c r="AE241" i="18"/>
  <c r="AD241" i="18"/>
  <c r="AC241" i="18"/>
  <c r="AB241" i="18"/>
  <c r="AA241" i="18"/>
  <c r="Z241" i="18"/>
  <c r="Y241" i="18"/>
  <c r="X241" i="18"/>
  <c r="W241" i="18"/>
  <c r="V241" i="18"/>
  <c r="U241" i="18"/>
  <c r="T241" i="18"/>
  <c r="S241" i="18"/>
  <c r="R241" i="18"/>
  <c r="Q241" i="18"/>
  <c r="P241" i="18"/>
  <c r="O241" i="18"/>
  <c r="N241" i="18"/>
  <c r="M241" i="18"/>
  <c r="L241" i="18"/>
  <c r="K241" i="18"/>
  <c r="J241" i="18"/>
  <c r="I241" i="18"/>
  <c r="H241" i="18"/>
  <c r="G241" i="18"/>
  <c r="F241" i="18"/>
  <c r="E241" i="18"/>
  <c r="D241" i="18"/>
  <c r="C241" i="18"/>
  <c r="AF240" i="18"/>
  <c r="AE240" i="18"/>
  <c r="AD240" i="18"/>
  <c r="AC240" i="18"/>
  <c r="AB240" i="18"/>
  <c r="AA240" i="18"/>
  <c r="Z240" i="18"/>
  <c r="Y240" i="18"/>
  <c r="X240" i="18"/>
  <c r="W240" i="18"/>
  <c r="V240" i="18"/>
  <c r="U240" i="18"/>
  <c r="T240" i="18"/>
  <c r="S240" i="18"/>
  <c r="R240" i="18"/>
  <c r="Q240" i="18"/>
  <c r="P240" i="18"/>
  <c r="O240" i="18"/>
  <c r="N240" i="18"/>
  <c r="M240" i="18"/>
  <c r="L240" i="18"/>
  <c r="K240" i="18"/>
  <c r="J240" i="18"/>
  <c r="I240" i="18"/>
  <c r="H240" i="18"/>
  <c r="G240" i="18"/>
  <c r="F240" i="18"/>
  <c r="E240" i="18"/>
  <c r="D240" i="18"/>
  <c r="C240" i="18"/>
  <c r="AF239" i="18"/>
  <c r="AE239" i="18"/>
  <c r="AD239" i="18"/>
  <c r="AC239" i="18"/>
  <c r="AB239" i="18"/>
  <c r="AA239" i="18"/>
  <c r="Z239" i="18"/>
  <c r="Y239" i="18"/>
  <c r="X239" i="18"/>
  <c r="W239" i="18"/>
  <c r="V239" i="18"/>
  <c r="U239" i="18"/>
  <c r="T239" i="18"/>
  <c r="S239" i="18"/>
  <c r="R239" i="18"/>
  <c r="Q239" i="18"/>
  <c r="P239" i="18"/>
  <c r="O239" i="18"/>
  <c r="N239" i="18"/>
  <c r="M239" i="18"/>
  <c r="L239" i="18"/>
  <c r="K239" i="18"/>
  <c r="J239" i="18"/>
  <c r="I239" i="18"/>
  <c r="H239" i="18"/>
  <c r="G239" i="18"/>
  <c r="F239" i="18"/>
  <c r="E239" i="18"/>
  <c r="D239" i="18"/>
  <c r="C239" i="18"/>
  <c r="AF233" i="18"/>
  <c r="AE233" i="18"/>
  <c r="AD233" i="18"/>
  <c r="AC233" i="18"/>
  <c r="AB233" i="18"/>
  <c r="AA233" i="18"/>
  <c r="Z233" i="18"/>
  <c r="Y233" i="18"/>
  <c r="X233" i="18"/>
  <c r="W233" i="18"/>
  <c r="V233" i="18"/>
  <c r="U233" i="18"/>
  <c r="T233" i="18"/>
  <c r="S233" i="18"/>
  <c r="R233" i="18"/>
  <c r="Q233" i="18"/>
  <c r="P233" i="18"/>
  <c r="O233" i="18"/>
  <c r="N233" i="18"/>
  <c r="M233" i="18"/>
  <c r="L233" i="18"/>
  <c r="K233" i="18"/>
  <c r="J233" i="18"/>
  <c r="I233" i="18"/>
  <c r="H233" i="18"/>
  <c r="G233" i="18"/>
  <c r="F233" i="18"/>
  <c r="E233" i="18"/>
  <c r="D233" i="18"/>
  <c r="C233" i="18"/>
  <c r="AF232" i="18"/>
  <c r="AE232" i="18"/>
  <c r="AD232" i="18"/>
  <c r="AC232" i="18"/>
  <c r="AB232" i="18"/>
  <c r="AA232" i="18"/>
  <c r="Z232" i="18"/>
  <c r="Y232" i="18"/>
  <c r="X232" i="18"/>
  <c r="W232" i="18"/>
  <c r="V232" i="18"/>
  <c r="U232" i="18"/>
  <c r="T232" i="18"/>
  <c r="S232" i="18"/>
  <c r="R232" i="18"/>
  <c r="Q232" i="18"/>
  <c r="P232" i="18"/>
  <c r="O232" i="18"/>
  <c r="N232" i="18"/>
  <c r="M232" i="18"/>
  <c r="L232" i="18"/>
  <c r="K232" i="18"/>
  <c r="J232" i="18"/>
  <c r="I232" i="18"/>
  <c r="H232" i="18"/>
  <c r="G232" i="18"/>
  <c r="F232" i="18"/>
  <c r="E232" i="18"/>
  <c r="D232" i="18"/>
  <c r="C232" i="18"/>
  <c r="AF231" i="18"/>
  <c r="AE231" i="18"/>
  <c r="AD231" i="18"/>
  <c r="AC231" i="18"/>
  <c r="AB231" i="18"/>
  <c r="AA231" i="18"/>
  <c r="Z231" i="18"/>
  <c r="Y231" i="18"/>
  <c r="X231" i="18"/>
  <c r="W231" i="18"/>
  <c r="V231" i="18"/>
  <c r="U231" i="18"/>
  <c r="T231" i="18"/>
  <c r="S231" i="18"/>
  <c r="R231" i="18"/>
  <c r="Q231" i="18"/>
  <c r="P231" i="18"/>
  <c r="O231" i="18"/>
  <c r="N231" i="18"/>
  <c r="M231" i="18"/>
  <c r="L231" i="18"/>
  <c r="K231" i="18"/>
  <c r="J231" i="18"/>
  <c r="I231" i="18"/>
  <c r="H231" i="18"/>
  <c r="G231" i="18"/>
  <c r="F231" i="18"/>
  <c r="E231" i="18"/>
  <c r="D231" i="18"/>
  <c r="C231" i="18"/>
  <c r="AF230" i="18"/>
  <c r="AE230" i="18"/>
  <c r="AD230" i="18"/>
  <c r="AC230" i="18"/>
  <c r="AB230" i="18"/>
  <c r="AA230" i="18"/>
  <c r="Z230" i="18"/>
  <c r="Y230" i="18"/>
  <c r="X230" i="18"/>
  <c r="W230" i="18"/>
  <c r="V230" i="18"/>
  <c r="U230" i="18"/>
  <c r="T230" i="18"/>
  <c r="S230" i="18"/>
  <c r="R230" i="18"/>
  <c r="Q230" i="18"/>
  <c r="P230" i="18"/>
  <c r="O230" i="18"/>
  <c r="N230" i="18"/>
  <c r="M230" i="18"/>
  <c r="L230" i="18"/>
  <c r="K230" i="18"/>
  <c r="J230" i="18"/>
  <c r="I230" i="18"/>
  <c r="H230" i="18"/>
  <c r="G230" i="18"/>
  <c r="F230" i="18"/>
  <c r="E230" i="18"/>
  <c r="D230" i="18"/>
  <c r="C230" i="18"/>
  <c r="AF229" i="18"/>
  <c r="AE229" i="18"/>
  <c r="AD229" i="18"/>
  <c r="AC229" i="18"/>
  <c r="AB229" i="18"/>
  <c r="AA229" i="18"/>
  <c r="Z229" i="18"/>
  <c r="Y229" i="18"/>
  <c r="X229" i="18"/>
  <c r="W229" i="18"/>
  <c r="V229" i="18"/>
  <c r="U229" i="18"/>
  <c r="T229" i="18"/>
  <c r="S229" i="18"/>
  <c r="R229" i="18"/>
  <c r="Q229" i="18"/>
  <c r="P229" i="18"/>
  <c r="O229" i="18"/>
  <c r="N229" i="18"/>
  <c r="M229" i="18"/>
  <c r="L229" i="18"/>
  <c r="K229" i="18"/>
  <c r="J229" i="18"/>
  <c r="I229" i="18"/>
  <c r="H229" i="18"/>
  <c r="G229" i="18"/>
  <c r="F229" i="18"/>
  <c r="E229" i="18"/>
  <c r="D229" i="18"/>
  <c r="C229" i="18"/>
  <c r="AF228" i="18"/>
  <c r="AE228" i="18"/>
  <c r="AD228" i="18"/>
  <c r="AC228" i="18"/>
  <c r="AB228" i="18"/>
  <c r="AA228" i="18"/>
  <c r="Z228" i="18"/>
  <c r="Y228" i="18"/>
  <c r="X228" i="18"/>
  <c r="W228" i="18"/>
  <c r="V228" i="18"/>
  <c r="U228" i="18"/>
  <c r="T228" i="18"/>
  <c r="S228" i="18"/>
  <c r="R228" i="18"/>
  <c r="Q228" i="18"/>
  <c r="P228" i="18"/>
  <c r="O228" i="18"/>
  <c r="N228" i="18"/>
  <c r="M228" i="18"/>
  <c r="L228" i="18"/>
  <c r="K228" i="18"/>
  <c r="J228" i="18"/>
  <c r="I228" i="18"/>
  <c r="H228" i="18"/>
  <c r="G228" i="18"/>
  <c r="F228" i="18"/>
  <c r="E228" i="18"/>
  <c r="D228" i="18"/>
  <c r="C228" i="18"/>
  <c r="AF224" i="18"/>
  <c r="AE224" i="18"/>
  <c r="AD224" i="18"/>
  <c r="AC224" i="18"/>
  <c r="AB224" i="18"/>
  <c r="AA224" i="18"/>
  <c r="Z224" i="18"/>
  <c r="Y224" i="18"/>
  <c r="X224" i="18"/>
  <c r="W224" i="18"/>
  <c r="V224" i="18"/>
  <c r="U224" i="18"/>
  <c r="T224" i="18"/>
  <c r="S224" i="18"/>
  <c r="R224" i="18"/>
  <c r="Q224" i="18"/>
  <c r="P224" i="18"/>
  <c r="O224" i="18"/>
  <c r="N224" i="18"/>
  <c r="M224" i="18"/>
  <c r="L224" i="18"/>
  <c r="K224" i="18"/>
  <c r="J224" i="18"/>
  <c r="I224" i="18"/>
  <c r="H224" i="18"/>
  <c r="G224" i="18"/>
  <c r="F224" i="18"/>
  <c r="E224" i="18"/>
  <c r="D224" i="18"/>
  <c r="C224" i="18"/>
  <c r="AF223" i="18"/>
  <c r="AE223" i="18"/>
  <c r="AD223" i="18"/>
  <c r="AC223" i="18"/>
  <c r="AB223" i="18"/>
  <c r="AA223" i="18"/>
  <c r="Z223" i="18"/>
  <c r="Y223" i="18"/>
  <c r="X223" i="18"/>
  <c r="W223" i="18"/>
  <c r="V223" i="18"/>
  <c r="U223" i="18"/>
  <c r="T223" i="18"/>
  <c r="S223" i="18"/>
  <c r="R223" i="18"/>
  <c r="Q223" i="18"/>
  <c r="P223" i="18"/>
  <c r="O223" i="18"/>
  <c r="N223" i="18"/>
  <c r="M223" i="18"/>
  <c r="L223" i="18"/>
  <c r="K223" i="18"/>
  <c r="J223" i="18"/>
  <c r="I223" i="18"/>
  <c r="H223" i="18"/>
  <c r="G223" i="18"/>
  <c r="F223" i="18"/>
  <c r="E223" i="18"/>
  <c r="D223" i="18"/>
  <c r="C223" i="18"/>
  <c r="AF222" i="18"/>
  <c r="AE222" i="18"/>
  <c r="AD222" i="18"/>
  <c r="AC222" i="18"/>
  <c r="AB222" i="18"/>
  <c r="AA222" i="18"/>
  <c r="Z222" i="18"/>
  <c r="Y222" i="18"/>
  <c r="X222" i="18"/>
  <c r="W222" i="18"/>
  <c r="V222" i="18"/>
  <c r="U222" i="18"/>
  <c r="T222" i="18"/>
  <c r="S222" i="18"/>
  <c r="R222" i="18"/>
  <c r="Q222" i="18"/>
  <c r="P222" i="18"/>
  <c r="O222" i="18"/>
  <c r="N222" i="18"/>
  <c r="M222" i="18"/>
  <c r="L222" i="18"/>
  <c r="K222" i="18"/>
  <c r="J222" i="18"/>
  <c r="I222" i="18"/>
  <c r="H222" i="18"/>
  <c r="G222" i="18"/>
  <c r="F222" i="18"/>
  <c r="E222" i="18"/>
  <c r="D222" i="18"/>
  <c r="C222" i="18"/>
  <c r="AF221" i="18"/>
  <c r="AE221" i="18"/>
  <c r="AD221" i="18"/>
  <c r="AC221" i="18"/>
  <c r="AB221" i="18"/>
  <c r="AA221" i="18"/>
  <c r="Z221" i="18"/>
  <c r="Y221" i="18"/>
  <c r="X221" i="18"/>
  <c r="W221" i="18"/>
  <c r="V221" i="18"/>
  <c r="U221" i="18"/>
  <c r="T221" i="18"/>
  <c r="S221" i="18"/>
  <c r="R221" i="18"/>
  <c r="Q221" i="18"/>
  <c r="P221" i="18"/>
  <c r="O221" i="18"/>
  <c r="N221" i="18"/>
  <c r="M221" i="18"/>
  <c r="L221" i="18"/>
  <c r="K221" i="18"/>
  <c r="J221" i="18"/>
  <c r="I221" i="18"/>
  <c r="H221" i="18"/>
  <c r="G221" i="18"/>
  <c r="F221" i="18"/>
  <c r="E221" i="18"/>
  <c r="D221" i="18"/>
  <c r="C221" i="18"/>
  <c r="AF220" i="18"/>
  <c r="AE220" i="18"/>
  <c r="AD220" i="18"/>
  <c r="AC220" i="18"/>
  <c r="AB220" i="18"/>
  <c r="AA220" i="18"/>
  <c r="Z220" i="18"/>
  <c r="Y220" i="18"/>
  <c r="X220" i="18"/>
  <c r="W220" i="18"/>
  <c r="V220" i="18"/>
  <c r="U220" i="18"/>
  <c r="T220" i="18"/>
  <c r="S220" i="18"/>
  <c r="R220" i="18"/>
  <c r="Q220" i="18"/>
  <c r="P220" i="18"/>
  <c r="O220" i="18"/>
  <c r="N220" i="18"/>
  <c r="M220" i="18"/>
  <c r="L220" i="18"/>
  <c r="K220" i="18"/>
  <c r="J220" i="18"/>
  <c r="I220" i="18"/>
  <c r="H220" i="18"/>
  <c r="G220" i="18"/>
  <c r="F220" i="18"/>
  <c r="E220" i="18"/>
  <c r="D220" i="18"/>
  <c r="C220" i="18"/>
  <c r="AF219" i="18"/>
  <c r="AE219" i="18"/>
  <c r="AD219" i="18"/>
  <c r="AC219" i="18"/>
  <c r="AB219" i="18"/>
  <c r="AA219" i="18"/>
  <c r="Z219" i="18"/>
  <c r="Y219" i="18"/>
  <c r="X219" i="18"/>
  <c r="W219" i="18"/>
  <c r="V219" i="18"/>
  <c r="U219" i="18"/>
  <c r="T219" i="18"/>
  <c r="S219" i="18"/>
  <c r="R219" i="18"/>
  <c r="Q219" i="18"/>
  <c r="P219" i="18"/>
  <c r="O219" i="18"/>
  <c r="N219" i="18"/>
  <c r="M219" i="18"/>
  <c r="L219" i="18"/>
  <c r="K219" i="18"/>
  <c r="J219" i="18"/>
  <c r="I219" i="18"/>
  <c r="H219" i="18"/>
  <c r="G219" i="18"/>
  <c r="F219" i="18"/>
  <c r="E219" i="18"/>
  <c r="D219" i="18"/>
  <c r="C219" i="18"/>
  <c r="AF213" i="18"/>
  <c r="AE213" i="18"/>
  <c r="AD213" i="18"/>
  <c r="AC213" i="18"/>
  <c r="AB213" i="18"/>
  <c r="AA213" i="18"/>
  <c r="Z213" i="18"/>
  <c r="Y213" i="18"/>
  <c r="X213" i="18"/>
  <c r="W213" i="18"/>
  <c r="V213" i="18"/>
  <c r="U213" i="18"/>
  <c r="T213" i="18"/>
  <c r="S213" i="18"/>
  <c r="R213" i="18"/>
  <c r="Q213" i="18"/>
  <c r="P213" i="18"/>
  <c r="O213" i="18"/>
  <c r="N213" i="18"/>
  <c r="M213" i="18"/>
  <c r="L213" i="18"/>
  <c r="K213" i="18"/>
  <c r="J213" i="18"/>
  <c r="I213" i="18"/>
  <c r="H213" i="18"/>
  <c r="G213" i="18"/>
  <c r="F213" i="18"/>
  <c r="E213" i="18"/>
  <c r="D213" i="18"/>
  <c r="C213" i="18"/>
  <c r="AF212" i="18"/>
  <c r="AE212" i="18"/>
  <c r="AD212" i="18"/>
  <c r="AC212" i="18"/>
  <c r="AB212" i="18"/>
  <c r="AA212" i="18"/>
  <c r="Z212" i="18"/>
  <c r="Y212" i="18"/>
  <c r="X212" i="18"/>
  <c r="W212" i="18"/>
  <c r="V212" i="18"/>
  <c r="U212" i="18"/>
  <c r="T212" i="18"/>
  <c r="S212" i="18"/>
  <c r="R212" i="18"/>
  <c r="Q212" i="18"/>
  <c r="P212" i="18"/>
  <c r="O212" i="18"/>
  <c r="N212" i="18"/>
  <c r="M212" i="18"/>
  <c r="L212" i="18"/>
  <c r="K212" i="18"/>
  <c r="J212" i="18"/>
  <c r="I212" i="18"/>
  <c r="H212" i="18"/>
  <c r="G212" i="18"/>
  <c r="F212" i="18"/>
  <c r="E212" i="18"/>
  <c r="D212" i="18"/>
  <c r="C212" i="18"/>
  <c r="AF211" i="18"/>
  <c r="AE211" i="18"/>
  <c r="AD211" i="18"/>
  <c r="AC211" i="18"/>
  <c r="AB211" i="18"/>
  <c r="AA211" i="18"/>
  <c r="Z211" i="18"/>
  <c r="Y211" i="18"/>
  <c r="X211" i="18"/>
  <c r="W211" i="18"/>
  <c r="V211" i="18"/>
  <c r="U211" i="18"/>
  <c r="T211" i="18"/>
  <c r="S211" i="18"/>
  <c r="R211" i="18"/>
  <c r="Q211" i="18"/>
  <c r="P211" i="18"/>
  <c r="O211" i="18"/>
  <c r="N211" i="18"/>
  <c r="M211" i="18"/>
  <c r="L211" i="18"/>
  <c r="K211" i="18"/>
  <c r="J211" i="18"/>
  <c r="I211" i="18"/>
  <c r="H211" i="18"/>
  <c r="G211" i="18"/>
  <c r="F211" i="18"/>
  <c r="E211" i="18"/>
  <c r="D211" i="18"/>
  <c r="C211" i="18"/>
  <c r="AF210" i="18"/>
  <c r="AE210" i="18"/>
  <c r="AD210" i="18"/>
  <c r="AC210" i="18"/>
  <c r="AB210" i="18"/>
  <c r="AA210" i="18"/>
  <c r="Z210" i="18"/>
  <c r="Y210" i="18"/>
  <c r="X210" i="18"/>
  <c r="W210" i="18"/>
  <c r="V210" i="18"/>
  <c r="U210" i="18"/>
  <c r="T210" i="18"/>
  <c r="S210" i="18"/>
  <c r="R210" i="18"/>
  <c r="Q210" i="18"/>
  <c r="P210" i="18"/>
  <c r="O210" i="18"/>
  <c r="N210" i="18"/>
  <c r="M210" i="18"/>
  <c r="L210" i="18"/>
  <c r="K210" i="18"/>
  <c r="J210" i="18"/>
  <c r="I210" i="18"/>
  <c r="H210" i="18"/>
  <c r="G210" i="18"/>
  <c r="F210" i="18"/>
  <c r="E210" i="18"/>
  <c r="D210" i="18"/>
  <c r="C210" i="18"/>
  <c r="AF209" i="18"/>
  <c r="AE209" i="18"/>
  <c r="AD209" i="18"/>
  <c r="AC209" i="18"/>
  <c r="AB209" i="18"/>
  <c r="AA209" i="18"/>
  <c r="Z209" i="18"/>
  <c r="Y209" i="18"/>
  <c r="X209" i="18"/>
  <c r="W209" i="18"/>
  <c r="V209" i="18"/>
  <c r="U209" i="18"/>
  <c r="T209" i="18"/>
  <c r="S209" i="18"/>
  <c r="R209" i="18"/>
  <c r="Q209" i="18"/>
  <c r="P209" i="18"/>
  <c r="O209" i="18"/>
  <c r="N209" i="18"/>
  <c r="M209" i="18"/>
  <c r="L209" i="18"/>
  <c r="K209" i="18"/>
  <c r="J209" i="18"/>
  <c r="I209" i="18"/>
  <c r="H209" i="18"/>
  <c r="G209" i="18"/>
  <c r="F209" i="18"/>
  <c r="E209" i="18"/>
  <c r="D209" i="18"/>
  <c r="C209" i="18"/>
  <c r="AF208" i="18"/>
  <c r="AE208" i="18"/>
  <c r="AD208" i="18"/>
  <c r="AC208" i="18"/>
  <c r="AB208" i="18"/>
  <c r="AA208" i="18"/>
  <c r="Z208" i="18"/>
  <c r="Y208" i="18"/>
  <c r="X208" i="18"/>
  <c r="W208" i="18"/>
  <c r="V208" i="18"/>
  <c r="U208" i="18"/>
  <c r="T208" i="18"/>
  <c r="S208" i="18"/>
  <c r="R208" i="18"/>
  <c r="Q208" i="18"/>
  <c r="P208" i="18"/>
  <c r="O208" i="18"/>
  <c r="N208" i="18"/>
  <c r="M208" i="18"/>
  <c r="L208" i="18"/>
  <c r="K208" i="18"/>
  <c r="J208" i="18"/>
  <c r="I208" i="18"/>
  <c r="H208" i="18"/>
  <c r="G208" i="18"/>
  <c r="F208" i="18"/>
  <c r="E208" i="18"/>
  <c r="D208" i="18"/>
  <c r="C208" i="18"/>
  <c r="AF204" i="18"/>
  <c r="AE204" i="18"/>
  <c r="AD204" i="18"/>
  <c r="AC204" i="18"/>
  <c r="AB204" i="18"/>
  <c r="AA204" i="18"/>
  <c r="Z204" i="18"/>
  <c r="Y204" i="18"/>
  <c r="X204" i="18"/>
  <c r="W204" i="18"/>
  <c r="V204" i="18"/>
  <c r="U204" i="18"/>
  <c r="T204" i="18"/>
  <c r="S204" i="18"/>
  <c r="R204" i="18"/>
  <c r="Q204" i="18"/>
  <c r="P204" i="18"/>
  <c r="O204" i="18"/>
  <c r="N204" i="18"/>
  <c r="M204" i="18"/>
  <c r="L204" i="18"/>
  <c r="K204" i="18"/>
  <c r="J204" i="18"/>
  <c r="I204" i="18"/>
  <c r="H204" i="18"/>
  <c r="G204" i="18"/>
  <c r="F204" i="18"/>
  <c r="E204" i="18"/>
  <c r="D204" i="18"/>
  <c r="C204" i="18"/>
  <c r="AF203" i="18"/>
  <c r="AE203" i="18"/>
  <c r="AD203" i="18"/>
  <c r="AC203" i="18"/>
  <c r="AB203" i="18"/>
  <c r="AA203" i="18"/>
  <c r="Z203" i="18"/>
  <c r="Y203" i="18"/>
  <c r="X203" i="18"/>
  <c r="W203" i="18"/>
  <c r="V203" i="18"/>
  <c r="U203" i="18"/>
  <c r="T203" i="18"/>
  <c r="S203" i="18"/>
  <c r="R203" i="18"/>
  <c r="Q203" i="18"/>
  <c r="P203" i="18"/>
  <c r="O203" i="18"/>
  <c r="N203" i="18"/>
  <c r="M203" i="18"/>
  <c r="L203" i="18"/>
  <c r="K203" i="18"/>
  <c r="J203" i="18"/>
  <c r="I203" i="18"/>
  <c r="H203" i="18"/>
  <c r="G203" i="18"/>
  <c r="F203" i="18"/>
  <c r="E203" i="18"/>
  <c r="D203" i="18"/>
  <c r="C203" i="18"/>
  <c r="AF202" i="18"/>
  <c r="AE202" i="18"/>
  <c r="AD202" i="18"/>
  <c r="AC202" i="18"/>
  <c r="AB202" i="18"/>
  <c r="AA202" i="18"/>
  <c r="Z202" i="18"/>
  <c r="Y202" i="18"/>
  <c r="X202" i="18"/>
  <c r="W202" i="18"/>
  <c r="V202" i="18"/>
  <c r="U202" i="18"/>
  <c r="T202" i="18"/>
  <c r="S202" i="18"/>
  <c r="R202" i="18"/>
  <c r="Q202" i="18"/>
  <c r="P202" i="18"/>
  <c r="O202" i="18"/>
  <c r="N202" i="18"/>
  <c r="M202" i="18"/>
  <c r="L202" i="18"/>
  <c r="K202" i="18"/>
  <c r="J202" i="18"/>
  <c r="I202" i="18"/>
  <c r="H202" i="18"/>
  <c r="G202" i="18"/>
  <c r="F202" i="18"/>
  <c r="E202" i="18"/>
  <c r="D202" i="18"/>
  <c r="C202" i="18"/>
  <c r="AF201" i="18"/>
  <c r="AE201" i="18"/>
  <c r="AD201" i="18"/>
  <c r="AC201" i="18"/>
  <c r="AB201" i="18"/>
  <c r="AA201" i="18"/>
  <c r="Z201" i="18"/>
  <c r="Y201" i="18"/>
  <c r="X201" i="18"/>
  <c r="W201" i="18"/>
  <c r="V201" i="18"/>
  <c r="U201" i="18"/>
  <c r="T201" i="18"/>
  <c r="S201" i="18"/>
  <c r="R201" i="18"/>
  <c r="Q201" i="18"/>
  <c r="P201" i="18"/>
  <c r="O201" i="18"/>
  <c r="N201" i="18"/>
  <c r="M201" i="18"/>
  <c r="L201" i="18"/>
  <c r="K201" i="18"/>
  <c r="J201" i="18"/>
  <c r="I201" i="18"/>
  <c r="H201" i="18"/>
  <c r="G201" i="18"/>
  <c r="F201" i="18"/>
  <c r="E201" i="18"/>
  <c r="D201" i="18"/>
  <c r="C201" i="18"/>
  <c r="AF200" i="18"/>
  <c r="AE200" i="18"/>
  <c r="AD200" i="18"/>
  <c r="AC200" i="18"/>
  <c r="AB200" i="18"/>
  <c r="AA200" i="18"/>
  <c r="Z200" i="18"/>
  <c r="Y200" i="18"/>
  <c r="X200" i="18"/>
  <c r="W200" i="18"/>
  <c r="V200" i="18"/>
  <c r="U200" i="18"/>
  <c r="T200" i="18"/>
  <c r="S200" i="18"/>
  <c r="R200" i="18"/>
  <c r="Q200" i="18"/>
  <c r="P200" i="18"/>
  <c r="O200" i="18"/>
  <c r="N200" i="18"/>
  <c r="M200" i="18"/>
  <c r="L200" i="18"/>
  <c r="K200" i="18"/>
  <c r="J200" i="18"/>
  <c r="I200" i="18"/>
  <c r="H200" i="18"/>
  <c r="G200" i="18"/>
  <c r="F200" i="18"/>
  <c r="E200" i="18"/>
  <c r="D200" i="18"/>
  <c r="C200" i="18"/>
  <c r="AF199" i="18"/>
  <c r="AE199" i="18"/>
  <c r="AD199" i="18"/>
  <c r="AC199" i="18"/>
  <c r="AB199" i="18"/>
  <c r="AA199" i="18"/>
  <c r="Z199" i="18"/>
  <c r="Y199" i="18"/>
  <c r="X199" i="18"/>
  <c r="W199" i="18"/>
  <c r="V199" i="18"/>
  <c r="U199" i="18"/>
  <c r="T199" i="18"/>
  <c r="S199" i="18"/>
  <c r="R199" i="18"/>
  <c r="Q199" i="18"/>
  <c r="P199" i="18"/>
  <c r="O199" i="18"/>
  <c r="N199" i="18"/>
  <c r="M199" i="18"/>
  <c r="L199" i="18"/>
  <c r="K199" i="18"/>
  <c r="J199" i="18"/>
  <c r="I199" i="18"/>
  <c r="H199" i="18"/>
  <c r="G199" i="18"/>
  <c r="F199" i="18"/>
  <c r="E199" i="18"/>
  <c r="D199" i="18"/>
  <c r="C199" i="18"/>
  <c r="AF193" i="18"/>
  <c r="AE193" i="18"/>
  <c r="AD193" i="18"/>
  <c r="AC193" i="18"/>
  <c r="AB193" i="18"/>
  <c r="AA193" i="18"/>
  <c r="Z193" i="18"/>
  <c r="Y193" i="18"/>
  <c r="X193" i="18"/>
  <c r="W193" i="18"/>
  <c r="V193" i="18"/>
  <c r="U193" i="18"/>
  <c r="T193" i="18"/>
  <c r="S193" i="18"/>
  <c r="R193" i="18"/>
  <c r="Q193" i="18"/>
  <c r="P193" i="18"/>
  <c r="O193" i="18"/>
  <c r="N193" i="18"/>
  <c r="M193" i="18"/>
  <c r="L193" i="18"/>
  <c r="K193" i="18"/>
  <c r="J193" i="18"/>
  <c r="I193" i="18"/>
  <c r="H193" i="18"/>
  <c r="G193" i="18"/>
  <c r="F193" i="18"/>
  <c r="E193" i="18"/>
  <c r="D193" i="18"/>
  <c r="C193" i="18"/>
  <c r="AF192" i="18"/>
  <c r="AE192" i="18"/>
  <c r="AD192" i="18"/>
  <c r="AC192" i="18"/>
  <c r="AB192" i="18"/>
  <c r="AA192" i="18"/>
  <c r="Z192" i="18"/>
  <c r="Y192" i="18"/>
  <c r="X192" i="18"/>
  <c r="W192" i="18"/>
  <c r="V192" i="18"/>
  <c r="U192" i="18"/>
  <c r="T192" i="18"/>
  <c r="S192" i="18"/>
  <c r="R192" i="18"/>
  <c r="Q192" i="18"/>
  <c r="P192" i="18"/>
  <c r="O192" i="18"/>
  <c r="N192" i="18"/>
  <c r="M192" i="18"/>
  <c r="L192" i="18"/>
  <c r="K192" i="18"/>
  <c r="J192" i="18"/>
  <c r="I192" i="18"/>
  <c r="H192" i="18"/>
  <c r="G192" i="18"/>
  <c r="F192" i="18"/>
  <c r="E192" i="18"/>
  <c r="D192" i="18"/>
  <c r="C192" i="18"/>
  <c r="AF191" i="18"/>
  <c r="AE191" i="18"/>
  <c r="AD191" i="18"/>
  <c r="AC191" i="18"/>
  <c r="AB191" i="18"/>
  <c r="AA191" i="18"/>
  <c r="Z191" i="18"/>
  <c r="Y191" i="18"/>
  <c r="X191" i="18"/>
  <c r="W191" i="18"/>
  <c r="V191" i="18"/>
  <c r="U191" i="18"/>
  <c r="T191" i="18"/>
  <c r="S191" i="18"/>
  <c r="R191" i="18"/>
  <c r="Q191" i="18"/>
  <c r="P191" i="18"/>
  <c r="O191" i="18"/>
  <c r="N191" i="18"/>
  <c r="M191" i="18"/>
  <c r="L191" i="18"/>
  <c r="K191" i="18"/>
  <c r="J191" i="18"/>
  <c r="I191" i="18"/>
  <c r="H191" i="18"/>
  <c r="G191" i="18"/>
  <c r="F191" i="18"/>
  <c r="E191" i="18"/>
  <c r="D191" i="18"/>
  <c r="C191" i="18"/>
  <c r="AF190" i="18"/>
  <c r="AE190" i="18"/>
  <c r="AD190" i="18"/>
  <c r="AC190" i="18"/>
  <c r="AB190" i="18"/>
  <c r="AA190" i="18"/>
  <c r="Z190" i="18"/>
  <c r="Y190" i="18"/>
  <c r="X190" i="18"/>
  <c r="W190" i="18"/>
  <c r="V190" i="18"/>
  <c r="U190" i="18"/>
  <c r="T190" i="18"/>
  <c r="S190" i="18"/>
  <c r="R190" i="18"/>
  <c r="Q190" i="18"/>
  <c r="P190" i="18"/>
  <c r="O190" i="18"/>
  <c r="N190" i="18"/>
  <c r="M190" i="18"/>
  <c r="L190" i="18"/>
  <c r="K190" i="18"/>
  <c r="J190" i="18"/>
  <c r="I190" i="18"/>
  <c r="H190" i="18"/>
  <c r="G190" i="18"/>
  <c r="F190" i="18"/>
  <c r="E190" i="18"/>
  <c r="D190" i="18"/>
  <c r="C190" i="18"/>
  <c r="AF189" i="18"/>
  <c r="AE189" i="18"/>
  <c r="AD189" i="18"/>
  <c r="AC189" i="18"/>
  <c r="AB189" i="18"/>
  <c r="AA189" i="18"/>
  <c r="Z189" i="18"/>
  <c r="Y189" i="18"/>
  <c r="X189" i="18"/>
  <c r="W189" i="18"/>
  <c r="V189" i="18"/>
  <c r="U189" i="18"/>
  <c r="T189" i="18"/>
  <c r="S189" i="18"/>
  <c r="R189" i="18"/>
  <c r="Q189" i="18"/>
  <c r="P189" i="18"/>
  <c r="O189" i="18"/>
  <c r="N189" i="18"/>
  <c r="M189" i="18"/>
  <c r="L189" i="18"/>
  <c r="K189" i="18"/>
  <c r="J189" i="18"/>
  <c r="I189" i="18"/>
  <c r="H189" i="18"/>
  <c r="G189" i="18"/>
  <c r="F189" i="18"/>
  <c r="E189" i="18"/>
  <c r="D189" i="18"/>
  <c r="C189" i="18"/>
  <c r="AF188" i="18"/>
  <c r="AE188" i="18"/>
  <c r="AD188" i="18"/>
  <c r="AC188" i="18"/>
  <c r="AB188" i="18"/>
  <c r="AA188" i="18"/>
  <c r="Z188" i="18"/>
  <c r="Y188" i="18"/>
  <c r="X188" i="18"/>
  <c r="W188" i="18"/>
  <c r="V188" i="18"/>
  <c r="U188" i="18"/>
  <c r="T188" i="18"/>
  <c r="S188" i="18"/>
  <c r="R188" i="18"/>
  <c r="Q188" i="18"/>
  <c r="P188" i="18"/>
  <c r="O188" i="18"/>
  <c r="N188" i="18"/>
  <c r="M188" i="18"/>
  <c r="L188" i="18"/>
  <c r="K188" i="18"/>
  <c r="J188" i="18"/>
  <c r="I188" i="18"/>
  <c r="H188" i="18"/>
  <c r="G188" i="18"/>
  <c r="F188" i="18"/>
  <c r="E188" i="18"/>
  <c r="D188" i="18"/>
  <c r="C188" i="18"/>
  <c r="AF184" i="18"/>
  <c r="AE184" i="18"/>
  <c r="AD184" i="18"/>
  <c r="AC184" i="18"/>
  <c r="AB184" i="18"/>
  <c r="AA184" i="18"/>
  <c r="Z184" i="18"/>
  <c r="Y184" i="18"/>
  <c r="X184" i="18"/>
  <c r="W184" i="18"/>
  <c r="V184" i="18"/>
  <c r="U184" i="18"/>
  <c r="T184" i="18"/>
  <c r="S184" i="18"/>
  <c r="R184" i="18"/>
  <c r="Q184" i="18"/>
  <c r="P184" i="18"/>
  <c r="O184" i="18"/>
  <c r="N184" i="18"/>
  <c r="M184" i="18"/>
  <c r="L184" i="18"/>
  <c r="K184" i="18"/>
  <c r="J184" i="18"/>
  <c r="I184" i="18"/>
  <c r="H184" i="18"/>
  <c r="G184" i="18"/>
  <c r="F184" i="18"/>
  <c r="E184" i="18"/>
  <c r="D184" i="18"/>
  <c r="C184" i="18"/>
  <c r="AF183" i="18"/>
  <c r="AE183" i="18"/>
  <c r="AD183" i="18"/>
  <c r="AC183" i="18"/>
  <c r="AB183" i="18"/>
  <c r="AA183" i="18"/>
  <c r="Z183" i="18"/>
  <c r="Y183" i="18"/>
  <c r="X183" i="18"/>
  <c r="W183" i="18"/>
  <c r="V183" i="18"/>
  <c r="U183" i="18"/>
  <c r="T183" i="18"/>
  <c r="S183" i="18"/>
  <c r="R183" i="18"/>
  <c r="Q183" i="18"/>
  <c r="P183" i="18"/>
  <c r="O183" i="18"/>
  <c r="N183" i="18"/>
  <c r="M183" i="18"/>
  <c r="L183" i="18"/>
  <c r="K183" i="18"/>
  <c r="J183" i="18"/>
  <c r="I183" i="18"/>
  <c r="H183" i="18"/>
  <c r="G183" i="18"/>
  <c r="F183" i="18"/>
  <c r="E183" i="18"/>
  <c r="D183" i="18"/>
  <c r="C183" i="18"/>
  <c r="AF182" i="18"/>
  <c r="AE182" i="18"/>
  <c r="AD182" i="18"/>
  <c r="AC182" i="18"/>
  <c r="AB182" i="18"/>
  <c r="AA182" i="18"/>
  <c r="Z182" i="18"/>
  <c r="Y182" i="18"/>
  <c r="X182" i="18"/>
  <c r="W182" i="18"/>
  <c r="V182" i="18"/>
  <c r="U182" i="18"/>
  <c r="T182" i="18"/>
  <c r="S182" i="18"/>
  <c r="R182" i="18"/>
  <c r="Q182" i="18"/>
  <c r="P182" i="18"/>
  <c r="O182" i="18"/>
  <c r="N182" i="18"/>
  <c r="M182" i="18"/>
  <c r="L182" i="18"/>
  <c r="K182" i="18"/>
  <c r="J182" i="18"/>
  <c r="I182" i="18"/>
  <c r="H182" i="18"/>
  <c r="G182" i="18"/>
  <c r="F182" i="18"/>
  <c r="E182" i="18"/>
  <c r="D182" i="18"/>
  <c r="C182" i="18"/>
  <c r="AF181" i="18"/>
  <c r="AE181" i="18"/>
  <c r="AD181" i="18"/>
  <c r="AC181" i="18"/>
  <c r="AB181" i="18"/>
  <c r="AA181" i="18"/>
  <c r="Z181" i="18"/>
  <c r="Y181" i="18"/>
  <c r="X181" i="18"/>
  <c r="W181" i="18"/>
  <c r="V181" i="18"/>
  <c r="U181" i="18"/>
  <c r="T181" i="18"/>
  <c r="S181" i="18"/>
  <c r="R181" i="18"/>
  <c r="Q181" i="18"/>
  <c r="P181" i="18"/>
  <c r="O181" i="18"/>
  <c r="N181" i="18"/>
  <c r="M181" i="18"/>
  <c r="L181" i="18"/>
  <c r="K181" i="18"/>
  <c r="J181" i="18"/>
  <c r="I181" i="18"/>
  <c r="H181" i="18"/>
  <c r="G181" i="18"/>
  <c r="F181" i="18"/>
  <c r="E181" i="18"/>
  <c r="D181" i="18"/>
  <c r="C181" i="18"/>
  <c r="AF180" i="18"/>
  <c r="AE180" i="18"/>
  <c r="AD180" i="18"/>
  <c r="AC180" i="18"/>
  <c r="AB180" i="18"/>
  <c r="AA180" i="18"/>
  <c r="Z180" i="18"/>
  <c r="Y180" i="18"/>
  <c r="X180" i="18"/>
  <c r="W180" i="18"/>
  <c r="V180" i="18"/>
  <c r="U180" i="18"/>
  <c r="T180" i="18"/>
  <c r="S180" i="18"/>
  <c r="R180" i="18"/>
  <c r="Q180" i="18"/>
  <c r="P180" i="18"/>
  <c r="O180" i="18"/>
  <c r="N180" i="18"/>
  <c r="M180" i="18"/>
  <c r="L180" i="18"/>
  <c r="K180" i="18"/>
  <c r="J180" i="18"/>
  <c r="I180" i="18"/>
  <c r="H180" i="18"/>
  <c r="G180" i="18"/>
  <c r="F180" i="18"/>
  <c r="E180" i="18"/>
  <c r="D180" i="18"/>
  <c r="C180" i="18"/>
  <c r="AF179" i="18"/>
  <c r="AE179" i="18"/>
  <c r="AD179" i="18"/>
  <c r="AC179" i="18"/>
  <c r="AB179" i="18"/>
  <c r="AA179" i="18"/>
  <c r="Z179" i="18"/>
  <c r="Y179" i="18"/>
  <c r="X179" i="18"/>
  <c r="W179" i="18"/>
  <c r="V179" i="18"/>
  <c r="U179" i="18"/>
  <c r="T179" i="18"/>
  <c r="S179" i="18"/>
  <c r="R179" i="18"/>
  <c r="Q179" i="18"/>
  <c r="P179" i="18"/>
  <c r="O179" i="18"/>
  <c r="N179" i="18"/>
  <c r="M179" i="18"/>
  <c r="L179" i="18"/>
  <c r="K179" i="18"/>
  <c r="J179" i="18"/>
  <c r="I179" i="18"/>
  <c r="H179" i="18"/>
  <c r="G179" i="18"/>
  <c r="F179" i="18"/>
  <c r="E179" i="18"/>
  <c r="D179" i="18"/>
  <c r="C179" i="18"/>
  <c r="AF171" i="18"/>
  <c r="AE171" i="18"/>
  <c r="AD171" i="18"/>
  <c r="AC171" i="18"/>
  <c r="AB171" i="18"/>
  <c r="AA171" i="18"/>
  <c r="Z171" i="18"/>
  <c r="Y171" i="18"/>
  <c r="X171" i="18"/>
  <c r="W171" i="18"/>
  <c r="V171" i="18"/>
  <c r="U171" i="18"/>
  <c r="T171" i="18"/>
  <c r="S171" i="18"/>
  <c r="R171" i="18"/>
  <c r="Q171" i="18"/>
  <c r="P171" i="18"/>
  <c r="O171" i="18"/>
  <c r="N171" i="18"/>
  <c r="M171" i="18"/>
  <c r="L171" i="18"/>
  <c r="K171" i="18"/>
  <c r="J171" i="18"/>
  <c r="I171" i="18"/>
  <c r="H171" i="18"/>
  <c r="G171" i="18"/>
  <c r="F171" i="18"/>
  <c r="E171" i="18"/>
  <c r="D171" i="18"/>
  <c r="C171" i="18"/>
  <c r="AF170" i="18"/>
  <c r="AE170" i="18"/>
  <c r="AD170" i="18"/>
  <c r="AC170" i="18"/>
  <c r="AB170" i="18"/>
  <c r="AA170" i="18"/>
  <c r="Z170" i="18"/>
  <c r="Y170" i="18"/>
  <c r="X170" i="18"/>
  <c r="W170" i="18"/>
  <c r="V170" i="18"/>
  <c r="U170" i="18"/>
  <c r="T170" i="18"/>
  <c r="S170" i="18"/>
  <c r="R170" i="18"/>
  <c r="Q170" i="18"/>
  <c r="P170" i="18"/>
  <c r="O170" i="18"/>
  <c r="N170" i="18"/>
  <c r="M170" i="18"/>
  <c r="L170" i="18"/>
  <c r="K170" i="18"/>
  <c r="J170" i="18"/>
  <c r="I170" i="18"/>
  <c r="H170" i="18"/>
  <c r="G170" i="18"/>
  <c r="F170" i="18"/>
  <c r="E170" i="18"/>
  <c r="D170" i="18"/>
  <c r="C170" i="18"/>
  <c r="AF169" i="18"/>
  <c r="AE169" i="18"/>
  <c r="AD169" i="18"/>
  <c r="AC169" i="18"/>
  <c r="AB169" i="18"/>
  <c r="AA169" i="18"/>
  <c r="Z169" i="18"/>
  <c r="Y169" i="18"/>
  <c r="X169" i="18"/>
  <c r="W169" i="18"/>
  <c r="V169" i="18"/>
  <c r="U169" i="18"/>
  <c r="T169" i="18"/>
  <c r="S169" i="18"/>
  <c r="R169" i="18"/>
  <c r="Q169" i="18"/>
  <c r="P169" i="18"/>
  <c r="O169" i="18"/>
  <c r="N169" i="18"/>
  <c r="M169" i="18"/>
  <c r="L169" i="18"/>
  <c r="K169" i="18"/>
  <c r="J169" i="18"/>
  <c r="I169" i="18"/>
  <c r="H169" i="18"/>
  <c r="G169" i="18"/>
  <c r="F169" i="18"/>
  <c r="E169" i="18"/>
  <c r="D169" i="18"/>
  <c r="C169" i="18"/>
  <c r="AF168" i="18"/>
  <c r="AE168" i="18"/>
  <c r="AD168" i="18"/>
  <c r="AC168" i="18"/>
  <c r="AB168" i="18"/>
  <c r="AA168" i="18"/>
  <c r="Z168" i="18"/>
  <c r="Y168" i="18"/>
  <c r="X168" i="18"/>
  <c r="W168" i="18"/>
  <c r="V168" i="18"/>
  <c r="U168" i="18"/>
  <c r="T168" i="18"/>
  <c r="S168" i="18"/>
  <c r="R168" i="18"/>
  <c r="Q168" i="18"/>
  <c r="P168" i="18"/>
  <c r="O168" i="18"/>
  <c r="N168" i="18"/>
  <c r="M168" i="18"/>
  <c r="L168" i="18"/>
  <c r="K168" i="18"/>
  <c r="J168" i="18"/>
  <c r="I168" i="18"/>
  <c r="H168" i="18"/>
  <c r="G168" i="18"/>
  <c r="F168" i="18"/>
  <c r="E168" i="18"/>
  <c r="D168" i="18"/>
  <c r="C168" i="18"/>
  <c r="AF167" i="18"/>
  <c r="AE167" i="18"/>
  <c r="AD167" i="18"/>
  <c r="AC167" i="18"/>
  <c r="AB167" i="18"/>
  <c r="AA167" i="18"/>
  <c r="Z167" i="18"/>
  <c r="Y167" i="18"/>
  <c r="X167" i="18"/>
  <c r="W167" i="18"/>
  <c r="V167" i="18"/>
  <c r="U167" i="18"/>
  <c r="T167" i="18"/>
  <c r="S167" i="18"/>
  <c r="R167" i="18"/>
  <c r="Q167" i="18"/>
  <c r="P167" i="18"/>
  <c r="O167" i="18"/>
  <c r="N167" i="18"/>
  <c r="M167" i="18"/>
  <c r="L167" i="18"/>
  <c r="K167" i="18"/>
  <c r="J167" i="18"/>
  <c r="I167" i="18"/>
  <c r="H167" i="18"/>
  <c r="G167" i="18"/>
  <c r="F167" i="18"/>
  <c r="E167" i="18"/>
  <c r="D167" i="18"/>
  <c r="C167" i="18"/>
  <c r="AF166" i="18"/>
  <c r="AE166" i="18"/>
  <c r="AD166" i="18"/>
  <c r="AC166" i="18"/>
  <c r="AB166" i="18"/>
  <c r="AA166" i="18"/>
  <c r="Z166" i="18"/>
  <c r="Y166" i="18"/>
  <c r="X166" i="18"/>
  <c r="W166" i="18"/>
  <c r="V166" i="18"/>
  <c r="U166" i="18"/>
  <c r="T166" i="18"/>
  <c r="S166" i="18"/>
  <c r="R166" i="18"/>
  <c r="Q166" i="18"/>
  <c r="P166" i="18"/>
  <c r="O166" i="18"/>
  <c r="N166" i="18"/>
  <c r="M166" i="18"/>
  <c r="L166" i="18"/>
  <c r="K166" i="18"/>
  <c r="J166" i="18"/>
  <c r="I166" i="18"/>
  <c r="H166" i="18"/>
  <c r="G166" i="18"/>
  <c r="F166" i="18"/>
  <c r="E166" i="18"/>
  <c r="D166" i="18"/>
  <c r="C166" i="18"/>
  <c r="AF162" i="18"/>
  <c r="AE162" i="18"/>
  <c r="AD162" i="18"/>
  <c r="AC162" i="18"/>
  <c r="AB162" i="18"/>
  <c r="AA162" i="18"/>
  <c r="Z162" i="18"/>
  <c r="Y162" i="18"/>
  <c r="X162" i="18"/>
  <c r="W162" i="18"/>
  <c r="V162" i="18"/>
  <c r="U162" i="18"/>
  <c r="T162" i="18"/>
  <c r="S162" i="18"/>
  <c r="R162" i="18"/>
  <c r="Q162" i="18"/>
  <c r="P162" i="18"/>
  <c r="O162" i="18"/>
  <c r="N162" i="18"/>
  <c r="M162" i="18"/>
  <c r="L162" i="18"/>
  <c r="K162" i="18"/>
  <c r="J162" i="18"/>
  <c r="I162" i="18"/>
  <c r="H162" i="18"/>
  <c r="G162" i="18"/>
  <c r="F162" i="18"/>
  <c r="E162" i="18"/>
  <c r="D162" i="18"/>
  <c r="C162" i="18"/>
  <c r="AF161" i="18"/>
  <c r="AE161" i="18"/>
  <c r="AD161" i="18"/>
  <c r="AC161" i="18"/>
  <c r="AB161" i="18"/>
  <c r="AA161" i="18"/>
  <c r="Z161" i="18"/>
  <c r="Y161" i="18"/>
  <c r="X161" i="18"/>
  <c r="W161" i="18"/>
  <c r="V161" i="18"/>
  <c r="U161" i="18"/>
  <c r="T161" i="18"/>
  <c r="S161" i="18"/>
  <c r="R161" i="18"/>
  <c r="Q161" i="18"/>
  <c r="P161" i="18"/>
  <c r="O161" i="18"/>
  <c r="N161" i="18"/>
  <c r="M161" i="18"/>
  <c r="L161" i="18"/>
  <c r="K161" i="18"/>
  <c r="J161" i="18"/>
  <c r="I161" i="18"/>
  <c r="H161" i="18"/>
  <c r="G161" i="18"/>
  <c r="F161" i="18"/>
  <c r="E161" i="18"/>
  <c r="D161" i="18"/>
  <c r="C161" i="18"/>
  <c r="AF160" i="18"/>
  <c r="AE160" i="18"/>
  <c r="AD160" i="18"/>
  <c r="AC160" i="18"/>
  <c r="AB160" i="18"/>
  <c r="AA160" i="18"/>
  <c r="Z160" i="18"/>
  <c r="Y160" i="18"/>
  <c r="X160" i="18"/>
  <c r="W160" i="18"/>
  <c r="V160" i="18"/>
  <c r="U160" i="18"/>
  <c r="T160" i="18"/>
  <c r="S160" i="18"/>
  <c r="R160" i="18"/>
  <c r="Q160" i="18"/>
  <c r="P160" i="18"/>
  <c r="O160" i="18"/>
  <c r="N160" i="18"/>
  <c r="M160" i="18"/>
  <c r="L160" i="18"/>
  <c r="K160" i="18"/>
  <c r="J160" i="18"/>
  <c r="I160" i="18"/>
  <c r="H160" i="18"/>
  <c r="G160" i="18"/>
  <c r="F160" i="18"/>
  <c r="E160" i="18"/>
  <c r="D160" i="18"/>
  <c r="C160" i="18"/>
  <c r="AF159" i="18"/>
  <c r="AE159" i="18"/>
  <c r="AD159" i="18"/>
  <c r="AC159" i="18"/>
  <c r="AB159" i="18"/>
  <c r="AA159" i="18"/>
  <c r="Z159" i="18"/>
  <c r="Y159" i="18"/>
  <c r="X159" i="18"/>
  <c r="W159" i="18"/>
  <c r="V159" i="18"/>
  <c r="U159" i="18"/>
  <c r="T159" i="18"/>
  <c r="S159" i="18"/>
  <c r="R159" i="18"/>
  <c r="Q159" i="18"/>
  <c r="P159" i="18"/>
  <c r="O159" i="18"/>
  <c r="N159" i="18"/>
  <c r="M159" i="18"/>
  <c r="L159" i="18"/>
  <c r="K159" i="18"/>
  <c r="J159" i="18"/>
  <c r="I159" i="18"/>
  <c r="H159" i="18"/>
  <c r="G159" i="18"/>
  <c r="F159" i="18"/>
  <c r="E159" i="18"/>
  <c r="D159" i="18"/>
  <c r="C159" i="18"/>
  <c r="AF158" i="18"/>
  <c r="AE158" i="18"/>
  <c r="AD158" i="18"/>
  <c r="AC158" i="18"/>
  <c r="AB158" i="18"/>
  <c r="AA158" i="18"/>
  <c r="Z158" i="18"/>
  <c r="Y158" i="18"/>
  <c r="X158" i="18"/>
  <c r="W158" i="18"/>
  <c r="V158" i="18"/>
  <c r="U158" i="18"/>
  <c r="T158" i="18"/>
  <c r="S158" i="18"/>
  <c r="R158" i="18"/>
  <c r="Q158" i="18"/>
  <c r="P158" i="18"/>
  <c r="O158" i="18"/>
  <c r="N158" i="18"/>
  <c r="M158" i="18"/>
  <c r="L158" i="18"/>
  <c r="K158" i="18"/>
  <c r="J158" i="18"/>
  <c r="I158" i="18"/>
  <c r="H158" i="18"/>
  <c r="G158" i="18"/>
  <c r="F158" i="18"/>
  <c r="E158" i="18"/>
  <c r="D158" i="18"/>
  <c r="C158" i="18"/>
  <c r="AF157" i="18"/>
  <c r="AE157" i="18"/>
  <c r="AD157" i="18"/>
  <c r="AC157" i="18"/>
  <c r="AB157" i="18"/>
  <c r="AA157" i="18"/>
  <c r="Z157" i="18"/>
  <c r="Y157" i="18"/>
  <c r="X157" i="18"/>
  <c r="W157" i="18"/>
  <c r="V157" i="18"/>
  <c r="U157" i="18"/>
  <c r="T157" i="18"/>
  <c r="S157" i="18"/>
  <c r="R157" i="18"/>
  <c r="Q157" i="18"/>
  <c r="P157" i="18"/>
  <c r="O157" i="18"/>
  <c r="N157" i="18"/>
  <c r="M157" i="18"/>
  <c r="L157" i="18"/>
  <c r="K157" i="18"/>
  <c r="J157" i="18"/>
  <c r="I157" i="18"/>
  <c r="H157" i="18"/>
  <c r="G157" i="18"/>
  <c r="F157" i="18"/>
  <c r="E157" i="18"/>
  <c r="D157" i="18"/>
  <c r="C157" i="18"/>
  <c r="AF151" i="18"/>
  <c r="AE151" i="18"/>
  <c r="AD151" i="18"/>
  <c r="AC151" i="18"/>
  <c r="AB151" i="18"/>
  <c r="AA151" i="18"/>
  <c r="Z151" i="18"/>
  <c r="Y151" i="18"/>
  <c r="X151" i="18"/>
  <c r="W151" i="18"/>
  <c r="V151" i="18"/>
  <c r="U151" i="18"/>
  <c r="T151" i="18"/>
  <c r="S151" i="18"/>
  <c r="R151" i="18"/>
  <c r="Q151" i="18"/>
  <c r="P151" i="18"/>
  <c r="O151" i="18"/>
  <c r="N151" i="18"/>
  <c r="M151" i="18"/>
  <c r="L151" i="18"/>
  <c r="K151" i="18"/>
  <c r="J151" i="18"/>
  <c r="I151" i="18"/>
  <c r="H151" i="18"/>
  <c r="G151" i="18"/>
  <c r="F151" i="18"/>
  <c r="E151" i="18"/>
  <c r="D151" i="18"/>
  <c r="C151" i="18"/>
  <c r="AF150" i="18"/>
  <c r="AE150" i="18"/>
  <c r="AD150" i="18"/>
  <c r="AC150" i="18"/>
  <c r="AB150" i="18"/>
  <c r="AA150" i="18"/>
  <c r="Z150" i="18"/>
  <c r="Y150" i="18"/>
  <c r="X150" i="18"/>
  <c r="W150" i="18"/>
  <c r="V150" i="18"/>
  <c r="U150" i="18"/>
  <c r="T150" i="18"/>
  <c r="S150" i="18"/>
  <c r="R150" i="18"/>
  <c r="Q150" i="18"/>
  <c r="P150" i="18"/>
  <c r="O150" i="18"/>
  <c r="N150" i="18"/>
  <c r="M150" i="18"/>
  <c r="L150" i="18"/>
  <c r="K150" i="18"/>
  <c r="J150" i="18"/>
  <c r="I150" i="18"/>
  <c r="H150" i="18"/>
  <c r="G150" i="18"/>
  <c r="F150" i="18"/>
  <c r="E150" i="18"/>
  <c r="D150" i="18"/>
  <c r="C150" i="18"/>
  <c r="AF149" i="18"/>
  <c r="AE149" i="18"/>
  <c r="AD149" i="18"/>
  <c r="AC149" i="18"/>
  <c r="AB149" i="18"/>
  <c r="AA149" i="18"/>
  <c r="Z149" i="18"/>
  <c r="Y149" i="18"/>
  <c r="X149" i="18"/>
  <c r="W149" i="18"/>
  <c r="V149" i="18"/>
  <c r="U149" i="18"/>
  <c r="T149" i="18"/>
  <c r="S149" i="18"/>
  <c r="R149" i="18"/>
  <c r="Q149" i="18"/>
  <c r="P149" i="18"/>
  <c r="O149" i="18"/>
  <c r="N149" i="18"/>
  <c r="M149" i="18"/>
  <c r="L149" i="18"/>
  <c r="K149" i="18"/>
  <c r="J149" i="18"/>
  <c r="I149" i="18"/>
  <c r="H149" i="18"/>
  <c r="G149" i="18"/>
  <c r="F149" i="18"/>
  <c r="E149" i="18"/>
  <c r="D149" i="18"/>
  <c r="C149" i="18"/>
  <c r="AF148" i="18"/>
  <c r="AE148" i="18"/>
  <c r="AD148" i="18"/>
  <c r="AC148" i="18"/>
  <c r="AB148" i="18"/>
  <c r="AA148" i="18"/>
  <c r="Z148" i="18"/>
  <c r="Y148" i="18"/>
  <c r="X148" i="18"/>
  <c r="W148" i="18"/>
  <c r="V148" i="18"/>
  <c r="U148" i="18"/>
  <c r="T148" i="18"/>
  <c r="S148" i="18"/>
  <c r="R148" i="18"/>
  <c r="Q148" i="18"/>
  <c r="P148" i="18"/>
  <c r="O148" i="18"/>
  <c r="N148" i="18"/>
  <c r="M148" i="18"/>
  <c r="L148" i="18"/>
  <c r="K148" i="18"/>
  <c r="J148" i="18"/>
  <c r="I148" i="18"/>
  <c r="H148" i="18"/>
  <c r="G148" i="18"/>
  <c r="F148" i="18"/>
  <c r="E148" i="18"/>
  <c r="D148" i="18"/>
  <c r="C148" i="18"/>
  <c r="AF147" i="18"/>
  <c r="AE147" i="18"/>
  <c r="AD147" i="18"/>
  <c r="AC147" i="18"/>
  <c r="AB147" i="18"/>
  <c r="AA147" i="18"/>
  <c r="Z147" i="18"/>
  <c r="Y147" i="18"/>
  <c r="X147" i="18"/>
  <c r="W147" i="18"/>
  <c r="V147" i="18"/>
  <c r="U147" i="18"/>
  <c r="T147" i="18"/>
  <c r="S147" i="18"/>
  <c r="R147" i="18"/>
  <c r="Q147" i="18"/>
  <c r="P147" i="18"/>
  <c r="O147" i="18"/>
  <c r="N147" i="18"/>
  <c r="M147" i="18"/>
  <c r="L147" i="18"/>
  <c r="K147" i="18"/>
  <c r="J147" i="18"/>
  <c r="I147" i="18"/>
  <c r="H147" i="18"/>
  <c r="G147" i="18"/>
  <c r="F147" i="18"/>
  <c r="E147" i="18"/>
  <c r="D147" i="18"/>
  <c r="C147" i="18"/>
  <c r="AF146" i="18"/>
  <c r="AE146" i="18"/>
  <c r="AD146" i="18"/>
  <c r="AC146" i="18"/>
  <c r="AB146" i="18"/>
  <c r="AA146" i="18"/>
  <c r="Z146" i="18"/>
  <c r="Y146" i="18"/>
  <c r="X146" i="18"/>
  <c r="W146" i="18"/>
  <c r="V146" i="18"/>
  <c r="U146" i="18"/>
  <c r="T146" i="18"/>
  <c r="S146" i="18"/>
  <c r="R146" i="18"/>
  <c r="Q146" i="18"/>
  <c r="P146" i="18"/>
  <c r="O146" i="18"/>
  <c r="N146" i="18"/>
  <c r="M146" i="18"/>
  <c r="L146" i="18"/>
  <c r="K146" i="18"/>
  <c r="J146" i="18"/>
  <c r="I146" i="18"/>
  <c r="H146" i="18"/>
  <c r="G146" i="18"/>
  <c r="F146" i="18"/>
  <c r="E146" i="18"/>
  <c r="D146" i="18"/>
  <c r="C146" i="18"/>
  <c r="AF142" i="18"/>
  <c r="AE142" i="18"/>
  <c r="AD142" i="18"/>
  <c r="AC142" i="18"/>
  <c r="AB142" i="18"/>
  <c r="AA142" i="18"/>
  <c r="Z142" i="18"/>
  <c r="Y142" i="18"/>
  <c r="X142" i="18"/>
  <c r="W142" i="18"/>
  <c r="V142" i="18"/>
  <c r="U142" i="18"/>
  <c r="T142" i="18"/>
  <c r="S142" i="18"/>
  <c r="R142" i="18"/>
  <c r="Q142" i="18"/>
  <c r="P142" i="18"/>
  <c r="O142" i="18"/>
  <c r="N142" i="18"/>
  <c r="M142" i="18"/>
  <c r="L142" i="18"/>
  <c r="K142" i="18"/>
  <c r="J142" i="18"/>
  <c r="I142" i="18"/>
  <c r="H142" i="18"/>
  <c r="G142" i="18"/>
  <c r="F142" i="18"/>
  <c r="E142" i="18"/>
  <c r="D142" i="18"/>
  <c r="C142" i="18"/>
  <c r="AF141" i="18"/>
  <c r="AE141" i="18"/>
  <c r="AD141" i="18"/>
  <c r="AC141" i="18"/>
  <c r="AB141" i="18"/>
  <c r="AA141" i="18"/>
  <c r="Z141" i="18"/>
  <c r="Y141" i="18"/>
  <c r="X141" i="18"/>
  <c r="W141" i="18"/>
  <c r="V141" i="18"/>
  <c r="U141" i="18"/>
  <c r="T141" i="18"/>
  <c r="S141" i="18"/>
  <c r="R141" i="18"/>
  <c r="Q141" i="18"/>
  <c r="P141" i="18"/>
  <c r="O141" i="18"/>
  <c r="N141" i="18"/>
  <c r="M141" i="18"/>
  <c r="L141" i="18"/>
  <c r="K141" i="18"/>
  <c r="J141" i="18"/>
  <c r="I141" i="18"/>
  <c r="H141" i="18"/>
  <c r="G141" i="18"/>
  <c r="F141" i="18"/>
  <c r="E141" i="18"/>
  <c r="D141" i="18"/>
  <c r="C141" i="18"/>
  <c r="AF140" i="18"/>
  <c r="AE140" i="18"/>
  <c r="AD140" i="18"/>
  <c r="AC140" i="18"/>
  <c r="AB140" i="18"/>
  <c r="AA140" i="18"/>
  <c r="Z140" i="18"/>
  <c r="Y140" i="18"/>
  <c r="X140" i="18"/>
  <c r="W140" i="18"/>
  <c r="V140" i="18"/>
  <c r="U140" i="18"/>
  <c r="T140" i="18"/>
  <c r="S140" i="18"/>
  <c r="R140" i="18"/>
  <c r="Q140" i="18"/>
  <c r="P140" i="18"/>
  <c r="O140" i="18"/>
  <c r="N140" i="18"/>
  <c r="M140" i="18"/>
  <c r="L140" i="18"/>
  <c r="K140" i="18"/>
  <c r="J140" i="18"/>
  <c r="I140" i="18"/>
  <c r="H140" i="18"/>
  <c r="G140" i="18"/>
  <c r="F140" i="18"/>
  <c r="E140" i="18"/>
  <c r="D140" i="18"/>
  <c r="C140" i="18"/>
  <c r="AF139" i="18"/>
  <c r="AE139" i="18"/>
  <c r="AD139" i="18"/>
  <c r="AC139" i="18"/>
  <c r="AB139" i="18"/>
  <c r="AA139" i="18"/>
  <c r="Z139" i="18"/>
  <c r="Y139" i="18"/>
  <c r="X139" i="18"/>
  <c r="W139" i="18"/>
  <c r="V139" i="18"/>
  <c r="U139" i="18"/>
  <c r="T139" i="18"/>
  <c r="S139" i="18"/>
  <c r="R139" i="18"/>
  <c r="Q139" i="18"/>
  <c r="P139" i="18"/>
  <c r="O139" i="18"/>
  <c r="N139" i="18"/>
  <c r="M139" i="18"/>
  <c r="L139" i="18"/>
  <c r="K139" i="18"/>
  <c r="J139" i="18"/>
  <c r="I139" i="18"/>
  <c r="H139" i="18"/>
  <c r="G139" i="18"/>
  <c r="F139" i="18"/>
  <c r="E139" i="18"/>
  <c r="D139" i="18"/>
  <c r="C139" i="18"/>
  <c r="AF138" i="18"/>
  <c r="AE138" i="18"/>
  <c r="AD138" i="18"/>
  <c r="AC138" i="18"/>
  <c r="AB138" i="18"/>
  <c r="AA138" i="18"/>
  <c r="Z138" i="18"/>
  <c r="Y138" i="18"/>
  <c r="X138" i="18"/>
  <c r="W138" i="18"/>
  <c r="V138" i="18"/>
  <c r="U138" i="18"/>
  <c r="T138" i="18"/>
  <c r="S138" i="18"/>
  <c r="R138" i="18"/>
  <c r="Q138" i="18"/>
  <c r="P138" i="18"/>
  <c r="O138" i="18"/>
  <c r="N138" i="18"/>
  <c r="M138" i="18"/>
  <c r="L138" i="18"/>
  <c r="K138" i="18"/>
  <c r="J138" i="18"/>
  <c r="I138" i="18"/>
  <c r="H138" i="18"/>
  <c r="G138" i="18"/>
  <c r="F138" i="18"/>
  <c r="E138" i="18"/>
  <c r="D138" i="18"/>
  <c r="C138" i="18"/>
  <c r="AF137" i="18"/>
  <c r="AE137" i="18"/>
  <c r="AD137" i="18"/>
  <c r="AC137" i="18"/>
  <c r="AB137" i="18"/>
  <c r="AA137" i="18"/>
  <c r="Z137" i="18"/>
  <c r="Y137" i="18"/>
  <c r="X137" i="18"/>
  <c r="W137" i="18"/>
  <c r="V137" i="18"/>
  <c r="U137" i="18"/>
  <c r="T137" i="18"/>
  <c r="S137" i="18"/>
  <c r="R137" i="18"/>
  <c r="Q137" i="18"/>
  <c r="P137" i="18"/>
  <c r="O137" i="18"/>
  <c r="N137" i="18"/>
  <c r="M137" i="18"/>
  <c r="L137" i="18"/>
  <c r="K137" i="18"/>
  <c r="J137" i="18"/>
  <c r="I137" i="18"/>
  <c r="H137" i="18"/>
  <c r="G137" i="18"/>
  <c r="F137" i="18"/>
  <c r="E137" i="18"/>
  <c r="D137" i="18"/>
  <c r="C137" i="18"/>
  <c r="AF131" i="18"/>
  <c r="AE131" i="18"/>
  <c r="AD131" i="18"/>
  <c r="AC131" i="18"/>
  <c r="AB131" i="18"/>
  <c r="AA131" i="18"/>
  <c r="Z131" i="18"/>
  <c r="Y131" i="18"/>
  <c r="X131" i="18"/>
  <c r="W131" i="18"/>
  <c r="V131" i="18"/>
  <c r="U131" i="18"/>
  <c r="T131" i="18"/>
  <c r="S131" i="18"/>
  <c r="R131" i="18"/>
  <c r="Q131" i="18"/>
  <c r="P131" i="18"/>
  <c r="O131" i="18"/>
  <c r="N131" i="18"/>
  <c r="M131" i="18"/>
  <c r="L131" i="18"/>
  <c r="K131" i="18"/>
  <c r="J131" i="18"/>
  <c r="I131" i="18"/>
  <c r="H131" i="18"/>
  <c r="G131" i="18"/>
  <c r="F131" i="18"/>
  <c r="E131" i="18"/>
  <c r="D131" i="18"/>
  <c r="C131" i="18"/>
  <c r="AF130" i="18"/>
  <c r="AE130" i="18"/>
  <c r="AD130" i="18"/>
  <c r="AC130" i="18"/>
  <c r="AB130" i="18"/>
  <c r="AA130" i="18"/>
  <c r="Z130" i="18"/>
  <c r="Y130" i="18"/>
  <c r="X130" i="18"/>
  <c r="W130" i="18"/>
  <c r="V130" i="18"/>
  <c r="U130" i="18"/>
  <c r="T130" i="18"/>
  <c r="S130" i="18"/>
  <c r="R130" i="18"/>
  <c r="Q130" i="18"/>
  <c r="P130" i="18"/>
  <c r="O130" i="18"/>
  <c r="N130" i="18"/>
  <c r="M130" i="18"/>
  <c r="L130" i="18"/>
  <c r="K130" i="18"/>
  <c r="J130" i="18"/>
  <c r="I130" i="18"/>
  <c r="H130" i="18"/>
  <c r="G130" i="18"/>
  <c r="F130" i="18"/>
  <c r="E130" i="18"/>
  <c r="D130" i="18"/>
  <c r="C130" i="18"/>
  <c r="AF129" i="18"/>
  <c r="AE129" i="18"/>
  <c r="AD129" i="18"/>
  <c r="AC129" i="18"/>
  <c r="AB129" i="18"/>
  <c r="AA129" i="18"/>
  <c r="Z129" i="18"/>
  <c r="Y129" i="18"/>
  <c r="X129" i="18"/>
  <c r="W129" i="18"/>
  <c r="V129" i="18"/>
  <c r="U129" i="18"/>
  <c r="T129" i="18"/>
  <c r="S129" i="18"/>
  <c r="R129" i="18"/>
  <c r="Q129" i="18"/>
  <c r="P129" i="18"/>
  <c r="O129" i="18"/>
  <c r="N129" i="18"/>
  <c r="M129" i="18"/>
  <c r="L129" i="18"/>
  <c r="K129" i="18"/>
  <c r="J129" i="18"/>
  <c r="I129" i="18"/>
  <c r="H129" i="18"/>
  <c r="G129" i="18"/>
  <c r="F129" i="18"/>
  <c r="E129" i="18"/>
  <c r="D129" i="18"/>
  <c r="C129" i="18"/>
  <c r="AF128" i="18"/>
  <c r="AE128" i="18"/>
  <c r="AD128" i="18"/>
  <c r="AC128" i="18"/>
  <c r="AB128" i="18"/>
  <c r="AA128" i="18"/>
  <c r="Z128" i="18"/>
  <c r="Y128" i="18"/>
  <c r="X128" i="18"/>
  <c r="W128" i="18"/>
  <c r="V128" i="18"/>
  <c r="U128" i="18"/>
  <c r="T128" i="18"/>
  <c r="S128" i="18"/>
  <c r="R128" i="18"/>
  <c r="Q128" i="18"/>
  <c r="P128" i="18"/>
  <c r="O128" i="18"/>
  <c r="N128" i="18"/>
  <c r="M128" i="18"/>
  <c r="L128" i="18"/>
  <c r="K128" i="18"/>
  <c r="J128" i="18"/>
  <c r="I128" i="18"/>
  <c r="H128" i="18"/>
  <c r="G128" i="18"/>
  <c r="F128" i="18"/>
  <c r="E128" i="18"/>
  <c r="D128" i="18"/>
  <c r="C128" i="18"/>
  <c r="AF127" i="18"/>
  <c r="AE127" i="18"/>
  <c r="AD127" i="18"/>
  <c r="AC127" i="18"/>
  <c r="AB127" i="18"/>
  <c r="AA127" i="18"/>
  <c r="Z127" i="18"/>
  <c r="Y127" i="18"/>
  <c r="X127" i="18"/>
  <c r="W127" i="18"/>
  <c r="V127" i="18"/>
  <c r="U127" i="18"/>
  <c r="T127" i="18"/>
  <c r="S127" i="18"/>
  <c r="R127" i="18"/>
  <c r="Q127" i="18"/>
  <c r="P127" i="18"/>
  <c r="O127" i="18"/>
  <c r="N127" i="18"/>
  <c r="M127" i="18"/>
  <c r="L127" i="18"/>
  <c r="K127" i="18"/>
  <c r="J127" i="18"/>
  <c r="I127" i="18"/>
  <c r="H127" i="18"/>
  <c r="G127" i="18"/>
  <c r="F127" i="18"/>
  <c r="E127" i="18"/>
  <c r="D127" i="18"/>
  <c r="C127" i="18"/>
  <c r="AF126" i="18"/>
  <c r="AE126" i="18"/>
  <c r="AD126" i="18"/>
  <c r="AC126" i="18"/>
  <c r="AB126" i="18"/>
  <c r="AA126" i="18"/>
  <c r="Z126" i="18"/>
  <c r="Y126" i="18"/>
  <c r="X126" i="18"/>
  <c r="W126" i="18"/>
  <c r="V126" i="18"/>
  <c r="U126" i="18"/>
  <c r="T126" i="18"/>
  <c r="S126" i="18"/>
  <c r="R126" i="18"/>
  <c r="Q126" i="18"/>
  <c r="P126" i="18"/>
  <c r="O126" i="18"/>
  <c r="N126" i="18"/>
  <c r="M126" i="18"/>
  <c r="L126" i="18"/>
  <c r="K126" i="18"/>
  <c r="J126" i="18"/>
  <c r="I126" i="18"/>
  <c r="H126" i="18"/>
  <c r="G126" i="18"/>
  <c r="F126" i="18"/>
  <c r="E126" i="18"/>
  <c r="D126" i="18"/>
  <c r="C126" i="18"/>
  <c r="AF122" i="18"/>
  <c r="AE122" i="18"/>
  <c r="AD122" i="18"/>
  <c r="AC122" i="18"/>
  <c r="AB122" i="18"/>
  <c r="AA122" i="18"/>
  <c r="Z122" i="18"/>
  <c r="Y122" i="18"/>
  <c r="X122" i="18"/>
  <c r="W122" i="18"/>
  <c r="V122" i="18"/>
  <c r="U122" i="18"/>
  <c r="T122" i="18"/>
  <c r="S122" i="18"/>
  <c r="R122" i="18"/>
  <c r="Q122" i="18"/>
  <c r="P122" i="18"/>
  <c r="O122" i="18"/>
  <c r="N122" i="18"/>
  <c r="M122" i="18"/>
  <c r="L122" i="18"/>
  <c r="K122" i="18"/>
  <c r="J122" i="18"/>
  <c r="I122" i="18"/>
  <c r="H122" i="18"/>
  <c r="G122" i="18"/>
  <c r="F122" i="18"/>
  <c r="E122" i="18"/>
  <c r="D122" i="18"/>
  <c r="C122" i="18"/>
  <c r="AF121" i="18"/>
  <c r="AE121" i="18"/>
  <c r="AD121" i="18"/>
  <c r="AC121" i="18"/>
  <c r="AB121" i="18"/>
  <c r="AA121" i="18"/>
  <c r="Z121" i="18"/>
  <c r="Y121" i="18"/>
  <c r="X121" i="18"/>
  <c r="W121" i="18"/>
  <c r="V121" i="18"/>
  <c r="U121" i="18"/>
  <c r="T121" i="18"/>
  <c r="S121" i="18"/>
  <c r="R121" i="18"/>
  <c r="Q121" i="18"/>
  <c r="P121" i="18"/>
  <c r="O121" i="18"/>
  <c r="N121" i="18"/>
  <c r="M121" i="18"/>
  <c r="L121" i="18"/>
  <c r="K121" i="18"/>
  <c r="J121" i="18"/>
  <c r="I121" i="18"/>
  <c r="H121" i="18"/>
  <c r="G121" i="18"/>
  <c r="F121" i="18"/>
  <c r="E121" i="18"/>
  <c r="D121" i="18"/>
  <c r="C121" i="18"/>
  <c r="AF120" i="18"/>
  <c r="AE120" i="18"/>
  <c r="AD120" i="18"/>
  <c r="AC120" i="18"/>
  <c r="AB120" i="18"/>
  <c r="AA120" i="18"/>
  <c r="Z120" i="18"/>
  <c r="Y120" i="18"/>
  <c r="X120" i="18"/>
  <c r="W120" i="18"/>
  <c r="V120" i="18"/>
  <c r="U120" i="18"/>
  <c r="T120" i="18"/>
  <c r="S120" i="18"/>
  <c r="R120" i="18"/>
  <c r="Q120" i="18"/>
  <c r="P120" i="18"/>
  <c r="O120" i="18"/>
  <c r="N120" i="18"/>
  <c r="M120" i="18"/>
  <c r="L120" i="18"/>
  <c r="K120" i="18"/>
  <c r="J120" i="18"/>
  <c r="I120" i="18"/>
  <c r="H120" i="18"/>
  <c r="G120" i="18"/>
  <c r="F120" i="18"/>
  <c r="E120" i="18"/>
  <c r="D120" i="18"/>
  <c r="C120" i="18"/>
  <c r="AF119" i="18"/>
  <c r="AE119" i="18"/>
  <c r="AD119" i="18"/>
  <c r="AC119" i="18"/>
  <c r="AB119" i="18"/>
  <c r="AA119" i="18"/>
  <c r="Z119" i="18"/>
  <c r="Y119" i="18"/>
  <c r="X119" i="18"/>
  <c r="W119" i="18"/>
  <c r="V119" i="18"/>
  <c r="U119" i="18"/>
  <c r="T119" i="18"/>
  <c r="S119" i="18"/>
  <c r="R119" i="18"/>
  <c r="Q119" i="18"/>
  <c r="P119" i="18"/>
  <c r="O119" i="18"/>
  <c r="N119" i="18"/>
  <c r="M119" i="18"/>
  <c r="L119" i="18"/>
  <c r="K119" i="18"/>
  <c r="J119" i="18"/>
  <c r="I119" i="18"/>
  <c r="H119" i="18"/>
  <c r="G119" i="18"/>
  <c r="F119" i="18"/>
  <c r="E119" i="18"/>
  <c r="D119" i="18"/>
  <c r="C119" i="18"/>
  <c r="AF118" i="18"/>
  <c r="AE118" i="18"/>
  <c r="AD118" i="18"/>
  <c r="AC118" i="18"/>
  <c r="AB118" i="18"/>
  <c r="AA118" i="18"/>
  <c r="Z118" i="18"/>
  <c r="Y118" i="18"/>
  <c r="X118" i="18"/>
  <c r="W118" i="18"/>
  <c r="V118" i="18"/>
  <c r="U118" i="18"/>
  <c r="T118" i="18"/>
  <c r="S118" i="18"/>
  <c r="R118" i="18"/>
  <c r="Q118" i="18"/>
  <c r="P118" i="18"/>
  <c r="O118" i="18"/>
  <c r="N118" i="18"/>
  <c r="M118" i="18"/>
  <c r="L118" i="18"/>
  <c r="K118" i="18"/>
  <c r="J118" i="18"/>
  <c r="I118" i="18"/>
  <c r="H118" i="18"/>
  <c r="G118" i="18"/>
  <c r="F118" i="18"/>
  <c r="E118" i="18"/>
  <c r="D118" i="18"/>
  <c r="C118" i="18"/>
  <c r="AF117" i="18"/>
  <c r="AE117" i="18"/>
  <c r="AD117" i="18"/>
  <c r="AC117" i="18"/>
  <c r="AB117" i="18"/>
  <c r="AA117" i="18"/>
  <c r="Z117" i="18"/>
  <c r="Y117" i="18"/>
  <c r="X117" i="18"/>
  <c r="W117" i="18"/>
  <c r="V117" i="18"/>
  <c r="U117" i="18"/>
  <c r="T117" i="18"/>
  <c r="S117" i="18"/>
  <c r="R117" i="18"/>
  <c r="Q117" i="18"/>
  <c r="P117" i="18"/>
  <c r="O117" i="18"/>
  <c r="N117" i="18"/>
  <c r="M117" i="18"/>
  <c r="L117" i="18"/>
  <c r="K117" i="18"/>
  <c r="J117" i="18"/>
  <c r="I117" i="18"/>
  <c r="H117" i="18"/>
  <c r="G117" i="18"/>
  <c r="F117" i="18"/>
  <c r="E117" i="18"/>
  <c r="D117" i="18"/>
  <c r="C117" i="18"/>
  <c r="AF111" i="18"/>
  <c r="AE111" i="18"/>
  <c r="AD111" i="18"/>
  <c r="AC111" i="18"/>
  <c r="AB111" i="18"/>
  <c r="AA111" i="18"/>
  <c r="Z111" i="18"/>
  <c r="Y111" i="18"/>
  <c r="X111" i="18"/>
  <c r="W111" i="18"/>
  <c r="V111" i="18"/>
  <c r="U111" i="18"/>
  <c r="T111" i="18"/>
  <c r="S111" i="18"/>
  <c r="R111" i="18"/>
  <c r="Q111" i="18"/>
  <c r="P111" i="18"/>
  <c r="O111" i="18"/>
  <c r="N111" i="18"/>
  <c r="M111" i="18"/>
  <c r="L111" i="18"/>
  <c r="K111" i="18"/>
  <c r="J111" i="18"/>
  <c r="I111" i="18"/>
  <c r="H111" i="18"/>
  <c r="G111" i="18"/>
  <c r="F111" i="18"/>
  <c r="E111" i="18"/>
  <c r="D111" i="18"/>
  <c r="C111" i="18"/>
  <c r="AF110" i="18"/>
  <c r="AE110" i="18"/>
  <c r="AD110" i="18"/>
  <c r="AC110" i="18"/>
  <c r="AB110" i="18"/>
  <c r="AA110" i="18"/>
  <c r="Z110" i="18"/>
  <c r="Y110" i="18"/>
  <c r="X110" i="18"/>
  <c r="W110" i="18"/>
  <c r="V110" i="18"/>
  <c r="U110" i="18"/>
  <c r="T110" i="18"/>
  <c r="S110" i="18"/>
  <c r="R110" i="18"/>
  <c r="Q110" i="18"/>
  <c r="P110" i="18"/>
  <c r="O110" i="18"/>
  <c r="N110" i="18"/>
  <c r="M110" i="18"/>
  <c r="L110" i="18"/>
  <c r="K110" i="18"/>
  <c r="J110" i="18"/>
  <c r="I110" i="18"/>
  <c r="H110" i="18"/>
  <c r="G110" i="18"/>
  <c r="F110" i="18"/>
  <c r="E110" i="18"/>
  <c r="D110" i="18"/>
  <c r="C110" i="18"/>
  <c r="AF109" i="18"/>
  <c r="AE109" i="18"/>
  <c r="AD109" i="18"/>
  <c r="AC109" i="18"/>
  <c r="AB109" i="18"/>
  <c r="AA109" i="18"/>
  <c r="Z109" i="18"/>
  <c r="Y109" i="18"/>
  <c r="X109" i="18"/>
  <c r="W109" i="18"/>
  <c r="V109" i="18"/>
  <c r="U109" i="18"/>
  <c r="T109" i="18"/>
  <c r="S109" i="18"/>
  <c r="R109" i="18"/>
  <c r="Q109" i="18"/>
  <c r="P109" i="18"/>
  <c r="O109" i="18"/>
  <c r="N109" i="18"/>
  <c r="M109" i="18"/>
  <c r="L109" i="18"/>
  <c r="K109" i="18"/>
  <c r="J109" i="18"/>
  <c r="I109" i="18"/>
  <c r="H109" i="18"/>
  <c r="G109" i="18"/>
  <c r="F109" i="18"/>
  <c r="E109" i="18"/>
  <c r="D109" i="18"/>
  <c r="C109" i="18"/>
  <c r="AF108" i="18"/>
  <c r="AE108" i="18"/>
  <c r="AD108" i="18"/>
  <c r="AC108" i="18"/>
  <c r="AB108" i="18"/>
  <c r="AA108" i="18"/>
  <c r="Z108" i="18"/>
  <c r="Y108" i="18"/>
  <c r="X108" i="18"/>
  <c r="W108" i="18"/>
  <c r="V108" i="18"/>
  <c r="U108" i="18"/>
  <c r="T108" i="18"/>
  <c r="S108" i="18"/>
  <c r="R108" i="18"/>
  <c r="Q108" i="18"/>
  <c r="P108" i="18"/>
  <c r="O108" i="18"/>
  <c r="N108" i="18"/>
  <c r="M108" i="18"/>
  <c r="L108" i="18"/>
  <c r="K108" i="18"/>
  <c r="J108" i="18"/>
  <c r="I108" i="18"/>
  <c r="H108" i="18"/>
  <c r="G108" i="18"/>
  <c r="F108" i="18"/>
  <c r="E108" i="18"/>
  <c r="D108" i="18"/>
  <c r="C108" i="18"/>
  <c r="AF107" i="18"/>
  <c r="AE107" i="18"/>
  <c r="AD107" i="18"/>
  <c r="AC107" i="18"/>
  <c r="AB107" i="18"/>
  <c r="AA107" i="18"/>
  <c r="Z107" i="18"/>
  <c r="Y107" i="18"/>
  <c r="X107" i="18"/>
  <c r="W107" i="18"/>
  <c r="V107" i="18"/>
  <c r="U107" i="18"/>
  <c r="T107" i="18"/>
  <c r="S107" i="18"/>
  <c r="R107" i="18"/>
  <c r="Q107" i="18"/>
  <c r="P107" i="18"/>
  <c r="O107" i="18"/>
  <c r="N107" i="18"/>
  <c r="M107" i="18"/>
  <c r="L107" i="18"/>
  <c r="K107" i="18"/>
  <c r="J107" i="18"/>
  <c r="I107" i="18"/>
  <c r="H107" i="18"/>
  <c r="G107" i="18"/>
  <c r="F107" i="18"/>
  <c r="E107" i="18"/>
  <c r="D107" i="18"/>
  <c r="C107" i="18"/>
  <c r="AF106" i="18"/>
  <c r="AE106" i="18"/>
  <c r="AD106" i="18"/>
  <c r="AC106" i="18"/>
  <c r="AB106" i="18"/>
  <c r="AA106" i="18"/>
  <c r="Z106" i="18"/>
  <c r="Y106" i="18"/>
  <c r="X106" i="18"/>
  <c r="W106" i="18"/>
  <c r="V106" i="18"/>
  <c r="U106" i="18"/>
  <c r="T106" i="18"/>
  <c r="S106" i="18"/>
  <c r="R106" i="18"/>
  <c r="Q106" i="18"/>
  <c r="P106" i="18"/>
  <c r="O106" i="18"/>
  <c r="N106" i="18"/>
  <c r="M106" i="18"/>
  <c r="L106" i="18"/>
  <c r="K106" i="18"/>
  <c r="J106" i="18"/>
  <c r="I106" i="18"/>
  <c r="H106" i="18"/>
  <c r="G106" i="18"/>
  <c r="F106" i="18"/>
  <c r="E106" i="18"/>
  <c r="D106" i="18"/>
  <c r="C106" i="18"/>
  <c r="AF102" i="18"/>
  <c r="AE102" i="18"/>
  <c r="AD102" i="18"/>
  <c r="AC102" i="18"/>
  <c r="AB102" i="18"/>
  <c r="AA102" i="18"/>
  <c r="Z102" i="18"/>
  <c r="Y102" i="18"/>
  <c r="X102" i="18"/>
  <c r="W102" i="18"/>
  <c r="V102" i="18"/>
  <c r="U102" i="18"/>
  <c r="T102" i="18"/>
  <c r="S102" i="18"/>
  <c r="R102" i="18"/>
  <c r="Q102" i="18"/>
  <c r="P102" i="18"/>
  <c r="O102" i="18"/>
  <c r="N102" i="18"/>
  <c r="M102" i="18"/>
  <c r="L102" i="18"/>
  <c r="K102" i="18"/>
  <c r="J102" i="18"/>
  <c r="I102" i="18"/>
  <c r="H102" i="18"/>
  <c r="G102" i="18"/>
  <c r="F102" i="18"/>
  <c r="E102" i="18"/>
  <c r="D102" i="18"/>
  <c r="C102" i="18"/>
  <c r="AF101" i="18"/>
  <c r="AE101" i="18"/>
  <c r="AD101" i="18"/>
  <c r="AC101" i="18"/>
  <c r="AB101" i="18"/>
  <c r="AA101" i="18"/>
  <c r="Z101" i="18"/>
  <c r="Y101" i="18"/>
  <c r="X101" i="18"/>
  <c r="W101" i="18"/>
  <c r="V101" i="18"/>
  <c r="U101" i="18"/>
  <c r="T101" i="18"/>
  <c r="S101" i="18"/>
  <c r="R101" i="18"/>
  <c r="Q101" i="18"/>
  <c r="P101" i="18"/>
  <c r="O101" i="18"/>
  <c r="N101" i="18"/>
  <c r="M101" i="18"/>
  <c r="L101" i="18"/>
  <c r="K101" i="18"/>
  <c r="J101" i="18"/>
  <c r="I101" i="18"/>
  <c r="H101" i="18"/>
  <c r="G101" i="18"/>
  <c r="F101" i="18"/>
  <c r="E101" i="18"/>
  <c r="D101" i="18"/>
  <c r="C101" i="18"/>
  <c r="AF100" i="18"/>
  <c r="AE100" i="18"/>
  <c r="AD100" i="18"/>
  <c r="AC100" i="18"/>
  <c r="AB100" i="18"/>
  <c r="AA100" i="18"/>
  <c r="Z100" i="18"/>
  <c r="Y100" i="18"/>
  <c r="X100" i="18"/>
  <c r="W100" i="18"/>
  <c r="V100" i="18"/>
  <c r="U100" i="18"/>
  <c r="T100" i="18"/>
  <c r="S100" i="18"/>
  <c r="R100" i="18"/>
  <c r="Q100" i="18"/>
  <c r="P100" i="18"/>
  <c r="O100" i="18"/>
  <c r="N100" i="18"/>
  <c r="M100" i="18"/>
  <c r="L100" i="18"/>
  <c r="K100" i="18"/>
  <c r="J100" i="18"/>
  <c r="I100" i="18"/>
  <c r="H100" i="18"/>
  <c r="G100" i="18"/>
  <c r="F100" i="18"/>
  <c r="E100" i="18"/>
  <c r="D100" i="18"/>
  <c r="C100" i="18"/>
  <c r="AF99" i="18"/>
  <c r="AE99" i="18"/>
  <c r="AD99" i="18"/>
  <c r="AC99" i="18"/>
  <c r="AB99" i="18"/>
  <c r="AA99" i="18"/>
  <c r="Z99" i="18"/>
  <c r="Y99" i="18"/>
  <c r="X99" i="18"/>
  <c r="W99" i="18"/>
  <c r="V99" i="18"/>
  <c r="U99" i="18"/>
  <c r="T99" i="18"/>
  <c r="S99" i="18"/>
  <c r="R99" i="18"/>
  <c r="Q99" i="18"/>
  <c r="P99" i="18"/>
  <c r="O99" i="18"/>
  <c r="N99" i="18"/>
  <c r="M99" i="18"/>
  <c r="L99" i="18"/>
  <c r="K99" i="18"/>
  <c r="J99" i="18"/>
  <c r="I99" i="18"/>
  <c r="H99" i="18"/>
  <c r="G99" i="18"/>
  <c r="F99" i="18"/>
  <c r="E99" i="18"/>
  <c r="D99" i="18"/>
  <c r="C99" i="18"/>
  <c r="AF98" i="18"/>
  <c r="AE98" i="18"/>
  <c r="AD98" i="18"/>
  <c r="AC98" i="18"/>
  <c r="AB98" i="18"/>
  <c r="AA98" i="18"/>
  <c r="Z98" i="18"/>
  <c r="Y98" i="18"/>
  <c r="X98" i="18"/>
  <c r="W98" i="18"/>
  <c r="V98" i="18"/>
  <c r="U98" i="18"/>
  <c r="T98" i="18"/>
  <c r="S98" i="18"/>
  <c r="R98" i="18"/>
  <c r="Q98" i="18"/>
  <c r="P98" i="18"/>
  <c r="O98" i="18"/>
  <c r="N98" i="18"/>
  <c r="M98" i="18"/>
  <c r="L98" i="18"/>
  <c r="K98" i="18"/>
  <c r="J98" i="18"/>
  <c r="I98" i="18"/>
  <c r="H98" i="18"/>
  <c r="G98" i="18"/>
  <c r="F98" i="18"/>
  <c r="E98" i="18"/>
  <c r="D98" i="18"/>
  <c r="C98" i="18"/>
  <c r="AF97" i="18"/>
  <c r="AE97" i="18"/>
  <c r="AD97" i="18"/>
  <c r="AC97" i="18"/>
  <c r="AB97" i="18"/>
  <c r="AA97" i="18"/>
  <c r="Z97" i="18"/>
  <c r="Y97" i="18"/>
  <c r="X97" i="18"/>
  <c r="W97" i="18"/>
  <c r="V97" i="18"/>
  <c r="U97" i="18"/>
  <c r="T97" i="18"/>
  <c r="S97" i="18"/>
  <c r="R97" i="18"/>
  <c r="Q97" i="18"/>
  <c r="P97" i="18"/>
  <c r="O97" i="18"/>
  <c r="N97" i="18"/>
  <c r="M97" i="18"/>
  <c r="L97" i="18"/>
  <c r="K97" i="18"/>
  <c r="J97" i="18"/>
  <c r="I97" i="18"/>
  <c r="H97" i="18"/>
  <c r="G97" i="18"/>
  <c r="F97" i="18"/>
  <c r="E97" i="18"/>
  <c r="D97" i="18"/>
  <c r="C97" i="18"/>
  <c r="AF89" i="18"/>
  <c r="AE89" i="18"/>
  <c r="AD89" i="18"/>
  <c r="AC89" i="18"/>
  <c r="AB89" i="18"/>
  <c r="AA89" i="18"/>
  <c r="Z89" i="18"/>
  <c r="Y89" i="18"/>
  <c r="X89" i="18"/>
  <c r="W89" i="18"/>
  <c r="V89" i="18"/>
  <c r="U89" i="18"/>
  <c r="T89" i="18"/>
  <c r="S89" i="18"/>
  <c r="R89" i="18"/>
  <c r="Q89" i="18"/>
  <c r="P89" i="18"/>
  <c r="O89" i="18"/>
  <c r="N89" i="18"/>
  <c r="M89" i="18"/>
  <c r="L89" i="18"/>
  <c r="K89" i="18"/>
  <c r="J89" i="18"/>
  <c r="I89" i="18"/>
  <c r="H89" i="18"/>
  <c r="G89" i="18"/>
  <c r="F89" i="18"/>
  <c r="E89" i="18"/>
  <c r="D89" i="18"/>
  <c r="C89" i="18"/>
  <c r="AF88" i="18"/>
  <c r="AE88" i="18"/>
  <c r="AD88" i="18"/>
  <c r="AC88" i="18"/>
  <c r="AB88" i="18"/>
  <c r="AA88" i="18"/>
  <c r="Z88" i="18"/>
  <c r="Y88" i="18"/>
  <c r="X88" i="18"/>
  <c r="W88" i="18"/>
  <c r="V88" i="18"/>
  <c r="U88" i="18"/>
  <c r="T88" i="18"/>
  <c r="S88" i="18"/>
  <c r="R88" i="18"/>
  <c r="Q88" i="18"/>
  <c r="P88" i="18"/>
  <c r="O88" i="18"/>
  <c r="N88" i="18"/>
  <c r="M88" i="18"/>
  <c r="L88" i="18"/>
  <c r="K88" i="18"/>
  <c r="J88" i="18"/>
  <c r="I88" i="18"/>
  <c r="H88" i="18"/>
  <c r="G88" i="18"/>
  <c r="F88" i="18"/>
  <c r="E88" i="18"/>
  <c r="D88" i="18"/>
  <c r="C88" i="18"/>
  <c r="AF87" i="18"/>
  <c r="AE87" i="18"/>
  <c r="AD87" i="18"/>
  <c r="AC87" i="18"/>
  <c r="AB87" i="18"/>
  <c r="AA87" i="18"/>
  <c r="Z87" i="18"/>
  <c r="Y87" i="18"/>
  <c r="X87" i="18"/>
  <c r="W87" i="18"/>
  <c r="V87" i="18"/>
  <c r="U87" i="18"/>
  <c r="T87" i="18"/>
  <c r="S87" i="18"/>
  <c r="R87" i="18"/>
  <c r="Q87" i="18"/>
  <c r="P87" i="18"/>
  <c r="O87" i="18"/>
  <c r="N87" i="18"/>
  <c r="M87" i="18"/>
  <c r="L87" i="18"/>
  <c r="K87" i="18"/>
  <c r="J87" i="18"/>
  <c r="I87" i="18"/>
  <c r="H87" i="18"/>
  <c r="G87" i="18"/>
  <c r="F87" i="18"/>
  <c r="E87" i="18"/>
  <c r="D87" i="18"/>
  <c r="C87" i="18"/>
  <c r="AF86" i="18"/>
  <c r="AE86" i="18"/>
  <c r="AD86" i="18"/>
  <c r="AC86" i="18"/>
  <c r="AB86" i="18"/>
  <c r="AA86" i="18"/>
  <c r="Z86" i="18"/>
  <c r="Y86" i="18"/>
  <c r="X86" i="18"/>
  <c r="W86" i="18"/>
  <c r="V86" i="18"/>
  <c r="U86" i="18"/>
  <c r="T86" i="18"/>
  <c r="S86" i="18"/>
  <c r="R86" i="18"/>
  <c r="Q86" i="18"/>
  <c r="P86" i="18"/>
  <c r="O86" i="18"/>
  <c r="N86" i="18"/>
  <c r="M86" i="18"/>
  <c r="L86" i="18"/>
  <c r="K86" i="18"/>
  <c r="J86" i="18"/>
  <c r="I86" i="18"/>
  <c r="H86" i="18"/>
  <c r="G86" i="18"/>
  <c r="F86" i="18"/>
  <c r="E86" i="18"/>
  <c r="D86" i="18"/>
  <c r="C86" i="18"/>
  <c r="AF85" i="18"/>
  <c r="AE85" i="18"/>
  <c r="AD85" i="18"/>
  <c r="AC85" i="18"/>
  <c r="AB85" i="18"/>
  <c r="AA85" i="18"/>
  <c r="Z85" i="18"/>
  <c r="Y85" i="18"/>
  <c r="X85" i="18"/>
  <c r="W85" i="18"/>
  <c r="V85" i="18"/>
  <c r="U85" i="18"/>
  <c r="T85" i="18"/>
  <c r="S85" i="18"/>
  <c r="R85" i="18"/>
  <c r="Q85" i="18"/>
  <c r="P85" i="18"/>
  <c r="O85" i="18"/>
  <c r="N85" i="18"/>
  <c r="M85" i="18"/>
  <c r="L85" i="18"/>
  <c r="K85" i="18"/>
  <c r="J85" i="18"/>
  <c r="I85" i="18"/>
  <c r="H85" i="18"/>
  <c r="G85" i="18"/>
  <c r="F85" i="18"/>
  <c r="E85" i="18"/>
  <c r="D85" i="18"/>
  <c r="C85" i="18"/>
  <c r="AF84" i="18"/>
  <c r="AE84" i="18"/>
  <c r="AD84" i="18"/>
  <c r="AC84" i="18"/>
  <c r="AB84" i="18"/>
  <c r="AA84" i="18"/>
  <c r="Z84" i="18"/>
  <c r="Y84" i="18"/>
  <c r="X84" i="18"/>
  <c r="W84" i="18"/>
  <c r="V84" i="18"/>
  <c r="U84" i="18"/>
  <c r="T84" i="18"/>
  <c r="S84" i="18"/>
  <c r="R84" i="18"/>
  <c r="Q84" i="18"/>
  <c r="P84" i="18"/>
  <c r="O84" i="18"/>
  <c r="N84" i="18"/>
  <c r="M84" i="18"/>
  <c r="L84" i="18"/>
  <c r="K84" i="18"/>
  <c r="J84" i="18"/>
  <c r="I84" i="18"/>
  <c r="H84" i="18"/>
  <c r="G84" i="18"/>
  <c r="F84" i="18"/>
  <c r="E84" i="18"/>
  <c r="D84" i="18"/>
  <c r="C84" i="18"/>
  <c r="AF80" i="18"/>
  <c r="AE80" i="18"/>
  <c r="AD80" i="18"/>
  <c r="AC80" i="18"/>
  <c r="AB80" i="18"/>
  <c r="AA80" i="18"/>
  <c r="Z80" i="18"/>
  <c r="Y80" i="18"/>
  <c r="X80" i="18"/>
  <c r="W80" i="18"/>
  <c r="V80" i="18"/>
  <c r="U80" i="18"/>
  <c r="T80" i="18"/>
  <c r="S80" i="18"/>
  <c r="R80" i="18"/>
  <c r="Q80" i="18"/>
  <c r="P80" i="18"/>
  <c r="O80" i="18"/>
  <c r="N80" i="18"/>
  <c r="M80" i="18"/>
  <c r="L80" i="18"/>
  <c r="K80" i="18"/>
  <c r="J80" i="18"/>
  <c r="I80" i="18"/>
  <c r="H80" i="18"/>
  <c r="G80" i="18"/>
  <c r="F80" i="18"/>
  <c r="E80" i="18"/>
  <c r="D80" i="18"/>
  <c r="C80" i="18"/>
  <c r="AF79" i="18"/>
  <c r="AE79" i="18"/>
  <c r="AD79" i="18"/>
  <c r="AC79" i="18"/>
  <c r="AB79" i="18"/>
  <c r="AA79" i="18"/>
  <c r="Z79" i="18"/>
  <c r="Y79" i="18"/>
  <c r="X79" i="18"/>
  <c r="W79" i="18"/>
  <c r="V79" i="18"/>
  <c r="U79" i="18"/>
  <c r="T79" i="18"/>
  <c r="S79" i="18"/>
  <c r="R79" i="18"/>
  <c r="Q79" i="18"/>
  <c r="P79" i="18"/>
  <c r="O79" i="18"/>
  <c r="N79" i="18"/>
  <c r="M79" i="18"/>
  <c r="L79" i="18"/>
  <c r="K79" i="18"/>
  <c r="J79" i="18"/>
  <c r="I79" i="18"/>
  <c r="H79" i="18"/>
  <c r="G79" i="18"/>
  <c r="F79" i="18"/>
  <c r="E79" i="18"/>
  <c r="D79" i="18"/>
  <c r="C79" i="18"/>
  <c r="AF78" i="18"/>
  <c r="AE78" i="18"/>
  <c r="AD78" i="18"/>
  <c r="AC78" i="18"/>
  <c r="AB78" i="18"/>
  <c r="AA78" i="18"/>
  <c r="Z78" i="18"/>
  <c r="Y78" i="18"/>
  <c r="X78" i="18"/>
  <c r="W78" i="18"/>
  <c r="V78" i="18"/>
  <c r="U78" i="18"/>
  <c r="T78" i="18"/>
  <c r="S78" i="18"/>
  <c r="R78" i="18"/>
  <c r="Q78" i="18"/>
  <c r="P78" i="18"/>
  <c r="O78" i="18"/>
  <c r="N78" i="18"/>
  <c r="M78" i="18"/>
  <c r="L78" i="18"/>
  <c r="K78" i="18"/>
  <c r="J78" i="18"/>
  <c r="I78" i="18"/>
  <c r="H78" i="18"/>
  <c r="G78" i="18"/>
  <c r="F78" i="18"/>
  <c r="E78" i="18"/>
  <c r="D78" i="18"/>
  <c r="C78" i="18"/>
  <c r="AF77" i="18"/>
  <c r="AE77" i="18"/>
  <c r="AD77" i="18"/>
  <c r="AC77" i="18"/>
  <c r="AB77" i="18"/>
  <c r="AA77" i="18"/>
  <c r="Z77" i="18"/>
  <c r="Y77" i="18"/>
  <c r="X77" i="18"/>
  <c r="W77" i="18"/>
  <c r="V77" i="18"/>
  <c r="U77" i="18"/>
  <c r="T77" i="18"/>
  <c r="S77" i="18"/>
  <c r="R77" i="18"/>
  <c r="Q77" i="18"/>
  <c r="P77" i="18"/>
  <c r="O77" i="18"/>
  <c r="N77" i="18"/>
  <c r="M77" i="18"/>
  <c r="L77" i="18"/>
  <c r="K77" i="18"/>
  <c r="J77" i="18"/>
  <c r="I77" i="18"/>
  <c r="H77" i="18"/>
  <c r="G77" i="18"/>
  <c r="F77" i="18"/>
  <c r="E77" i="18"/>
  <c r="D77" i="18"/>
  <c r="C77" i="18"/>
  <c r="AF76" i="18"/>
  <c r="AE76" i="18"/>
  <c r="AD76" i="18"/>
  <c r="AC76" i="18"/>
  <c r="AB76" i="18"/>
  <c r="AA76" i="18"/>
  <c r="Z76" i="18"/>
  <c r="Y76" i="18"/>
  <c r="X76" i="18"/>
  <c r="W76" i="18"/>
  <c r="V76" i="18"/>
  <c r="U76" i="18"/>
  <c r="T76" i="18"/>
  <c r="S76" i="18"/>
  <c r="R76" i="18"/>
  <c r="Q76" i="18"/>
  <c r="P76" i="18"/>
  <c r="O76" i="18"/>
  <c r="N76" i="18"/>
  <c r="M76" i="18"/>
  <c r="L76" i="18"/>
  <c r="K76" i="18"/>
  <c r="J76" i="18"/>
  <c r="I76" i="18"/>
  <c r="H76" i="18"/>
  <c r="G76" i="18"/>
  <c r="F76" i="18"/>
  <c r="E76" i="18"/>
  <c r="D76" i="18"/>
  <c r="C76" i="18"/>
  <c r="AF75" i="18"/>
  <c r="AE75" i="18"/>
  <c r="AD75" i="18"/>
  <c r="AC75" i="18"/>
  <c r="AB75" i="18"/>
  <c r="AA75" i="18"/>
  <c r="Z75" i="18"/>
  <c r="Y75" i="18"/>
  <c r="X75" i="18"/>
  <c r="W75" i="18"/>
  <c r="V75" i="18"/>
  <c r="U75" i="18"/>
  <c r="T75" i="18"/>
  <c r="S75" i="18"/>
  <c r="R75" i="18"/>
  <c r="Q75" i="18"/>
  <c r="P75" i="18"/>
  <c r="O75" i="18"/>
  <c r="N75" i="18"/>
  <c r="M75" i="18"/>
  <c r="L75" i="18"/>
  <c r="K75" i="18"/>
  <c r="J75" i="18"/>
  <c r="I75" i="18"/>
  <c r="H75" i="18"/>
  <c r="G75" i="18"/>
  <c r="F75" i="18"/>
  <c r="E75" i="18"/>
  <c r="D75" i="18"/>
  <c r="C75"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C69"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C68" i="18"/>
  <c r="AF67" i="18"/>
  <c r="AE67" i="18"/>
  <c r="AD67" i="18"/>
  <c r="AC67" i="18"/>
  <c r="AB67" i="18"/>
  <c r="AA67" i="18"/>
  <c r="Z67" i="18"/>
  <c r="Y67" i="18"/>
  <c r="X67" i="18"/>
  <c r="W67" i="18"/>
  <c r="V67" i="18"/>
  <c r="U67" i="18"/>
  <c r="T67" i="18"/>
  <c r="S67" i="18"/>
  <c r="R67" i="18"/>
  <c r="Q67" i="18"/>
  <c r="P67" i="18"/>
  <c r="O67" i="18"/>
  <c r="N67" i="18"/>
  <c r="M67" i="18"/>
  <c r="L67" i="18"/>
  <c r="K67" i="18"/>
  <c r="J67" i="18"/>
  <c r="I67" i="18"/>
  <c r="H67" i="18"/>
  <c r="G67" i="18"/>
  <c r="F67" i="18"/>
  <c r="E67" i="18"/>
  <c r="D67" i="18"/>
  <c r="C67" i="18"/>
  <c r="AF66" i="18"/>
  <c r="AE66" i="18"/>
  <c r="AD66" i="18"/>
  <c r="AC66" i="18"/>
  <c r="AB66" i="18"/>
  <c r="AA66" i="18"/>
  <c r="Z66" i="18"/>
  <c r="Y66" i="18"/>
  <c r="X66" i="18"/>
  <c r="W66" i="18"/>
  <c r="V66" i="18"/>
  <c r="U66" i="18"/>
  <c r="T66" i="18"/>
  <c r="S66" i="18"/>
  <c r="R66" i="18"/>
  <c r="Q66" i="18"/>
  <c r="P66" i="18"/>
  <c r="O66" i="18"/>
  <c r="N66" i="18"/>
  <c r="M66" i="18"/>
  <c r="L66" i="18"/>
  <c r="K66" i="18"/>
  <c r="J66" i="18"/>
  <c r="I66" i="18"/>
  <c r="H66" i="18"/>
  <c r="G66" i="18"/>
  <c r="F66" i="18"/>
  <c r="E66" i="18"/>
  <c r="D66" i="18"/>
  <c r="C66"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C65"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C64" i="18"/>
  <c r="AF60" i="18"/>
  <c r="AE60" i="18"/>
  <c r="AD60" i="18"/>
  <c r="AC60" i="18"/>
  <c r="AB60" i="18"/>
  <c r="AA60" i="18"/>
  <c r="Z60" i="18"/>
  <c r="Y60" i="18"/>
  <c r="X60" i="18"/>
  <c r="W60" i="18"/>
  <c r="V60" i="18"/>
  <c r="U60" i="18"/>
  <c r="T60" i="18"/>
  <c r="S60" i="18"/>
  <c r="R60" i="18"/>
  <c r="Q60" i="18"/>
  <c r="P60" i="18"/>
  <c r="O60" i="18"/>
  <c r="N60" i="18"/>
  <c r="M60" i="18"/>
  <c r="L60" i="18"/>
  <c r="K60" i="18"/>
  <c r="J60" i="18"/>
  <c r="I60" i="18"/>
  <c r="H60" i="18"/>
  <c r="G60" i="18"/>
  <c r="F60" i="18"/>
  <c r="E60" i="18"/>
  <c r="D60" i="18"/>
  <c r="C60" i="18"/>
  <c r="AF59" i="18"/>
  <c r="AE59" i="18"/>
  <c r="AD59" i="18"/>
  <c r="AC59" i="18"/>
  <c r="AB59" i="18"/>
  <c r="AA59" i="18"/>
  <c r="Z59" i="18"/>
  <c r="Y59" i="18"/>
  <c r="X59" i="18"/>
  <c r="W59" i="18"/>
  <c r="V59" i="18"/>
  <c r="U59" i="18"/>
  <c r="T59" i="18"/>
  <c r="S59" i="18"/>
  <c r="R59" i="18"/>
  <c r="Q59" i="18"/>
  <c r="P59" i="18"/>
  <c r="O59" i="18"/>
  <c r="N59" i="18"/>
  <c r="M59" i="18"/>
  <c r="L59" i="18"/>
  <c r="K59" i="18"/>
  <c r="J59" i="18"/>
  <c r="I59" i="18"/>
  <c r="H59" i="18"/>
  <c r="G59" i="18"/>
  <c r="F59" i="18"/>
  <c r="E59" i="18"/>
  <c r="D59" i="18"/>
  <c r="C59" i="18"/>
  <c r="AF58" i="18"/>
  <c r="AE58" i="18"/>
  <c r="AD58" i="18"/>
  <c r="AC58" i="18"/>
  <c r="AB58" i="18"/>
  <c r="AA58" i="18"/>
  <c r="Z58" i="18"/>
  <c r="Y58" i="18"/>
  <c r="X58" i="18"/>
  <c r="W58" i="18"/>
  <c r="V58" i="18"/>
  <c r="U58" i="18"/>
  <c r="T58" i="18"/>
  <c r="S58" i="18"/>
  <c r="R58" i="18"/>
  <c r="Q58" i="18"/>
  <c r="P58" i="18"/>
  <c r="O58" i="18"/>
  <c r="N58" i="18"/>
  <c r="M58" i="18"/>
  <c r="L58" i="18"/>
  <c r="K58" i="18"/>
  <c r="J58" i="18"/>
  <c r="I58" i="18"/>
  <c r="H58" i="18"/>
  <c r="G58" i="18"/>
  <c r="F58" i="18"/>
  <c r="E58" i="18"/>
  <c r="D58" i="18"/>
  <c r="C58" i="18"/>
  <c r="AF57" i="18"/>
  <c r="AE57" i="18"/>
  <c r="AD57" i="18"/>
  <c r="AC57" i="18"/>
  <c r="AB57" i="18"/>
  <c r="AA57" i="18"/>
  <c r="Z57" i="18"/>
  <c r="Y57" i="18"/>
  <c r="X57" i="18"/>
  <c r="W57" i="18"/>
  <c r="V57" i="18"/>
  <c r="U57" i="18"/>
  <c r="T57" i="18"/>
  <c r="S57" i="18"/>
  <c r="R57" i="18"/>
  <c r="Q57" i="18"/>
  <c r="P57" i="18"/>
  <c r="O57" i="18"/>
  <c r="N57" i="18"/>
  <c r="M57" i="18"/>
  <c r="L57" i="18"/>
  <c r="K57" i="18"/>
  <c r="J57" i="18"/>
  <c r="I57" i="18"/>
  <c r="H57" i="18"/>
  <c r="G57" i="18"/>
  <c r="F57" i="18"/>
  <c r="E57" i="18"/>
  <c r="D57" i="18"/>
  <c r="C57" i="18"/>
  <c r="AF56" i="18"/>
  <c r="AE56" i="18"/>
  <c r="AD56" i="18"/>
  <c r="AC56" i="18"/>
  <c r="AB56" i="18"/>
  <c r="AA56" i="18"/>
  <c r="Z56" i="18"/>
  <c r="Y56" i="18"/>
  <c r="X56" i="18"/>
  <c r="W56" i="18"/>
  <c r="V56" i="18"/>
  <c r="U56" i="18"/>
  <c r="T56" i="18"/>
  <c r="S56" i="18"/>
  <c r="R56" i="18"/>
  <c r="Q56" i="18"/>
  <c r="P56" i="18"/>
  <c r="O56" i="18"/>
  <c r="N56" i="18"/>
  <c r="M56" i="18"/>
  <c r="L56" i="18"/>
  <c r="K56" i="18"/>
  <c r="J56" i="18"/>
  <c r="I56" i="18"/>
  <c r="H56" i="18"/>
  <c r="G56" i="18"/>
  <c r="F56" i="18"/>
  <c r="E56" i="18"/>
  <c r="D56" i="18"/>
  <c r="C56" i="18"/>
  <c r="AF55" i="18"/>
  <c r="AE55" i="18"/>
  <c r="AD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C55" i="18"/>
  <c r="AF49" i="18"/>
  <c r="AE49" i="18"/>
  <c r="AD49" i="18"/>
  <c r="AC49" i="18"/>
  <c r="AB49" i="18"/>
  <c r="AA49" i="18"/>
  <c r="Z49" i="18"/>
  <c r="Y49" i="18"/>
  <c r="X49" i="18"/>
  <c r="W49" i="18"/>
  <c r="V49" i="18"/>
  <c r="U49" i="18"/>
  <c r="T49" i="18"/>
  <c r="S49" i="18"/>
  <c r="R49" i="18"/>
  <c r="Q49" i="18"/>
  <c r="P49" i="18"/>
  <c r="O49" i="18"/>
  <c r="N49" i="18"/>
  <c r="M49" i="18"/>
  <c r="L49" i="18"/>
  <c r="K49" i="18"/>
  <c r="J49" i="18"/>
  <c r="I49" i="18"/>
  <c r="H49" i="18"/>
  <c r="G49" i="18"/>
  <c r="F49" i="18"/>
  <c r="E49" i="18"/>
  <c r="D49" i="18"/>
  <c r="C49" i="18"/>
  <c r="AF48" i="18"/>
  <c r="AE48" i="18"/>
  <c r="AD48" i="18"/>
  <c r="AC48" i="18"/>
  <c r="AB48" i="18"/>
  <c r="AA48" i="18"/>
  <c r="Z48" i="18"/>
  <c r="Y48" i="18"/>
  <c r="X48" i="18"/>
  <c r="W48" i="18"/>
  <c r="V48" i="18"/>
  <c r="U48" i="18"/>
  <c r="T48" i="18"/>
  <c r="S48" i="18"/>
  <c r="R48" i="18"/>
  <c r="Q48" i="18"/>
  <c r="P48" i="18"/>
  <c r="O48" i="18"/>
  <c r="N48" i="18"/>
  <c r="M48" i="18"/>
  <c r="L48" i="18"/>
  <c r="K48" i="18"/>
  <c r="J48" i="18"/>
  <c r="I48" i="18"/>
  <c r="H48" i="18"/>
  <c r="G48" i="18"/>
  <c r="F48" i="18"/>
  <c r="E48" i="18"/>
  <c r="D48" i="18"/>
  <c r="C48" i="18"/>
  <c r="AF47" i="18"/>
  <c r="AE47" i="18"/>
  <c r="AD47" i="18"/>
  <c r="AC47" i="18"/>
  <c r="AB47" i="18"/>
  <c r="AA47" i="18"/>
  <c r="Z47" i="18"/>
  <c r="Y47" i="18"/>
  <c r="X47" i="18"/>
  <c r="W47" i="18"/>
  <c r="V47" i="18"/>
  <c r="U47" i="18"/>
  <c r="T47" i="18"/>
  <c r="S47" i="18"/>
  <c r="R47" i="18"/>
  <c r="Q47" i="18"/>
  <c r="P47" i="18"/>
  <c r="O47" i="18"/>
  <c r="N47" i="18"/>
  <c r="M47" i="18"/>
  <c r="L47" i="18"/>
  <c r="K47" i="18"/>
  <c r="J47" i="18"/>
  <c r="I47" i="18"/>
  <c r="H47" i="18"/>
  <c r="G47" i="18"/>
  <c r="F47" i="18"/>
  <c r="E47" i="18"/>
  <c r="D47" i="18"/>
  <c r="C47" i="18"/>
  <c r="AF46" i="18"/>
  <c r="AE46" i="18"/>
  <c r="AD46" i="18"/>
  <c r="AC46" i="18"/>
  <c r="AB46" i="18"/>
  <c r="AA46" i="18"/>
  <c r="Z46" i="18"/>
  <c r="Y46" i="18"/>
  <c r="X46" i="18"/>
  <c r="W46" i="18"/>
  <c r="V46" i="18"/>
  <c r="U46" i="18"/>
  <c r="T46" i="18"/>
  <c r="S46" i="18"/>
  <c r="R46" i="18"/>
  <c r="Q46" i="18"/>
  <c r="P46" i="18"/>
  <c r="O46" i="18"/>
  <c r="N46" i="18"/>
  <c r="M46" i="18"/>
  <c r="L46" i="18"/>
  <c r="K46" i="18"/>
  <c r="J46" i="18"/>
  <c r="I46" i="18"/>
  <c r="H46" i="18"/>
  <c r="G46" i="18"/>
  <c r="F46" i="18"/>
  <c r="E46" i="18"/>
  <c r="D46" i="18"/>
  <c r="C46" i="18"/>
  <c r="AF45" i="18"/>
  <c r="AE45" i="18"/>
  <c r="AD45" i="18"/>
  <c r="AC45" i="18"/>
  <c r="AB45" i="18"/>
  <c r="AA45" i="18"/>
  <c r="Z45" i="18"/>
  <c r="Y45" i="18"/>
  <c r="X45" i="18"/>
  <c r="W45" i="18"/>
  <c r="V45" i="18"/>
  <c r="U45" i="18"/>
  <c r="T45" i="18"/>
  <c r="S45" i="18"/>
  <c r="R45" i="18"/>
  <c r="Q45" i="18"/>
  <c r="P45" i="18"/>
  <c r="O45" i="18"/>
  <c r="N45" i="18"/>
  <c r="M45" i="18"/>
  <c r="L45" i="18"/>
  <c r="K45" i="18"/>
  <c r="J45" i="18"/>
  <c r="I45" i="18"/>
  <c r="H45" i="18"/>
  <c r="G45" i="18"/>
  <c r="F45" i="18"/>
  <c r="E45" i="18"/>
  <c r="D45" i="18"/>
  <c r="C45" i="18"/>
  <c r="AF44" i="18"/>
  <c r="AE44" i="18"/>
  <c r="AD44" i="18"/>
  <c r="AC44" i="18"/>
  <c r="AB44" i="18"/>
  <c r="AA44" i="18"/>
  <c r="Z44" i="18"/>
  <c r="Y44" i="18"/>
  <c r="X44" i="18"/>
  <c r="W44" i="18"/>
  <c r="V44" i="18"/>
  <c r="U44" i="18"/>
  <c r="T44" i="18"/>
  <c r="S44" i="18"/>
  <c r="R44" i="18"/>
  <c r="Q44" i="18"/>
  <c r="P44" i="18"/>
  <c r="O44" i="18"/>
  <c r="N44" i="18"/>
  <c r="M44" i="18"/>
  <c r="L44" i="18"/>
  <c r="K44" i="18"/>
  <c r="J44" i="18"/>
  <c r="I44" i="18"/>
  <c r="H44" i="18"/>
  <c r="G44" i="18"/>
  <c r="F44" i="18"/>
  <c r="E44" i="18"/>
  <c r="D44" i="18"/>
  <c r="C44"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C40" i="18"/>
  <c r="AF39" i="18"/>
  <c r="AE39" i="18"/>
  <c r="AD39" i="18"/>
  <c r="AC39" i="18"/>
  <c r="AB39" i="18"/>
  <c r="AA39" i="18"/>
  <c r="Z39" i="18"/>
  <c r="Y39" i="18"/>
  <c r="X39" i="18"/>
  <c r="W39" i="18"/>
  <c r="V39" i="18"/>
  <c r="U39" i="18"/>
  <c r="T39" i="18"/>
  <c r="S39" i="18"/>
  <c r="R39" i="18"/>
  <c r="Q39" i="18"/>
  <c r="P39" i="18"/>
  <c r="O39" i="18"/>
  <c r="N39" i="18"/>
  <c r="M39" i="18"/>
  <c r="L39" i="18"/>
  <c r="K39" i="18"/>
  <c r="J39" i="18"/>
  <c r="I39" i="18"/>
  <c r="H39" i="18"/>
  <c r="G39" i="18"/>
  <c r="F39" i="18"/>
  <c r="E39" i="18"/>
  <c r="D39" i="18"/>
  <c r="C39"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AF37" i="18"/>
  <c r="AE37" i="18"/>
  <c r="AD37" i="18"/>
  <c r="AC37" i="18"/>
  <c r="AB37" i="18"/>
  <c r="AA37" i="18"/>
  <c r="Z37" i="18"/>
  <c r="Y37" i="18"/>
  <c r="X37" i="18"/>
  <c r="W37" i="18"/>
  <c r="V37" i="18"/>
  <c r="U37" i="18"/>
  <c r="T37" i="18"/>
  <c r="S37" i="18"/>
  <c r="R37" i="18"/>
  <c r="Q37" i="18"/>
  <c r="P37" i="18"/>
  <c r="O37" i="18"/>
  <c r="N37" i="18"/>
  <c r="M37" i="18"/>
  <c r="L37" i="18"/>
  <c r="K37" i="18"/>
  <c r="J37" i="18"/>
  <c r="I37" i="18"/>
  <c r="H37" i="18"/>
  <c r="G37" i="18"/>
  <c r="F37" i="18"/>
  <c r="E37" i="18"/>
  <c r="D37" i="18"/>
  <c r="C37" i="18"/>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G36" i="18"/>
  <c r="F36" i="18"/>
  <c r="E36" i="18"/>
  <c r="D36" i="18"/>
  <c r="C36"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G35" i="18"/>
  <c r="F35" i="18"/>
  <c r="E35" i="18"/>
  <c r="D35" i="18"/>
  <c r="C35" i="18"/>
  <c r="AF29" i="18"/>
  <c r="AE29" i="18"/>
  <c r="AD29" i="18"/>
  <c r="AC29" i="18"/>
  <c r="AB29" i="18"/>
  <c r="AA29" i="18"/>
  <c r="Z29" i="18"/>
  <c r="Y29" i="18"/>
  <c r="X29" i="18"/>
  <c r="W29" i="18"/>
  <c r="V29" i="18"/>
  <c r="U29" i="18"/>
  <c r="T29" i="18"/>
  <c r="S29" i="18"/>
  <c r="R29" i="18"/>
  <c r="Q29" i="18"/>
  <c r="P29" i="18"/>
  <c r="O29" i="18"/>
  <c r="N29" i="18"/>
  <c r="M29" i="18"/>
  <c r="L29" i="18"/>
  <c r="K29" i="18"/>
  <c r="J29" i="18"/>
  <c r="I29" i="18"/>
  <c r="H29" i="18"/>
  <c r="G29" i="18"/>
  <c r="F29" i="18"/>
  <c r="E29" i="18"/>
  <c r="D29" i="18"/>
  <c r="C29"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G28" i="18"/>
  <c r="F28" i="18"/>
  <c r="E28" i="18"/>
  <c r="D28" i="18"/>
  <c r="C28" i="18"/>
  <c r="AF27" i="18"/>
  <c r="AE27" i="18"/>
  <c r="AD27" i="18"/>
  <c r="AC27" i="18"/>
  <c r="AB27" i="18"/>
  <c r="AA27" i="18"/>
  <c r="Z27" i="18"/>
  <c r="Y27" i="18"/>
  <c r="X27" i="18"/>
  <c r="W27" i="18"/>
  <c r="V27" i="18"/>
  <c r="U27" i="18"/>
  <c r="T27" i="18"/>
  <c r="S27" i="18"/>
  <c r="R27" i="18"/>
  <c r="Q27" i="18"/>
  <c r="P27" i="18"/>
  <c r="O27" i="18"/>
  <c r="N27" i="18"/>
  <c r="M27" i="18"/>
  <c r="L27" i="18"/>
  <c r="K27" i="18"/>
  <c r="J27" i="18"/>
  <c r="I27" i="18"/>
  <c r="H27" i="18"/>
  <c r="G27" i="18"/>
  <c r="F27" i="18"/>
  <c r="E27" i="18"/>
  <c r="D27" i="18"/>
  <c r="C27" i="18"/>
  <c r="AF26" i="18"/>
  <c r="AE26" i="18"/>
  <c r="AD26" i="18"/>
  <c r="AC26" i="18"/>
  <c r="AB26" i="18"/>
  <c r="AA26" i="18"/>
  <c r="Z26" i="18"/>
  <c r="Y26" i="18"/>
  <c r="X26" i="18"/>
  <c r="W26" i="18"/>
  <c r="V26" i="18"/>
  <c r="U26" i="18"/>
  <c r="T26" i="18"/>
  <c r="S26" i="18"/>
  <c r="R26" i="18"/>
  <c r="Q26" i="18"/>
  <c r="P26" i="18"/>
  <c r="O26" i="18"/>
  <c r="N26" i="18"/>
  <c r="M26" i="18"/>
  <c r="L26" i="18"/>
  <c r="K26" i="18"/>
  <c r="J26" i="18"/>
  <c r="I26" i="18"/>
  <c r="H26" i="18"/>
  <c r="G26" i="18"/>
  <c r="F26" i="18"/>
  <c r="E26" i="18"/>
  <c r="D26" i="18"/>
  <c r="C26" i="18"/>
  <c r="AF25" i="18"/>
  <c r="AE25" i="18"/>
  <c r="AD25" i="18"/>
  <c r="AC25" i="18"/>
  <c r="AB25" i="18"/>
  <c r="AA25" i="18"/>
  <c r="Z25" i="18"/>
  <c r="Y25" i="18"/>
  <c r="X25" i="18"/>
  <c r="W25" i="18"/>
  <c r="V25" i="18"/>
  <c r="U25" i="18"/>
  <c r="T25" i="18"/>
  <c r="S25" i="18"/>
  <c r="R25" i="18"/>
  <c r="Q25" i="18"/>
  <c r="P25" i="18"/>
  <c r="O25" i="18"/>
  <c r="N25" i="18"/>
  <c r="M25" i="18"/>
  <c r="L25" i="18"/>
  <c r="K25" i="18"/>
  <c r="J25" i="18"/>
  <c r="I25" i="18"/>
  <c r="H25" i="18"/>
  <c r="G25" i="18"/>
  <c r="F25" i="18"/>
  <c r="E25" i="18"/>
  <c r="D25" i="18"/>
  <c r="C25" i="18"/>
  <c r="AF24" i="18"/>
  <c r="AE24" i="18"/>
  <c r="AD24" i="18"/>
  <c r="AC24" i="18"/>
  <c r="AB24" i="18"/>
  <c r="AA24" i="18"/>
  <c r="Z24" i="18"/>
  <c r="Y24" i="18"/>
  <c r="X24" i="18"/>
  <c r="W24" i="18"/>
  <c r="V24" i="18"/>
  <c r="U24" i="18"/>
  <c r="T24" i="18"/>
  <c r="S24" i="18"/>
  <c r="R24" i="18"/>
  <c r="Q24" i="18"/>
  <c r="P24" i="18"/>
  <c r="O24" i="18"/>
  <c r="N24" i="18"/>
  <c r="M24" i="18"/>
  <c r="L24" i="18"/>
  <c r="K24" i="18"/>
  <c r="J24" i="18"/>
  <c r="I24" i="18"/>
  <c r="H24" i="18"/>
  <c r="G24" i="18"/>
  <c r="F24" i="18"/>
  <c r="E24" i="18"/>
  <c r="D24" i="18"/>
  <c r="C24" i="18"/>
  <c r="AF20" i="18"/>
  <c r="AE20" i="18"/>
  <c r="AD20" i="18"/>
  <c r="AC20" i="18"/>
  <c r="AB20" i="18"/>
  <c r="AA20" i="18"/>
  <c r="Z20" i="18"/>
  <c r="Y20" i="18"/>
  <c r="X20" i="18"/>
  <c r="W20" i="18"/>
  <c r="V20" i="18"/>
  <c r="U20" i="18"/>
  <c r="T20" i="18"/>
  <c r="S20" i="18"/>
  <c r="R20" i="18"/>
  <c r="Q20" i="18"/>
  <c r="P20" i="18"/>
  <c r="O20" i="18"/>
  <c r="N20" i="18"/>
  <c r="M20" i="18"/>
  <c r="L20" i="18"/>
  <c r="K20" i="18"/>
  <c r="J20" i="18"/>
  <c r="I20" i="18"/>
  <c r="H20" i="18"/>
  <c r="G20" i="18"/>
  <c r="F20" i="18"/>
  <c r="E20" i="18"/>
  <c r="D20" i="18"/>
  <c r="AF19" i="18"/>
  <c r="AE19" i="18"/>
  <c r="AD19" i="18"/>
  <c r="AC19" i="18"/>
  <c r="AB19" i="18"/>
  <c r="AA19" i="18"/>
  <c r="Z19" i="18"/>
  <c r="Y19" i="18"/>
  <c r="X19" i="18"/>
  <c r="W19" i="18"/>
  <c r="V19" i="18"/>
  <c r="U19" i="18"/>
  <c r="T19" i="18"/>
  <c r="S19" i="18"/>
  <c r="R19" i="18"/>
  <c r="Q19" i="18"/>
  <c r="P19" i="18"/>
  <c r="O19" i="18"/>
  <c r="N19" i="18"/>
  <c r="M19" i="18"/>
  <c r="L19" i="18"/>
  <c r="K19" i="18"/>
  <c r="J19" i="18"/>
  <c r="I19" i="18"/>
  <c r="H19" i="18"/>
  <c r="G19" i="18"/>
  <c r="F19" i="18"/>
  <c r="E19" i="18"/>
  <c r="D19" i="18"/>
  <c r="AF18" i="18"/>
  <c r="AE18" i="18"/>
  <c r="AD18" i="18"/>
  <c r="AC18" i="18"/>
  <c r="AB18" i="18"/>
  <c r="AA18" i="18"/>
  <c r="Z18" i="18"/>
  <c r="Y18" i="18"/>
  <c r="X18" i="18"/>
  <c r="W18" i="18"/>
  <c r="V18" i="18"/>
  <c r="U18" i="18"/>
  <c r="T18" i="18"/>
  <c r="S18" i="18"/>
  <c r="R18" i="18"/>
  <c r="Q18" i="18"/>
  <c r="P18" i="18"/>
  <c r="O18" i="18"/>
  <c r="N18" i="18"/>
  <c r="M18" i="18"/>
  <c r="L18" i="18"/>
  <c r="K18" i="18"/>
  <c r="J18" i="18"/>
  <c r="I18" i="18"/>
  <c r="H18" i="18"/>
  <c r="G18" i="18"/>
  <c r="F18" i="18"/>
  <c r="E18" i="18"/>
  <c r="D18" i="18"/>
  <c r="AF17" i="18"/>
  <c r="AE17" i="18"/>
  <c r="AD17" i="18"/>
  <c r="AC17" i="18"/>
  <c r="AB17" i="18"/>
  <c r="AA17" i="18"/>
  <c r="Z17" i="18"/>
  <c r="Y17" i="18"/>
  <c r="X17" i="18"/>
  <c r="W17" i="18"/>
  <c r="V17" i="18"/>
  <c r="U17" i="18"/>
  <c r="T17" i="18"/>
  <c r="S17" i="18"/>
  <c r="R17" i="18"/>
  <c r="Q17" i="18"/>
  <c r="P17" i="18"/>
  <c r="O17" i="18"/>
  <c r="N17" i="18"/>
  <c r="M17" i="18"/>
  <c r="L17" i="18"/>
  <c r="K17" i="18"/>
  <c r="J17" i="18"/>
  <c r="I17" i="18"/>
  <c r="H17" i="18"/>
  <c r="G17" i="18"/>
  <c r="F17" i="18"/>
  <c r="E17" i="18"/>
  <c r="D17"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G16" i="18"/>
  <c r="F16" i="18"/>
  <c r="E16" i="18"/>
  <c r="D16" i="18"/>
  <c r="AF15" i="18"/>
  <c r="AE15" i="18"/>
  <c r="AD15" i="18"/>
  <c r="AC15" i="18"/>
  <c r="AB15" i="18"/>
  <c r="AA15" i="18"/>
  <c r="Z15" i="18"/>
  <c r="Y15" i="18"/>
  <c r="X15" i="18"/>
  <c r="W15" i="18"/>
  <c r="V15" i="18"/>
  <c r="U15" i="18"/>
  <c r="T15" i="18"/>
  <c r="S15" i="18"/>
  <c r="R15" i="18"/>
  <c r="Q15" i="18"/>
  <c r="P15" i="18"/>
  <c r="O15" i="18"/>
  <c r="N15" i="18"/>
  <c r="M15" i="18"/>
  <c r="L15" i="18"/>
  <c r="K15" i="18"/>
  <c r="J15" i="18"/>
  <c r="I15" i="18"/>
  <c r="H15" i="18"/>
  <c r="G15" i="18"/>
  <c r="F15" i="18"/>
  <c r="E15" i="18"/>
  <c r="D15" i="18"/>
  <c r="C16" i="18"/>
  <c r="C17" i="18"/>
  <c r="C18" i="18"/>
  <c r="C19" i="18"/>
  <c r="C20" i="18"/>
  <c r="C15" i="18"/>
  <c r="C4" i="18"/>
  <c r="C3" i="18"/>
  <c r="C2" i="18"/>
  <c r="AH89" i="17"/>
  <c r="AG89" i="17"/>
  <c r="AF89" i="17"/>
  <c r="AE89" i="17"/>
  <c r="AD89" i="17"/>
  <c r="AC89" i="17"/>
  <c r="AB89" i="17"/>
  <c r="AA89" i="17"/>
  <c r="Z89" i="17"/>
  <c r="Y89" i="17"/>
  <c r="X89" i="17"/>
  <c r="W89" i="17"/>
  <c r="V89" i="17"/>
  <c r="U89" i="17"/>
  <c r="T89" i="17"/>
  <c r="S89" i="17"/>
  <c r="R89" i="17"/>
  <c r="Q89" i="17"/>
  <c r="P89" i="17"/>
  <c r="O89" i="17"/>
  <c r="N89" i="17"/>
  <c r="M89" i="17"/>
  <c r="L89" i="17"/>
  <c r="K89" i="17"/>
  <c r="J89" i="17"/>
  <c r="I89" i="17"/>
  <c r="H89" i="17"/>
  <c r="G89" i="17"/>
  <c r="F89" i="17"/>
  <c r="E89" i="17"/>
  <c r="D89" i="17"/>
  <c r="AH88" i="17"/>
  <c r="AG88" i="17"/>
  <c r="AF88" i="17"/>
  <c r="AE88" i="17"/>
  <c r="AD88" i="17"/>
  <c r="AC88" i="17"/>
  <c r="AB88" i="17"/>
  <c r="AA88" i="17"/>
  <c r="Z88" i="17"/>
  <c r="Y88" i="17"/>
  <c r="X88" i="17"/>
  <c r="W88" i="17"/>
  <c r="V88" i="17"/>
  <c r="U88" i="17"/>
  <c r="T88" i="17"/>
  <c r="S88" i="17"/>
  <c r="R88" i="17"/>
  <c r="Q88" i="17"/>
  <c r="P88" i="17"/>
  <c r="O88" i="17"/>
  <c r="N88" i="17"/>
  <c r="M88" i="17"/>
  <c r="L88" i="17"/>
  <c r="K88" i="17"/>
  <c r="J88" i="17"/>
  <c r="I88" i="17"/>
  <c r="H88" i="17"/>
  <c r="G88" i="17"/>
  <c r="F88" i="17"/>
  <c r="E88" i="17"/>
  <c r="D88" i="17"/>
  <c r="AH87" i="17"/>
  <c r="AG87" i="17"/>
  <c r="AF87" i="17"/>
  <c r="AE87" i="17"/>
  <c r="AD87" i="17"/>
  <c r="AC87" i="17"/>
  <c r="AB87" i="17"/>
  <c r="AA87" i="17"/>
  <c r="Z87" i="17"/>
  <c r="Y87" i="17"/>
  <c r="X87" i="17"/>
  <c r="W87" i="17"/>
  <c r="V87" i="17"/>
  <c r="U87" i="17"/>
  <c r="T87" i="17"/>
  <c r="S87" i="17"/>
  <c r="R87" i="17"/>
  <c r="Q87" i="17"/>
  <c r="P87" i="17"/>
  <c r="O87" i="17"/>
  <c r="N87" i="17"/>
  <c r="M87" i="17"/>
  <c r="L87" i="17"/>
  <c r="K87" i="17"/>
  <c r="J87" i="17"/>
  <c r="I87" i="17"/>
  <c r="H87" i="17"/>
  <c r="G87" i="17"/>
  <c r="F87" i="17"/>
  <c r="E87" i="17"/>
  <c r="D87" i="17"/>
  <c r="AH86" i="17"/>
  <c r="AG86" i="17"/>
  <c r="AF86" i="17"/>
  <c r="AE86" i="17"/>
  <c r="AD86" i="17"/>
  <c r="AC86" i="17"/>
  <c r="AB86" i="17"/>
  <c r="AA86" i="17"/>
  <c r="Z86" i="17"/>
  <c r="Y86" i="17"/>
  <c r="X86" i="17"/>
  <c r="W86" i="17"/>
  <c r="V86" i="17"/>
  <c r="U86" i="17"/>
  <c r="T86" i="17"/>
  <c r="S86" i="17"/>
  <c r="R86" i="17"/>
  <c r="Q86" i="17"/>
  <c r="P86" i="17"/>
  <c r="O86" i="17"/>
  <c r="N86" i="17"/>
  <c r="M86" i="17"/>
  <c r="L86" i="17"/>
  <c r="K86" i="17"/>
  <c r="J86" i="17"/>
  <c r="I86" i="17"/>
  <c r="H86" i="17"/>
  <c r="G86" i="17"/>
  <c r="F86" i="17"/>
  <c r="E86" i="17"/>
  <c r="D86" i="17"/>
  <c r="C4" i="17"/>
  <c r="C3" i="17"/>
  <c r="C2" i="17"/>
  <c r="D150" i="17" l="1"/>
  <c r="D151" i="17"/>
  <c r="D152" i="17"/>
  <c r="D149" i="17"/>
  <c r="D153" i="17" s="1"/>
  <c r="E117" i="17"/>
  <c r="E118" i="17"/>
  <c r="E119" i="17"/>
  <c r="E120" i="17"/>
  <c r="E149" i="17"/>
  <c r="E150" i="17"/>
  <c r="E151" i="17"/>
  <c r="E152" i="17"/>
  <c r="F117" i="17"/>
  <c r="F118" i="17"/>
  <c r="F119" i="17"/>
  <c r="F120" i="17"/>
  <c r="F149" i="17"/>
  <c r="F150" i="17"/>
  <c r="F151" i="17"/>
  <c r="F152" i="17"/>
  <c r="G117" i="17"/>
  <c r="G118" i="17"/>
  <c r="G119" i="17"/>
  <c r="G120" i="17"/>
  <c r="G149" i="17"/>
  <c r="G150" i="17"/>
  <c r="G151" i="17"/>
  <c r="G152" i="17"/>
  <c r="G153" i="17" s="1"/>
  <c r="H117" i="17"/>
  <c r="H118" i="17"/>
  <c r="H119" i="17"/>
  <c r="H120" i="17"/>
  <c r="H149" i="17"/>
  <c r="H150" i="17"/>
  <c r="H151" i="17"/>
  <c r="H152" i="17"/>
  <c r="I117" i="17"/>
  <c r="I118" i="17"/>
  <c r="I119" i="17"/>
  <c r="I120" i="17"/>
  <c r="I149" i="17"/>
  <c r="I150" i="17"/>
  <c r="I151" i="17"/>
  <c r="I152" i="17"/>
  <c r="J117" i="17"/>
  <c r="J118" i="17"/>
  <c r="J119" i="17"/>
  <c r="J120" i="17"/>
  <c r="J149" i="17"/>
  <c r="J150" i="17"/>
  <c r="J151" i="17"/>
  <c r="J152" i="17"/>
  <c r="K117" i="17"/>
  <c r="K118" i="17"/>
  <c r="K119" i="17"/>
  <c r="K120" i="17"/>
  <c r="K149" i="17"/>
  <c r="K150" i="17"/>
  <c r="K151" i="17"/>
  <c r="K152" i="17"/>
  <c r="L117" i="17"/>
  <c r="L118" i="17"/>
  <c r="L119" i="17"/>
  <c r="L120" i="17"/>
  <c r="L149" i="17"/>
  <c r="L150" i="17"/>
  <c r="L151" i="17"/>
  <c r="L152" i="17"/>
  <c r="M117" i="17"/>
  <c r="M118" i="17"/>
  <c r="M119" i="17"/>
  <c r="M120" i="17"/>
  <c r="M149" i="17"/>
  <c r="M150" i="17"/>
  <c r="M151" i="17"/>
  <c r="M152" i="17"/>
  <c r="N117" i="17"/>
  <c r="N118" i="17"/>
  <c r="N119" i="17"/>
  <c r="N120" i="17"/>
  <c r="N149" i="17"/>
  <c r="N150" i="17"/>
  <c r="N151" i="17"/>
  <c r="N152" i="17"/>
  <c r="O117" i="17"/>
  <c r="O118" i="17"/>
  <c r="O119" i="17"/>
  <c r="O120" i="17"/>
  <c r="O149" i="17"/>
  <c r="O150" i="17"/>
  <c r="O151" i="17"/>
  <c r="O152" i="17"/>
  <c r="P117" i="17"/>
  <c r="P118" i="17"/>
  <c r="P119" i="17"/>
  <c r="P120" i="17"/>
  <c r="P149" i="17"/>
  <c r="P150" i="17"/>
  <c r="P151" i="17"/>
  <c r="P152" i="17"/>
  <c r="Q117" i="17"/>
  <c r="Q118" i="17"/>
  <c r="Q119" i="17"/>
  <c r="Q120" i="17"/>
  <c r="Q149" i="17"/>
  <c r="Q150" i="17"/>
  <c r="Q151" i="17"/>
  <c r="Q152" i="17"/>
  <c r="R117" i="17"/>
  <c r="R118" i="17"/>
  <c r="R119" i="17"/>
  <c r="R120" i="17"/>
  <c r="R149" i="17"/>
  <c r="R150" i="17"/>
  <c r="R151" i="17"/>
  <c r="R152" i="17"/>
  <c r="S117" i="17"/>
  <c r="S118" i="17"/>
  <c r="S119" i="17"/>
  <c r="S120" i="17"/>
  <c r="S149" i="17"/>
  <c r="S150" i="17"/>
  <c r="S151" i="17"/>
  <c r="S152" i="17"/>
  <c r="T117" i="17"/>
  <c r="T118" i="17"/>
  <c r="T119" i="17"/>
  <c r="T120" i="17"/>
  <c r="T149" i="17"/>
  <c r="T150" i="17"/>
  <c r="T151" i="17"/>
  <c r="T152" i="17"/>
  <c r="U117" i="17"/>
  <c r="U118" i="17"/>
  <c r="U119" i="17"/>
  <c r="U120" i="17"/>
  <c r="U149" i="17"/>
  <c r="U150" i="17"/>
  <c r="U151" i="17"/>
  <c r="U152" i="17"/>
  <c r="V117" i="17"/>
  <c r="V118" i="17"/>
  <c r="V119" i="17"/>
  <c r="V120" i="17"/>
  <c r="V149" i="17"/>
  <c r="V150" i="17"/>
  <c r="V151" i="17"/>
  <c r="V152" i="17"/>
  <c r="W117" i="17"/>
  <c r="W118" i="17"/>
  <c r="W119" i="17"/>
  <c r="W120" i="17"/>
  <c r="W149" i="17"/>
  <c r="W150" i="17"/>
  <c r="W151" i="17"/>
  <c r="W152" i="17"/>
  <c r="X117" i="17"/>
  <c r="X118" i="17"/>
  <c r="X119" i="17"/>
  <c r="X120" i="17"/>
  <c r="X149" i="17"/>
  <c r="X150" i="17"/>
  <c r="X151" i="17"/>
  <c r="X152" i="17"/>
  <c r="Y117" i="17"/>
  <c r="Y118" i="17"/>
  <c r="Y119" i="17"/>
  <c r="Y120" i="17"/>
  <c r="Y149" i="17"/>
  <c r="Y150" i="17"/>
  <c r="Y151" i="17"/>
  <c r="Y152" i="17"/>
  <c r="Z117" i="17"/>
  <c r="Z118" i="17"/>
  <c r="Z119" i="17"/>
  <c r="Z120" i="17"/>
  <c r="Z149" i="17"/>
  <c r="Z150" i="17"/>
  <c r="Z151" i="17"/>
  <c r="Z152" i="17"/>
  <c r="AA117" i="17"/>
  <c r="AA118" i="17"/>
  <c r="AA119" i="17"/>
  <c r="AA120" i="17"/>
  <c r="AA149" i="17"/>
  <c r="AA150" i="17"/>
  <c r="AA151" i="17"/>
  <c r="AA152" i="17"/>
  <c r="AB117" i="17"/>
  <c r="AB118" i="17"/>
  <c r="AB119" i="17"/>
  <c r="AB120" i="17"/>
  <c r="AB149" i="17"/>
  <c r="AB150" i="17"/>
  <c r="AB151" i="17"/>
  <c r="AB152" i="17"/>
  <c r="AC117" i="17"/>
  <c r="AC118" i="17"/>
  <c r="AC119" i="17"/>
  <c r="AC120" i="17"/>
  <c r="AC149" i="17"/>
  <c r="AC150" i="17"/>
  <c r="AC151" i="17"/>
  <c r="AC152" i="17"/>
  <c r="AD117" i="17"/>
  <c r="AD118" i="17"/>
  <c r="AD119" i="17"/>
  <c r="AD120" i="17"/>
  <c r="AD149" i="17"/>
  <c r="AD150" i="17"/>
  <c r="AD151" i="17"/>
  <c r="AD152" i="17"/>
  <c r="AE117" i="17"/>
  <c r="AE118" i="17"/>
  <c r="AE119" i="17"/>
  <c r="AE120" i="17"/>
  <c r="AE149" i="17"/>
  <c r="AE150" i="17"/>
  <c r="AE151" i="17"/>
  <c r="AE152" i="17"/>
  <c r="AF117" i="17"/>
  <c r="AF118" i="17"/>
  <c r="AF119" i="17"/>
  <c r="AF120" i="17"/>
  <c r="AF149" i="17"/>
  <c r="AF150" i="17"/>
  <c r="AF151" i="17"/>
  <c r="AF152" i="17"/>
  <c r="AG117" i="17"/>
  <c r="AG118" i="17"/>
  <c r="AG119" i="17"/>
  <c r="AG120" i="17"/>
  <c r="AG149" i="17"/>
  <c r="AG150" i="17"/>
  <c r="AG151" i="17"/>
  <c r="AG152" i="17"/>
  <c r="AH117" i="17"/>
  <c r="AH118" i="17"/>
  <c r="AH119" i="17"/>
  <c r="AH120" i="17"/>
  <c r="AH149" i="17"/>
  <c r="AH150" i="17"/>
  <c r="AH151" i="17"/>
  <c r="AH152" i="17"/>
  <c r="D117" i="17"/>
  <c r="D118" i="17"/>
  <c r="D119" i="17"/>
  <c r="D120" i="17"/>
  <c r="D105" i="17"/>
  <c r="D107" i="17"/>
  <c r="D106" i="17"/>
  <c r="E128" i="17"/>
  <c r="L126" i="17"/>
  <c r="G129" i="17"/>
  <c r="O129" i="17"/>
  <c r="D99" i="17"/>
  <c r="T126" i="17"/>
  <c r="M126" i="17"/>
  <c r="U126" i="17"/>
  <c r="AC126" i="17"/>
  <c r="N127" i="17"/>
  <c r="V127" i="17"/>
  <c r="G96" i="17"/>
  <c r="W96" i="17"/>
  <c r="P128" i="17"/>
  <c r="W126" i="17"/>
  <c r="AE104" i="17"/>
  <c r="I133" i="17"/>
  <c r="Q128" i="17"/>
  <c r="J134" i="17"/>
  <c r="R129" i="17"/>
  <c r="AH129" i="17"/>
  <c r="V126" i="17"/>
  <c r="M128" i="17"/>
  <c r="F129" i="17"/>
  <c r="AD104" i="17"/>
  <c r="X128" i="17"/>
  <c r="AG126" i="17"/>
  <c r="AA128" i="17"/>
  <c r="L97" i="17"/>
  <c r="AB97" i="17"/>
  <c r="D137" i="17"/>
  <c r="D96" i="17"/>
  <c r="M139" i="17"/>
  <c r="AC129" i="17"/>
  <c r="O95" i="17"/>
  <c r="O137" i="17"/>
  <c r="O105" i="17"/>
  <c r="O100" i="17"/>
  <c r="O132" i="17"/>
  <c r="AF138" i="17"/>
  <c r="AF106" i="17"/>
  <c r="AF101" i="17"/>
  <c r="AF133" i="17"/>
  <c r="AF96" i="17"/>
  <c r="G131" i="17"/>
  <c r="G99" i="17"/>
  <c r="G104" i="17"/>
  <c r="P95" i="17"/>
  <c r="P132" i="17"/>
  <c r="P137" i="17"/>
  <c r="P100" i="17"/>
  <c r="P105" i="17"/>
  <c r="AF95" i="17"/>
  <c r="AF132" i="17"/>
  <c r="AF137" i="17"/>
  <c r="AF100" i="17"/>
  <c r="AG138" i="17"/>
  <c r="AG106" i="17"/>
  <c r="AG101" i="17"/>
  <c r="AG133" i="17"/>
  <c r="Z139" i="17"/>
  <c r="Z107" i="17"/>
  <c r="Z102" i="17"/>
  <c r="Z134" i="17"/>
  <c r="Z97" i="17"/>
  <c r="H99" i="17"/>
  <c r="H131" i="17"/>
  <c r="H136" i="17"/>
  <c r="H104" i="17"/>
  <c r="P99" i="17"/>
  <c r="P131" i="17"/>
  <c r="P136" i="17"/>
  <c r="P104" i="17"/>
  <c r="P94" i="17"/>
  <c r="X99" i="17"/>
  <c r="X131" i="17"/>
  <c r="X136" i="17"/>
  <c r="X104" i="17"/>
  <c r="AF99" i="17"/>
  <c r="AF131" i="17"/>
  <c r="AF136" i="17"/>
  <c r="AF104" i="17"/>
  <c r="I132" i="17"/>
  <c r="I100" i="17"/>
  <c r="I105" i="17"/>
  <c r="Q132" i="17"/>
  <c r="Q100" i="17"/>
  <c r="Q137" i="17"/>
  <c r="Q95" i="17"/>
  <c r="Q105" i="17"/>
  <c r="Y132" i="17"/>
  <c r="Y100" i="17"/>
  <c r="Y137" i="17"/>
  <c r="Y95" i="17"/>
  <c r="Y105" i="17"/>
  <c r="AG132" i="17"/>
  <c r="AG100" i="17"/>
  <c r="AG137" i="17"/>
  <c r="J133" i="17"/>
  <c r="J106" i="17"/>
  <c r="R133" i="17"/>
  <c r="R138" i="17"/>
  <c r="R101" i="17"/>
  <c r="R106" i="17"/>
  <c r="Z133" i="17"/>
  <c r="Z138" i="17"/>
  <c r="Z101" i="17"/>
  <c r="Z106" i="17"/>
  <c r="AH133" i="17"/>
  <c r="AH138" i="17"/>
  <c r="AH101" i="17"/>
  <c r="K139" i="17"/>
  <c r="K107" i="17"/>
  <c r="S139" i="17"/>
  <c r="S107" i="17"/>
  <c r="S102" i="17"/>
  <c r="S134" i="17"/>
  <c r="AA139" i="17"/>
  <c r="AA107" i="17"/>
  <c r="AA102" i="17"/>
  <c r="AA134" i="17"/>
  <c r="D128" i="17"/>
  <c r="D138" i="17"/>
  <c r="S129" i="17"/>
  <c r="Y127" i="17"/>
  <c r="O127" i="17"/>
  <c r="D100" i="17"/>
  <c r="Z96" i="17"/>
  <c r="J96" i="17"/>
  <c r="I95" i="17"/>
  <c r="AG105" i="17"/>
  <c r="J101" i="17"/>
  <c r="K134" i="17"/>
  <c r="N94" i="17"/>
  <c r="N131" i="17"/>
  <c r="N136" i="17"/>
  <c r="N99" i="17"/>
  <c r="N104" i="17"/>
  <c r="W95" i="17"/>
  <c r="W137" i="17"/>
  <c r="W105" i="17"/>
  <c r="W100" i="17"/>
  <c r="W132" i="17"/>
  <c r="I139" i="17"/>
  <c r="I107" i="17"/>
  <c r="I102" i="17"/>
  <c r="I134" i="17"/>
  <c r="I129" i="17"/>
  <c r="O131" i="17"/>
  <c r="O99" i="17"/>
  <c r="O136" i="17"/>
  <c r="O94" i="17"/>
  <c r="O104" i="17"/>
  <c r="X95" i="17"/>
  <c r="X132" i="17"/>
  <c r="X137" i="17"/>
  <c r="X100" i="17"/>
  <c r="X105" i="17"/>
  <c r="Y138" i="17"/>
  <c r="Y106" i="17"/>
  <c r="Y101" i="17"/>
  <c r="Y133" i="17"/>
  <c r="I136" i="17"/>
  <c r="I104" i="17"/>
  <c r="I99" i="17"/>
  <c r="I131" i="17"/>
  <c r="I94" i="17"/>
  <c r="Q136" i="17"/>
  <c r="Q104" i="17"/>
  <c r="Q99" i="17"/>
  <c r="Q131" i="17"/>
  <c r="Q94" i="17"/>
  <c r="Y136" i="17"/>
  <c r="Y104" i="17"/>
  <c r="Y99" i="17"/>
  <c r="Y131" i="17"/>
  <c r="Y94" i="17"/>
  <c r="AG136" i="17"/>
  <c r="AG104" i="17"/>
  <c r="AG99" i="17"/>
  <c r="AG131" i="17"/>
  <c r="AG94" i="17"/>
  <c r="J100" i="17"/>
  <c r="J132" i="17"/>
  <c r="J137" i="17"/>
  <c r="J105" i="17"/>
  <c r="R100" i="17"/>
  <c r="R132" i="17"/>
  <c r="R137" i="17"/>
  <c r="R105" i="17"/>
  <c r="R95" i="17"/>
  <c r="Z100" i="17"/>
  <c r="Z132" i="17"/>
  <c r="Z137" i="17"/>
  <c r="Z105" i="17"/>
  <c r="AH100" i="17"/>
  <c r="AH132" i="17"/>
  <c r="AH137" i="17"/>
  <c r="AH105" i="17"/>
  <c r="AH95" i="17"/>
  <c r="K133" i="17"/>
  <c r="K101" i="17"/>
  <c r="K106" i="17"/>
  <c r="S133" i="17"/>
  <c r="S101" i="17"/>
  <c r="S138" i="17"/>
  <c r="S106" i="17"/>
  <c r="AA133" i="17"/>
  <c r="AA101" i="17"/>
  <c r="AA138" i="17"/>
  <c r="AA106" i="17"/>
  <c r="D97" i="17"/>
  <c r="L134" i="17"/>
  <c r="L107" i="17"/>
  <c r="T134" i="17"/>
  <c r="T139" i="17"/>
  <c r="T102" i="17"/>
  <c r="T107" i="17"/>
  <c r="AB134" i="17"/>
  <c r="AB139" i="17"/>
  <c r="AB102" i="17"/>
  <c r="AB107" i="17"/>
  <c r="D129" i="17"/>
  <c r="D139" i="17"/>
  <c r="AB129" i="17"/>
  <c r="Z128" i="17"/>
  <c r="AH127" i="17"/>
  <c r="X127" i="17"/>
  <c r="AF126" i="17"/>
  <c r="D101" i="17"/>
  <c r="AA97" i="17"/>
  <c r="K97" i="17"/>
  <c r="Y96" i="17"/>
  <c r="I96" i="17"/>
  <c r="AF94" i="17"/>
  <c r="AF105" i="17"/>
  <c r="I101" i="17"/>
  <c r="L139" i="17"/>
  <c r="V94" i="17"/>
  <c r="V131" i="17"/>
  <c r="V136" i="17"/>
  <c r="V99" i="17"/>
  <c r="V104" i="17"/>
  <c r="H138" i="17"/>
  <c r="H106" i="17"/>
  <c r="H101" i="17"/>
  <c r="H96" i="17"/>
  <c r="Y139" i="17"/>
  <c r="Y107" i="17"/>
  <c r="Y102" i="17"/>
  <c r="Y134" i="17"/>
  <c r="Y129" i="17"/>
  <c r="H95" i="17"/>
  <c r="H132" i="17"/>
  <c r="H105" i="17"/>
  <c r="Q138" i="17"/>
  <c r="Q106" i="17"/>
  <c r="Q101" i="17"/>
  <c r="Q133" i="17"/>
  <c r="R139" i="17"/>
  <c r="R107" i="17"/>
  <c r="R102" i="17"/>
  <c r="R134" i="17"/>
  <c r="R97" i="17"/>
  <c r="J94" i="17"/>
  <c r="J136" i="17"/>
  <c r="J104" i="17"/>
  <c r="J99" i="17"/>
  <c r="J131" i="17"/>
  <c r="J126" i="17"/>
  <c r="R94" i="17"/>
  <c r="R136" i="17"/>
  <c r="R104" i="17"/>
  <c r="R99" i="17"/>
  <c r="R131" i="17"/>
  <c r="R126" i="17"/>
  <c r="Z94" i="17"/>
  <c r="Z136" i="17"/>
  <c r="Z104" i="17"/>
  <c r="Z99" i="17"/>
  <c r="Z131" i="17"/>
  <c r="Z126" i="17"/>
  <c r="AH94" i="17"/>
  <c r="AH136" i="17"/>
  <c r="AH104" i="17"/>
  <c r="AH99" i="17"/>
  <c r="AH131" i="17"/>
  <c r="AH126" i="17"/>
  <c r="K137" i="17"/>
  <c r="K105" i="17"/>
  <c r="K100" i="17"/>
  <c r="K132" i="17"/>
  <c r="K95" i="17"/>
  <c r="S137" i="17"/>
  <c r="S105" i="17"/>
  <c r="S100" i="17"/>
  <c r="S132" i="17"/>
  <c r="S95" i="17"/>
  <c r="AA137" i="17"/>
  <c r="AA105" i="17"/>
  <c r="AA100" i="17"/>
  <c r="AA132" i="17"/>
  <c r="AA95" i="17"/>
  <c r="L101" i="17"/>
  <c r="L133" i="17"/>
  <c r="L138" i="17"/>
  <c r="L106" i="17"/>
  <c r="L96" i="17"/>
  <c r="T101" i="17"/>
  <c r="T133" i="17"/>
  <c r="T138" i="17"/>
  <c r="T106" i="17"/>
  <c r="T96" i="17"/>
  <c r="AB101" i="17"/>
  <c r="AB133" i="17"/>
  <c r="AB138" i="17"/>
  <c r="AB106" i="17"/>
  <c r="AB96" i="17"/>
  <c r="E134" i="17"/>
  <c r="E102" i="17"/>
  <c r="E139" i="17"/>
  <c r="M134" i="17"/>
  <c r="M102" i="17"/>
  <c r="M107" i="17"/>
  <c r="U134" i="17"/>
  <c r="U102" i="17"/>
  <c r="U139" i="17"/>
  <c r="U107" i="17"/>
  <c r="AC134" i="17"/>
  <c r="AC102" i="17"/>
  <c r="AC139" i="17"/>
  <c r="AC107" i="17"/>
  <c r="D131" i="17"/>
  <c r="AA129" i="17"/>
  <c r="E129" i="17"/>
  <c r="Y128" i="17"/>
  <c r="AG127" i="17"/>
  <c r="W127" i="17"/>
  <c r="K127" i="17"/>
  <c r="AE126" i="17"/>
  <c r="I126" i="17"/>
  <c r="D102" i="17"/>
  <c r="Y97" i="17"/>
  <c r="I97" i="17"/>
  <c r="X94" i="17"/>
  <c r="H100" i="17"/>
  <c r="K138" i="17"/>
  <c r="G95" i="17"/>
  <c r="G137" i="17"/>
  <c r="G105" i="17"/>
  <c r="AE137" i="17"/>
  <c r="AE105" i="17"/>
  <c r="AE100" i="17"/>
  <c r="AE132" i="17"/>
  <c r="Q139" i="17"/>
  <c r="Q107" i="17"/>
  <c r="Q102" i="17"/>
  <c r="Q134" i="17"/>
  <c r="Q129" i="17"/>
  <c r="AE131" i="17"/>
  <c r="AE99" i="17"/>
  <c r="AE136" i="17"/>
  <c r="AE94" i="17"/>
  <c r="I138" i="17"/>
  <c r="I106" i="17"/>
  <c r="J139" i="17"/>
  <c r="J107" i="17"/>
  <c r="J102" i="17"/>
  <c r="J97" i="17"/>
  <c r="K94" i="17"/>
  <c r="K136" i="17"/>
  <c r="K104" i="17"/>
  <c r="K99" i="17"/>
  <c r="K131" i="17"/>
  <c r="K126" i="17"/>
  <c r="S94" i="17"/>
  <c r="S136" i="17"/>
  <c r="S104" i="17"/>
  <c r="S99" i="17"/>
  <c r="S131" i="17"/>
  <c r="S126" i="17"/>
  <c r="AA94" i="17"/>
  <c r="AA136" i="17"/>
  <c r="AA104" i="17"/>
  <c r="AA99" i="17"/>
  <c r="AA131" i="17"/>
  <c r="AA126" i="17"/>
  <c r="L95" i="17"/>
  <c r="L137" i="17"/>
  <c r="L105" i="17"/>
  <c r="L100" i="17"/>
  <c r="L132" i="17"/>
  <c r="L127" i="17"/>
  <c r="T95" i="17"/>
  <c r="T137" i="17"/>
  <c r="T105" i="17"/>
  <c r="T100" i="17"/>
  <c r="T132" i="17"/>
  <c r="T127" i="17"/>
  <c r="AB137" i="17"/>
  <c r="AB105" i="17"/>
  <c r="AB100" i="17"/>
  <c r="AB132" i="17"/>
  <c r="AB127" i="17"/>
  <c r="AB95" i="17"/>
  <c r="E138" i="17"/>
  <c r="E106" i="17"/>
  <c r="E101" i="17"/>
  <c r="E133" i="17"/>
  <c r="E96" i="17"/>
  <c r="M138" i="17"/>
  <c r="M106" i="17"/>
  <c r="M101" i="17"/>
  <c r="M133" i="17"/>
  <c r="M96" i="17"/>
  <c r="U138" i="17"/>
  <c r="U106" i="17"/>
  <c r="U101" i="17"/>
  <c r="U133" i="17"/>
  <c r="U96" i="17"/>
  <c r="AC138" i="17"/>
  <c r="AC106" i="17"/>
  <c r="AC101" i="17"/>
  <c r="AC133" i="17"/>
  <c r="AC96" i="17"/>
  <c r="F102" i="17"/>
  <c r="F134" i="17"/>
  <c r="F139" i="17"/>
  <c r="F107" i="17"/>
  <c r="F97" i="17"/>
  <c r="N102" i="17"/>
  <c r="N134" i="17"/>
  <c r="N139" i="17"/>
  <c r="N107" i="17"/>
  <c r="N97" i="17"/>
  <c r="V102" i="17"/>
  <c r="V134" i="17"/>
  <c r="V139" i="17"/>
  <c r="V107" i="17"/>
  <c r="V97" i="17"/>
  <c r="AD102" i="17"/>
  <c r="AD134" i="17"/>
  <c r="AD139" i="17"/>
  <c r="AD107" i="17"/>
  <c r="AD97" i="17"/>
  <c r="D132" i="17"/>
  <c r="Z129" i="17"/>
  <c r="N129" i="17"/>
  <c r="AH128" i="17"/>
  <c r="L128" i="17"/>
  <c r="AF127" i="17"/>
  <c r="J127" i="17"/>
  <c r="AD126" i="17"/>
  <c r="H126" i="17"/>
  <c r="D104" i="17"/>
  <c r="U97" i="17"/>
  <c r="E97" i="17"/>
  <c r="S96" i="17"/>
  <c r="AG95" i="17"/>
  <c r="H94" i="17"/>
  <c r="G100" i="17"/>
  <c r="J138" i="17"/>
  <c r="H133" i="17"/>
  <c r="F94" i="17"/>
  <c r="F131" i="17"/>
  <c r="F104" i="17"/>
  <c r="X138" i="17"/>
  <c r="X106" i="17"/>
  <c r="X101" i="17"/>
  <c r="X133" i="17"/>
  <c r="X96" i="17"/>
  <c r="W131" i="17"/>
  <c r="W99" i="17"/>
  <c r="W136" i="17"/>
  <c r="W94" i="17"/>
  <c r="W104" i="17"/>
  <c r="T94" i="17"/>
  <c r="T136" i="17"/>
  <c r="T104" i="17"/>
  <c r="T99" i="17"/>
  <c r="T131" i="17"/>
  <c r="E95" i="17"/>
  <c r="E137" i="17"/>
  <c r="E105" i="17"/>
  <c r="E100" i="17"/>
  <c r="E132" i="17"/>
  <c r="E127" i="17"/>
  <c r="M95" i="17"/>
  <c r="M137" i="17"/>
  <c r="M105" i="17"/>
  <c r="M100" i="17"/>
  <c r="M132" i="17"/>
  <c r="M127" i="17"/>
  <c r="U95" i="17"/>
  <c r="U137" i="17"/>
  <c r="U105" i="17"/>
  <c r="U100" i="17"/>
  <c r="U132" i="17"/>
  <c r="U127" i="17"/>
  <c r="AC137" i="17"/>
  <c r="AC105" i="17"/>
  <c r="AC100" i="17"/>
  <c r="AC132" i="17"/>
  <c r="AC127" i="17"/>
  <c r="F138" i="17"/>
  <c r="F106" i="17"/>
  <c r="F101" i="17"/>
  <c r="F133" i="17"/>
  <c r="F128" i="17"/>
  <c r="F96" i="17"/>
  <c r="N138" i="17"/>
  <c r="N106" i="17"/>
  <c r="N101" i="17"/>
  <c r="N133" i="17"/>
  <c r="N128" i="17"/>
  <c r="N96" i="17"/>
  <c r="V138" i="17"/>
  <c r="V106" i="17"/>
  <c r="V101" i="17"/>
  <c r="V133" i="17"/>
  <c r="V128" i="17"/>
  <c r="V96" i="17"/>
  <c r="AD138" i="17"/>
  <c r="AD106" i="17"/>
  <c r="AD101" i="17"/>
  <c r="AD133" i="17"/>
  <c r="AD128" i="17"/>
  <c r="AD96" i="17"/>
  <c r="G139" i="17"/>
  <c r="G107" i="17"/>
  <c r="G102" i="17"/>
  <c r="G134" i="17"/>
  <c r="G97" i="17"/>
  <c r="O139" i="17"/>
  <c r="O107" i="17"/>
  <c r="O102" i="17"/>
  <c r="O134" i="17"/>
  <c r="O97" i="17"/>
  <c r="W139" i="17"/>
  <c r="W107" i="17"/>
  <c r="W102" i="17"/>
  <c r="W134" i="17"/>
  <c r="W97" i="17"/>
  <c r="AE139" i="17"/>
  <c r="AE107" i="17"/>
  <c r="AE102" i="17"/>
  <c r="AE134" i="17"/>
  <c r="AE97" i="17"/>
  <c r="D133" i="17"/>
  <c r="W129" i="17"/>
  <c r="M129" i="17"/>
  <c r="AG128" i="17"/>
  <c r="U128" i="17"/>
  <c r="K128" i="17"/>
  <c r="AE127" i="17"/>
  <c r="S127" i="17"/>
  <c r="I127" i="17"/>
  <c r="Q126" i="17"/>
  <c r="G126" i="17"/>
  <c r="T97" i="17"/>
  <c r="AH96" i="17"/>
  <c r="R96" i="17"/>
  <c r="AE95" i="17"/>
  <c r="G94" i="17"/>
  <c r="F99" i="17"/>
  <c r="I137" i="17"/>
  <c r="G132" i="17"/>
  <c r="AD94" i="17"/>
  <c r="AD131" i="17"/>
  <c r="AD136" i="17"/>
  <c r="AD99" i="17"/>
  <c r="P138" i="17"/>
  <c r="P106" i="17"/>
  <c r="P101" i="17"/>
  <c r="P133" i="17"/>
  <c r="P96" i="17"/>
  <c r="L94" i="17"/>
  <c r="L136" i="17"/>
  <c r="L104" i="17"/>
  <c r="L99" i="17"/>
  <c r="L131" i="17"/>
  <c r="AB94" i="17"/>
  <c r="AB136" i="17"/>
  <c r="AB104" i="17"/>
  <c r="AB99" i="17"/>
  <c r="AB131" i="17"/>
  <c r="E94" i="17"/>
  <c r="E136" i="17"/>
  <c r="E104" i="17"/>
  <c r="M94" i="17"/>
  <c r="M136" i="17"/>
  <c r="M104" i="17"/>
  <c r="M99" i="17"/>
  <c r="M131" i="17"/>
  <c r="U94" i="17"/>
  <c r="U136" i="17"/>
  <c r="U104" i="17"/>
  <c r="U99" i="17"/>
  <c r="U131" i="17"/>
  <c r="AC94" i="17"/>
  <c r="AC136" i="17"/>
  <c r="AC104" i="17"/>
  <c r="AC99" i="17"/>
  <c r="AC131" i="17"/>
  <c r="F95" i="17"/>
  <c r="F137" i="17"/>
  <c r="F105" i="17"/>
  <c r="F100" i="17"/>
  <c r="N95" i="17"/>
  <c r="N137" i="17"/>
  <c r="N105" i="17"/>
  <c r="N100" i="17"/>
  <c r="N132" i="17"/>
  <c r="V95" i="17"/>
  <c r="V137" i="17"/>
  <c r="V105" i="17"/>
  <c r="V100" i="17"/>
  <c r="V132" i="17"/>
  <c r="AD95" i="17"/>
  <c r="AD137" i="17"/>
  <c r="AD105" i="17"/>
  <c r="AD100" i="17"/>
  <c r="AD132" i="17"/>
  <c r="G138" i="17"/>
  <c r="G106" i="17"/>
  <c r="G101" i="17"/>
  <c r="G133" i="17"/>
  <c r="G128" i="17"/>
  <c r="O138" i="17"/>
  <c r="O106" i="17"/>
  <c r="O101" i="17"/>
  <c r="O133" i="17"/>
  <c r="O128" i="17"/>
  <c r="W138" i="17"/>
  <c r="W106" i="17"/>
  <c r="W101" i="17"/>
  <c r="W133" i="17"/>
  <c r="W128" i="17"/>
  <c r="AE138" i="17"/>
  <c r="AE106" i="17"/>
  <c r="AE101" i="17"/>
  <c r="AE133" i="17"/>
  <c r="AE128" i="17"/>
  <c r="H139" i="17"/>
  <c r="H107" i="17"/>
  <c r="H102" i="17"/>
  <c r="H134" i="17"/>
  <c r="H129" i="17"/>
  <c r="H97" i="17"/>
  <c r="P139" i="17"/>
  <c r="P107" i="17"/>
  <c r="P102" i="17"/>
  <c r="P134" i="17"/>
  <c r="P129" i="17"/>
  <c r="P97" i="17"/>
  <c r="X139" i="17"/>
  <c r="X107" i="17"/>
  <c r="X102" i="17"/>
  <c r="X134" i="17"/>
  <c r="X129" i="17"/>
  <c r="X97" i="17"/>
  <c r="AF139" i="17"/>
  <c r="AF107" i="17"/>
  <c r="AF102" i="17"/>
  <c r="AF134" i="17"/>
  <c r="AF129" i="17"/>
  <c r="AF97" i="17"/>
  <c r="D134" i="17"/>
  <c r="V129" i="17"/>
  <c r="L129" i="17"/>
  <c r="AF128" i="17"/>
  <c r="T128" i="17"/>
  <c r="J128" i="17"/>
  <c r="AD127" i="17"/>
  <c r="R127" i="17"/>
  <c r="H127" i="17"/>
  <c r="AB126" i="17"/>
  <c r="P126" i="17"/>
  <c r="F126" i="17"/>
  <c r="D94" i="17"/>
  <c r="S97" i="17"/>
  <c r="AG96" i="17"/>
  <c r="Q96" i="17"/>
  <c r="AC95" i="17"/>
  <c r="E99" i="17"/>
  <c r="H137" i="17"/>
  <c r="F132" i="17"/>
  <c r="AG139" i="17"/>
  <c r="AG107" i="17"/>
  <c r="AG102" i="17"/>
  <c r="AG134" i="17"/>
  <c r="AG129" i="17"/>
  <c r="D126" i="17"/>
  <c r="D136" i="17"/>
  <c r="AE129" i="17"/>
  <c r="U129" i="17"/>
  <c r="K129" i="17"/>
  <c r="AC128" i="17"/>
  <c r="S128" i="17"/>
  <c r="I128" i="17"/>
  <c r="AA127" i="17"/>
  <c r="Q127" i="17"/>
  <c r="G127" i="17"/>
  <c r="Y126" i="17"/>
  <c r="O126" i="17"/>
  <c r="E126" i="17"/>
  <c r="E130" i="17" s="1"/>
  <c r="D95" i="17"/>
  <c r="AG97" i="17"/>
  <c r="Q97" i="17"/>
  <c r="AE96" i="17"/>
  <c r="O96" i="17"/>
  <c r="Z95" i="17"/>
  <c r="E107" i="17"/>
  <c r="L102" i="17"/>
  <c r="G136" i="17"/>
  <c r="E131" i="17"/>
  <c r="AH139" i="17"/>
  <c r="AH107" i="17"/>
  <c r="AH102" i="17"/>
  <c r="AH134" i="17"/>
  <c r="AH97" i="17"/>
  <c r="D127" i="17"/>
  <c r="AD129" i="17"/>
  <c r="T129" i="17"/>
  <c r="J129" i="17"/>
  <c r="AB128" i="17"/>
  <c r="R128" i="17"/>
  <c r="H128" i="17"/>
  <c r="Z127" i="17"/>
  <c r="P127" i="17"/>
  <c r="F127" i="17"/>
  <c r="X126" i="17"/>
  <c r="N126" i="17"/>
  <c r="AC97" i="17"/>
  <c r="M97" i="17"/>
  <c r="AA96" i="17"/>
  <c r="K96" i="17"/>
  <c r="J95" i="17"/>
  <c r="AH106" i="17"/>
  <c r="K102" i="17"/>
  <c r="F136" i="17"/>
  <c r="D90" i="17"/>
  <c r="L90" i="17"/>
  <c r="T90" i="17"/>
  <c r="AB90" i="17"/>
  <c r="Y90" i="17"/>
  <c r="AG90" i="17"/>
  <c r="J90" i="17"/>
  <c r="R90" i="17"/>
  <c r="Z90" i="17"/>
  <c r="AH90" i="17"/>
  <c r="K90" i="17"/>
  <c r="S90" i="17"/>
  <c r="AA90" i="17"/>
  <c r="U90" i="17"/>
  <c r="N90" i="17"/>
  <c r="W90" i="17"/>
  <c r="AC90" i="17"/>
  <c r="AD90" i="17"/>
  <c r="G90" i="17"/>
  <c r="H90" i="17"/>
  <c r="X90" i="17"/>
  <c r="AF90" i="17"/>
  <c r="E90" i="17"/>
  <c r="F90" i="17"/>
  <c r="O90" i="17"/>
  <c r="I90" i="17"/>
  <c r="M90" i="17"/>
  <c r="V90" i="17"/>
  <c r="AE90" i="17"/>
  <c r="P90" i="17"/>
  <c r="Q90" i="17"/>
  <c r="D121" i="17" l="1"/>
  <c r="AG121" i="17"/>
  <c r="AE121" i="17"/>
  <c r="Y121" i="17"/>
  <c r="W121" i="17"/>
  <c r="Q121" i="17"/>
  <c r="O121" i="17"/>
  <c r="I121" i="17"/>
  <c r="G121" i="17"/>
  <c r="I135" i="17"/>
  <c r="J135" i="17"/>
  <c r="AH153" i="17"/>
  <c r="AH121" i="17"/>
  <c r="AG153" i="17"/>
  <c r="AF153" i="17"/>
  <c r="AF121" i="17"/>
  <c r="AE153" i="17"/>
  <c r="AD153" i="17"/>
  <c r="AD121" i="17"/>
  <c r="AC153" i="17"/>
  <c r="AC121" i="17"/>
  <c r="AB153" i="17"/>
  <c r="AB121" i="17"/>
  <c r="AA153" i="17"/>
  <c r="AA121" i="17"/>
  <c r="Z153" i="17"/>
  <c r="Z121" i="17"/>
  <c r="Y153" i="17"/>
  <c r="X153" i="17"/>
  <c r="X121" i="17"/>
  <c r="W153" i="17"/>
  <c r="V153" i="17"/>
  <c r="V121" i="17"/>
  <c r="U153" i="17"/>
  <c r="U121" i="17"/>
  <c r="T153" i="17"/>
  <c r="T121" i="17"/>
  <c r="S153" i="17"/>
  <c r="S121" i="17"/>
  <c r="R153" i="17"/>
  <c r="R121" i="17"/>
  <c r="Q153" i="17"/>
  <c r="P153" i="17"/>
  <c r="P121" i="17"/>
  <c r="O153" i="17"/>
  <c r="N153" i="17"/>
  <c r="N121" i="17"/>
  <c r="M153" i="17"/>
  <c r="M121" i="17"/>
  <c r="L153" i="17"/>
  <c r="L121" i="17"/>
  <c r="K153" i="17"/>
  <c r="K121" i="17"/>
  <c r="J153" i="17"/>
  <c r="J121" i="17"/>
  <c r="I153" i="17"/>
  <c r="H153" i="17"/>
  <c r="H121" i="17"/>
  <c r="F153" i="17"/>
  <c r="F121" i="17"/>
  <c r="E153" i="17"/>
  <c r="E121" i="17"/>
  <c r="D115" i="17"/>
  <c r="D116" i="17"/>
  <c r="D110" i="17"/>
  <c r="D111" i="17"/>
  <c r="D109" i="17"/>
  <c r="D112" i="17"/>
  <c r="D113" i="17"/>
  <c r="D114" i="17"/>
  <c r="D108" i="17"/>
  <c r="V130" i="17"/>
  <c r="I110" i="17"/>
  <c r="I113" i="17"/>
  <c r="I142" i="17"/>
  <c r="I145" i="17"/>
  <c r="AE145" i="17"/>
  <c r="AE110" i="17"/>
  <c r="AE113" i="17"/>
  <c r="AE142" i="17"/>
  <c r="Y110" i="17"/>
  <c r="Y113" i="17"/>
  <c r="Y142" i="17"/>
  <c r="Y145" i="17"/>
  <c r="AB142" i="17"/>
  <c r="AB145" i="17"/>
  <c r="AB110" i="17"/>
  <c r="AB113" i="17"/>
  <c r="X110" i="17"/>
  <c r="X113" i="17"/>
  <c r="X142" i="17"/>
  <c r="X145" i="17"/>
  <c r="AA113" i="17"/>
  <c r="AA142" i="17"/>
  <c r="AA110" i="17"/>
  <c r="AA145" i="17"/>
  <c r="V145" i="17"/>
  <c r="V110" i="17"/>
  <c r="V113" i="17"/>
  <c r="V142" i="17"/>
  <c r="H110" i="17"/>
  <c r="H113" i="17"/>
  <c r="H142" i="17"/>
  <c r="H145" i="17"/>
  <c r="S113" i="17"/>
  <c r="S142" i="17"/>
  <c r="S145" i="17"/>
  <c r="S110" i="17"/>
  <c r="M145" i="17"/>
  <c r="M142" i="17"/>
  <c r="M113" i="17"/>
  <c r="M110" i="17"/>
  <c r="G110" i="17"/>
  <c r="G113" i="17"/>
  <c r="G145" i="17"/>
  <c r="G142" i="17"/>
  <c r="K113" i="17"/>
  <c r="K142" i="17"/>
  <c r="K145" i="17"/>
  <c r="K110" i="17"/>
  <c r="T142" i="17"/>
  <c r="T145" i="17"/>
  <c r="T110" i="17"/>
  <c r="T113" i="17"/>
  <c r="AH135" i="17"/>
  <c r="L98" i="17"/>
  <c r="Z110" i="17"/>
  <c r="Z113" i="17"/>
  <c r="Z142" i="17"/>
  <c r="Z145" i="17"/>
  <c r="F110" i="17"/>
  <c r="F113" i="17"/>
  <c r="F142" i="17"/>
  <c r="F145" i="17"/>
  <c r="W113" i="17"/>
  <c r="W110" i="17"/>
  <c r="W145" i="17"/>
  <c r="W142" i="17"/>
  <c r="R110" i="17"/>
  <c r="R113" i="17"/>
  <c r="R142" i="17"/>
  <c r="R145" i="17"/>
  <c r="AD145" i="17"/>
  <c r="AD142" i="17"/>
  <c r="AD110" i="17"/>
  <c r="AD113" i="17"/>
  <c r="L142" i="17"/>
  <c r="L113" i="17"/>
  <c r="L145" i="17"/>
  <c r="L110" i="17"/>
  <c r="O110" i="17"/>
  <c r="O113" i="17"/>
  <c r="O142" i="17"/>
  <c r="O145" i="17"/>
  <c r="D142" i="17"/>
  <c r="D145" i="17"/>
  <c r="Q110" i="17"/>
  <c r="Q113" i="17"/>
  <c r="Q142" i="17"/>
  <c r="Q145" i="17"/>
  <c r="E145" i="17"/>
  <c r="E142" i="17"/>
  <c r="E110" i="17"/>
  <c r="E113" i="17"/>
  <c r="N142" i="17"/>
  <c r="N110" i="17"/>
  <c r="N145" i="17"/>
  <c r="N113" i="17"/>
  <c r="J110" i="17"/>
  <c r="J113" i="17"/>
  <c r="J142" i="17"/>
  <c r="J145" i="17"/>
  <c r="AD108" i="17"/>
  <c r="AH110" i="17"/>
  <c r="AH113" i="17"/>
  <c r="AH142" i="17"/>
  <c r="AH145" i="17"/>
  <c r="AC145" i="17"/>
  <c r="AC142" i="17"/>
  <c r="AC113" i="17"/>
  <c r="AC110" i="17"/>
  <c r="P110" i="17"/>
  <c r="P113" i="17"/>
  <c r="P142" i="17"/>
  <c r="P145" i="17"/>
  <c r="AF110" i="17"/>
  <c r="AF113" i="17"/>
  <c r="AF142" i="17"/>
  <c r="AF145" i="17"/>
  <c r="U145" i="17"/>
  <c r="U113" i="17"/>
  <c r="U142" i="17"/>
  <c r="U110" i="17"/>
  <c r="AG110" i="17"/>
  <c r="AG113" i="17"/>
  <c r="AG142" i="17"/>
  <c r="AG145" i="17"/>
  <c r="G98" i="17"/>
  <c r="M130" i="17"/>
  <c r="F140" i="17"/>
  <c r="D103" i="17"/>
  <c r="AC135" i="17"/>
  <c r="E108" i="17"/>
  <c r="M140" i="17"/>
  <c r="Y130" i="17"/>
  <c r="X130" i="17"/>
  <c r="E135" i="17"/>
  <c r="T130" i="17"/>
  <c r="L103" i="17"/>
  <c r="M103" i="17"/>
  <c r="AD140" i="17"/>
  <c r="U130" i="17"/>
  <c r="W98" i="17"/>
  <c r="AA130" i="17"/>
  <c r="AE98" i="17"/>
  <c r="AH98" i="17"/>
  <c r="J108" i="17"/>
  <c r="Q135" i="17"/>
  <c r="V108" i="17"/>
  <c r="AF98" i="17"/>
  <c r="Q98" i="17"/>
  <c r="AG135" i="17"/>
  <c r="D98" i="17"/>
  <c r="AC98" i="17"/>
  <c r="AB108" i="17"/>
  <c r="K98" i="17"/>
  <c r="AE140" i="17"/>
  <c r="W130" i="17"/>
  <c r="Z130" i="17"/>
  <c r="R103" i="17"/>
  <c r="Q103" i="17"/>
  <c r="AA108" i="17"/>
  <c r="X103" i="17"/>
  <c r="T135" i="17"/>
  <c r="L130" i="17"/>
  <c r="AG130" i="17"/>
  <c r="D130" i="17"/>
  <c r="E103" i="17"/>
  <c r="P130" i="17"/>
  <c r="AB98" i="17"/>
  <c r="P135" i="17"/>
  <c r="G135" i="17"/>
  <c r="AC130" i="17"/>
  <c r="F98" i="17"/>
  <c r="AE108" i="17"/>
  <c r="AD114" i="17"/>
  <c r="AD144" i="17"/>
  <c r="AD112" i="17"/>
  <c r="AD111" i="17"/>
  <c r="AD115" i="17"/>
  <c r="AD148" i="17"/>
  <c r="AD93" i="17"/>
  <c r="AD147" i="17"/>
  <c r="AD143" i="17"/>
  <c r="AD146" i="17"/>
  <c r="AD116" i="17"/>
  <c r="AD125" i="17"/>
  <c r="AD141" i="17"/>
  <c r="AD109" i="17"/>
  <c r="V103" i="17"/>
  <c r="F114" i="17"/>
  <c r="F144" i="17"/>
  <c r="F112" i="17"/>
  <c r="F111" i="17"/>
  <c r="F93" i="17"/>
  <c r="F146" i="17"/>
  <c r="F148" i="17"/>
  <c r="F143" i="17"/>
  <c r="F109" i="17"/>
  <c r="F147" i="17"/>
  <c r="F116" i="17"/>
  <c r="F125" i="17"/>
  <c r="F141" i="17"/>
  <c r="F115" i="17"/>
  <c r="R93" i="17"/>
  <c r="R111" i="17"/>
  <c r="R116" i="17"/>
  <c r="R141" i="17"/>
  <c r="R109" i="17"/>
  <c r="R114" i="17"/>
  <c r="R146" i="17"/>
  <c r="R144" i="17"/>
  <c r="R125" i="17"/>
  <c r="R143" i="17"/>
  <c r="R148" i="17"/>
  <c r="R115" i="17"/>
  <c r="R112" i="17"/>
  <c r="R147" i="17"/>
  <c r="M98" i="17"/>
  <c r="P93" i="17"/>
  <c r="P109" i="17"/>
  <c r="P115" i="17"/>
  <c r="P125" i="17"/>
  <c r="P146" i="17"/>
  <c r="P114" i="17"/>
  <c r="P112" i="17"/>
  <c r="P144" i="17"/>
  <c r="P143" i="17"/>
  <c r="P148" i="17"/>
  <c r="P116" i="17"/>
  <c r="P141" i="17"/>
  <c r="P147" i="17"/>
  <c r="P111" i="17"/>
  <c r="AG93" i="17"/>
  <c r="AG109" i="17"/>
  <c r="AG115" i="17"/>
  <c r="AG125" i="17"/>
  <c r="AG111" i="17"/>
  <c r="AG112" i="17"/>
  <c r="AG146" i="17"/>
  <c r="AG116" i="17"/>
  <c r="AG141" i="17"/>
  <c r="AG114" i="17"/>
  <c r="AG148" i="17"/>
  <c r="AG144" i="17"/>
  <c r="AG147" i="17"/>
  <c r="AG143" i="17"/>
  <c r="AA93" i="17"/>
  <c r="AA111" i="17"/>
  <c r="AA116" i="17"/>
  <c r="AA141" i="17"/>
  <c r="AA147" i="17"/>
  <c r="AA144" i="17"/>
  <c r="AA146" i="17"/>
  <c r="AA125" i="17"/>
  <c r="AA143" i="17"/>
  <c r="AA109" i="17"/>
  <c r="AA112" i="17"/>
  <c r="AA115" i="17"/>
  <c r="AA148" i="17"/>
  <c r="AA114" i="17"/>
  <c r="V114" i="17"/>
  <c r="V144" i="17"/>
  <c r="V112" i="17"/>
  <c r="V111" i="17"/>
  <c r="V116" i="17"/>
  <c r="V125" i="17"/>
  <c r="V141" i="17"/>
  <c r="V93" i="17"/>
  <c r="V148" i="17"/>
  <c r="V115" i="17"/>
  <c r="V109" i="17"/>
  <c r="V147" i="17"/>
  <c r="V146" i="17"/>
  <c r="V143" i="17"/>
  <c r="H93" i="17"/>
  <c r="H109" i="17"/>
  <c r="H115" i="17"/>
  <c r="H125" i="17"/>
  <c r="H146" i="17"/>
  <c r="H114" i="17"/>
  <c r="H112" i="17"/>
  <c r="H144" i="17"/>
  <c r="H111" i="17"/>
  <c r="H148" i="17"/>
  <c r="H143" i="17"/>
  <c r="H147" i="17"/>
  <c r="H116" i="17"/>
  <c r="H141" i="17"/>
  <c r="S93" i="17"/>
  <c r="S111" i="17"/>
  <c r="S116" i="17"/>
  <c r="S141" i="17"/>
  <c r="S112" i="17"/>
  <c r="S147" i="17"/>
  <c r="S109" i="17"/>
  <c r="S114" i="17"/>
  <c r="S146" i="17"/>
  <c r="S144" i="17"/>
  <c r="S125" i="17"/>
  <c r="S143" i="17"/>
  <c r="S148" i="17"/>
  <c r="S115" i="17"/>
  <c r="AB93" i="17"/>
  <c r="AB112" i="17"/>
  <c r="AB143" i="17"/>
  <c r="AB111" i="17"/>
  <c r="AB109" i="17"/>
  <c r="AB114" i="17"/>
  <c r="AB147" i="17"/>
  <c r="AB144" i="17"/>
  <c r="AB146" i="17"/>
  <c r="AB116" i="17"/>
  <c r="AB125" i="17"/>
  <c r="AB141" i="17"/>
  <c r="AB115" i="17"/>
  <c r="AB148" i="17"/>
  <c r="O130" i="17"/>
  <c r="V135" i="17"/>
  <c r="M135" i="17"/>
  <c r="AB135" i="17"/>
  <c r="AD103" i="17"/>
  <c r="W108" i="17"/>
  <c r="H98" i="17"/>
  <c r="AE130" i="17"/>
  <c r="AC108" i="17"/>
  <c r="M108" i="17"/>
  <c r="R130" i="17"/>
  <c r="J103" i="17"/>
  <c r="AB140" i="17"/>
  <c r="K135" i="17"/>
  <c r="S135" i="17"/>
  <c r="Y140" i="17"/>
  <c r="I108" i="17"/>
  <c r="H108" i="17"/>
  <c r="T93" i="17"/>
  <c r="T112" i="17"/>
  <c r="T143" i="17"/>
  <c r="T111" i="17"/>
  <c r="T109" i="17"/>
  <c r="T115" i="17"/>
  <c r="T147" i="17"/>
  <c r="T114" i="17"/>
  <c r="T146" i="17"/>
  <c r="T144" i="17"/>
  <c r="T116" i="17"/>
  <c r="T125" i="17"/>
  <c r="T141" i="17"/>
  <c r="T148" i="17"/>
  <c r="X140" i="17"/>
  <c r="I93" i="17"/>
  <c r="I109" i="17"/>
  <c r="I115" i="17"/>
  <c r="I125" i="17"/>
  <c r="I146" i="17"/>
  <c r="I112" i="17"/>
  <c r="I114" i="17"/>
  <c r="I144" i="17"/>
  <c r="I111" i="17"/>
  <c r="I148" i="17"/>
  <c r="I143" i="17"/>
  <c r="I147" i="17"/>
  <c r="I116" i="17"/>
  <c r="I141" i="17"/>
  <c r="AG103" i="17"/>
  <c r="AF135" i="17"/>
  <c r="O93" i="17"/>
  <c r="O114" i="17"/>
  <c r="O144" i="17"/>
  <c r="O109" i="17"/>
  <c r="O143" i="17"/>
  <c r="O148" i="17"/>
  <c r="O116" i="17"/>
  <c r="O125" i="17"/>
  <c r="O141" i="17"/>
  <c r="O147" i="17"/>
  <c r="O112" i="17"/>
  <c r="O115" i="17"/>
  <c r="O111" i="17"/>
  <c r="O146" i="17"/>
  <c r="AC112" i="17"/>
  <c r="AC143" i="17"/>
  <c r="AC93" i="17"/>
  <c r="AC148" i="17"/>
  <c r="AC114" i="17"/>
  <c r="AC147" i="17"/>
  <c r="AC144" i="17"/>
  <c r="AC146" i="17"/>
  <c r="AC111" i="17"/>
  <c r="AC116" i="17"/>
  <c r="AC125" i="17"/>
  <c r="AC141" i="17"/>
  <c r="AC109" i="17"/>
  <c r="AC115" i="17"/>
  <c r="Z93" i="17"/>
  <c r="Z111" i="17"/>
  <c r="Z116" i="17"/>
  <c r="Z141" i="17"/>
  <c r="Z109" i="17"/>
  <c r="Z144" i="17"/>
  <c r="Z146" i="17"/>
  <c r="Z125" i="17"/>
  <c r="Z143" i="17"/>
  <c r="Z112" i="17"/>
  <c r="Z115" i="17"/>
  <c r="Z148" i="17"/>
  <c r="Z114" i="17"/>
  <c r="Z147" i="17"/>
  <c r="D125" i="17"/>
  <c r="D148" i="17"/>
  <c r="D147" i="17"/>
  <c r="D146" i="17"/>
  <c r="D144" i="17"/>
  <c r="D143" i="17"/>
  <c r="D141" i="17"/>
  <c r="D93" i="17"/>
  <c r="D140" i="17"/>
  <c r="H140" i="17"/>
  <c r="F130" i="17"/>
  <c r="AD135" i="17"/>
  <c r="U135" i="17"/>
  <c r="AD98" i="17"/>
  <c r="AE103" i="17"/>
  <c r="X98" i="17"/>
  <c r="E140" i="17"/>
  <c r="R108" i="17"/>
  <c r="J98" i="17"/>
  <c r="V140" i="17"/>
  <c r="T103" i="17"/>
  <c r="AA140" i="17"/>
  <c r="Y135" i="17"/>
  <c r="N108" i="17"/>
  <c r="Z140" i="17"/>
  <c r="AG140" i="17"/>
  <c r="Q108" i="17"/>
  <c r="AF108" i="17"/>
  <c r="P98" i="17"/>
  <c r="H103" i="17"/>
  <c r="P140" i="17"/>
  <c r="AH93" i="17"/>
  <c r="AH111" i="17"/>
  <c r="AH116" i="17"/>
  <c r="AH141" i="17"/>
  <c r="AH109" i="17"/>
  <c r="AH125" i="17"/>
  <c r="AH143" i="17"/>
  <c r="AH112" i="17"/>
  <c r="AH146" i="17"/>
  <c r="AH115" i="17"/>
  <c r="AH114" i="17"/>
  <c r="AH148" i="17"/>
  <c r="AH144" i="17"/>
  <c r="AH147" i="17"/>
  <c r="S98" i="17"/>
  <c r="U108" i="17"/>
  <c r="AH130" i="17"/>
  <c r="Z103" i="17"/>
  <c r="T140" i="17"/>
  <c r="Y98" i="17"/>
  <c r="Y103" i="17"/>
  <c r="O108" i="17"/>
  <c r="N103" i="17"/>
  <c r="AA135" i="17"/>
  <c r="P108" i="17"/>
  <c r="M93" i="17"/>
  <c r="M112" i="17"/>
  <c r="M143" i="17"/>
  <c r="M148" i="17"/>
  <c r="M116" i="17"/>
  <c r="M125" i="17"/>
  <c r="M141" i="17"/>
  <c r="M147" i="17"/>
  <c r="M115" i="17"/>
  <c r="M111" i="17"/>
  <c r="M146" i="17"/>
  <c r="M109" i="17"/>
  <c r="M114" i="17"/>
  <c r="M144" i="17"/>
  <c r="K140" i="17"/>
  <c r="F108" i="17"/>
  <c r="Q93" i="17"/>
  <c r="Q109" i="17"/>
  <c r="Q115" i="17"/>
  <c r="Q125" i="17"/>
  <c r="Q111" i="17"/>
  <c r="Q114" i="17"/>
  <c r="Q146" i="17"/>
  <c r="Q144" i="17"/>
  <c r="Q143" i="17"/>
  <c r="Q148" i="17"/>
  <c r="Q116" i="17"/>
  <c r="Q141" i="17"/>
  <c r="Q112" i="17"/>
  <c r="Q147" i="17"/>
  <c r="E112" i="17"/>
  <c r="E143" i="17"/>
  <c r="E148" i="17"/>
  <c r="E111" i="17"/>
  <c r="E144" i="17"/>
  <c r="E109" i="17"/>
  <c r="E114" i="17"/>
  <c r="E147" i="17"/>
  <c r="E116" i="17"/>
  <c r="E125" i="17"/>
  <c r="E141" i="17"/>
  <c r="E115" i="17"/>
  <c r="E93" i="17"/>
  <c r="E146" i="17"/>
  <c r="N114" i="17"/>
  <c r="N144" i="17"/>
  <c r="N93" i="17"/>
  <c r="N112" i="17"/>
  <c r="N111" i="17"/>
  <c r="N143" i="17"/>
  <c r="N148" i="17"/>
  <c r="N116" i="17"/>
  <c r="N125" i="17"/>
  <c r="N141" i="17"/>
  <c r="N147" i="17"/>
  <c r="N115" i="17"/>
  <c r="N146" i="17"/>
  <c r="N109" i="17"/>
  <c r="J93" i="17"/>
  <c r="J111" i="17"/>
  <c r="J116" i="17"/>
  <c r="J141" i="17"/>
  <c r="J109" i="17"/>
  <c r="J115" i="17"/>
  <c r="J146" i="17"/>
  <c r="J112" i="17"/>
  <c r="J114" i="17"/>
  <c r="J144" i="17"/>
  <c r="J148" i="17"/>
  <c r="J125" i="17"/>
  <c r="J143" i="17"/>
  <c r="J147" i="17"/>
  <c r="K103" i="17"/>
  <c r="AB130" i="17"/>
  <c r="N135" i="17"/>
  <c r="L135" i="17"/>
  <c r="I140" i="17"/>
  <c r="G130" i="17"/>
  <c r="T108" i="17"/>
  <c r="H135" i="17"/>
  <c r="K130" i="17"/>
  <c r="U140" i="17"/>
  <c r="Z108" i="17"/>
  <c r="R98" i="17"/>
  <c r="R135" i="17"/>
  <c r="V98" i="17"/>
  <c r="O98" i="17"/>
  <c r="N140" i="17"/>
  <c r="AA103" i="17"/>
  <c r="Q140" i="17"/>
  <c r="Z135" i="17"/>
  <c r="K93" i="17"/>
  <c r="K111" i="17"/>
  <c r="K116" i="17"/>
  <c r="K141" i="17"/>
  <c r="K147" i="17"/>
  <c r="K115" i="17"/>
  <c r="K146" i="17"/>
  <c r="K112" i="17"/>
  <c r="K109" i="17"/>
  <c r="K114" i="17"/>
  <c r="K144" i="17"/>
  <c r="K148" i="17"/>
  <c r="K125" i="17"/>
  <c r="K143" i="17"/>
  <c r="S103" i="17"/>
  <c r="F135" i="17"/>
  <c r="K108" i="17"/>
  <c r="W93" i="17"/>
  <c r="W114" i="17"/>
  <c r="W144" i="17"/>
  <c r="W112" i="17"/>
  <c r="W116" i="17"/>
  <c r="W125" i="17"/>
  <c r="W141" i="17"/>
  <c r="W111" i="17"/>
  <c r="W148" i="17"/>
  <c r="W115" i="17"/>
  <c r="W109" i="17"/>
  <c r="W147" i="17"/>
  <c r="W146" i="17"/>
  <c r="W143" i="17"/>
  <c r="N130" i="17"/>
  <c r="U103" i="17"/>
  <c r="AF93" i="17"/>
  <c r="AF109" i="17"/>
  <c r="AF115" i="17"/>
  <c r="AF125" i="17"/>
  <c r="AF116" i="17"/>
  <c r="AF141" i="17"/>
  <c r="AF114" i="17"/>
  <c r="AF148" i="17"/>
  <c r="AF144" i="17"/>
  <c r="AF147" i="17"/>
  <c r="AF143" i="17"/>
  <c r="AF111" i="17"/>
  <c r="AF112" i="17"/>
  <c r="AF146" i="17"/>
  <c r="G140" i="17"/>
  <c r="F103" i="17"/>
  <c r="Q130" i="17"/>
  <c r="X135" i="17"/>
  <c r="J140" i="17"/>
  <c r="H130" i="17"/>
  <c r="AA98" i="17"/>
  <c r="J130" i="17"/>
  <c r="L140" i="17"/>
  <c r="S108" i="17"/>
  <c r="I98" i="17"/>
  <c r="O140" i="17"/>
  <c r="W135" i="17"/>
  <c r="AH103" i="17"/>
  <c r="Y108" i="17"/>
  <c r="AF103" i="17"/>
  <c r="AF140" i="17"/>
  <c r="G108" i="17"/>
  <c r="O135" i="17"/>
  <c r="G93" i="17"/>
  <c r="G114" i="17"/>
  <c r="G144" i="17"/>
  <c r="G112" i="17"/>
  <c r="G146" i="17"/>
  <c r="G111" i="17"/>
  <c r="G148" i="17"/>
  <c r="G143" i="17"/>
  <c r="G109" i="17"/>
  <c r="G147" i="17"/>
  <c r="G116" i="17"/>
  <c r="G125" i="17"/>
  <c r="G141" i="17"/>
  <c r="G115" i="17"/>
  <c r="AC140" i="17"/>
  <c r="L93" i="17"/>
  <c r="L112" i="17"/>
  <c r="L143" i="17"/>
  <c r="L111" i="17"/>
  <c r="L109" i="17"/>
  <c r="L116" i="17"/>
  <c r="L125" i="17"/>
  <c r="L141" i="17"/>
  <c r="L147" i="17"/>
  <c r="L115" i="17"/>
  <c r="L146" i="17"/>
  <c r="L114" i="17"/>
  <c r="L144" i="17"/>
  <c r="L148" i="17"/>
  <c r="W140" i="17"/>
  <c r="AE135" i="17"/>
  <c r="AG108" i="17"/>
  <c r="U112" i="17"/>
  <c r="U143" i="17"/>
  <c r="U93" i="17"/>
  <c r="U148" i="17"/>
  <c r="U111" i="17"/>
  <c r="U115" i="17"/>
  <c r="U109" i="17"/>
  <c r="U147" i="17"/>
  <c r="U114" i="17"/>
  <c r="U146" i="17"/>
  <c r="U144" i="17"/>
  <c r="U116" i="17"/>
  <c r="U125" i="17"/>
  <c r="U141" i="17"/>
  <c r="AE93" i="17"/>
  <c r="AE114" i="17"/>
  <c r="AE144" i="17"/>
  <c r="AE109" i="17"/>
  <c r="AE115" i="17"/>
  <c r="AE148" i="17"/>
  <c r="AE147" i="17"/>
  <c r="AE143" i="17"/>
  <c r="AE111" i="17"/>
  <c r="AE112" i="17"/>
  <c r="AE146" i="17"/>
  <c r="AE116" i="17"/>
  <c r="AE125" i="17"/>
  <c r="AE141" i="17"/>
  <c r="X93" i="17"/>
  <c r="X109" i="17"/>
  <c r="X115" i="17"/>
  <c r="X125" i="17"/>
  <c r="X114" i="17"/>
  <c r="X143" i="17"/>
  <c r="X112" i="17"/>
  <c r="X116" i="17"/>
  <c r="X141" i="17"/>
  <c r="X111" i="17"/>
  <c r="X148" i="17"/>
  <c r="X147" i="17"/>
  <c r="X144" i="17"/>
  <c r="X146" i="17"/>
  <c r="Y93" i="17"/>
  <c r="Y109" i="17"/>
  <c r="Y115" i="17"/>
  <c r="Y125" i="17"/>
  <c r="Y146" i="17"/>
  <c r="Y143" i="17"/>
  <c r="Y112" i="17"/>
  <c r="Y116" i="17"/>
  <c r="Y141" i="17"/>
  <c r="Y111" i="17"/>
  <c r="Y148" i="17"/>
  <c r="Y114" i="17"/>
  <c r="Y147" i="17"/>
  <c r="Y144" i="17"/>
  <c r="AC103" i="17"/>
  <c r="U98" i="17"/>
  <c r="E98" i="17"/>
  <c r="L108" i="17"/>
  <c r="T98" i="17"/>
  <c r="G103" i="17"/>
  <c r="AD130" i="17"/>
  <c r="S130" i="17"/>
  <c r="I130" i="17"/>
  <c r="D135" i="17"/>
  <c r="AH108" i="17"/>
  <c r="Z98" i="17"/>
  <c r="I103" i="17"/>
  <c r="AF130" i="17"/>
  <c r="AB103" i="17"/>
  <c r="S140" i="17"/>
  <c r="AG98" i="17"/>
  <c r="W103" i="17"/>
  <c r="N98" i="17"/>
  <c r="AH140" i="17"/>
  <c r="R140" i="17"/>
  <c r="X108" i="17"/>
  <c r="P103" i="17"/>
  <c r="O103" i="17"/>
  <c r="F53" i="12" l="1"/>
  <c r="D53" i="12" l="1"/>
  <c r="H122" i="9"/>
  <c r="E97" i="9"/>
  <c r="F72" i="9"/>
  <c r="G122" i="9"/>
  <c r="D97" i="9"/>
  <c r="F122" i="9"/>
  <c r="H72" i="9"/>
  <c r="D122" i="9"/>
  <c r="I323" i="9"/>
  <c r="E72" i="9"/>
  <c r="F349" i="9"/>
  <c r="E122" i="9"/>
  <c r="G72" i="9"/>
  <c r="D349" i="9"/>
  <c r="H97" i="9"/>
  <c r="I298" i="9"/>
  <c r="G97" i="9"/>
  <c r="D72" i="9"/>
  <c r="I273" i="9"/>
  <c r="F97" i="9"/>
  <c r="T272" i="15" l="1"/>
  <c r="V272" i="15"/>
  <c r="I272" i="15"/>
  <c r="J272" i="15"/>
  <c r="AB272" i="15"/>
  <c r="AD272" i="15"/>
  <c r="Y272" i="15"/>
  <c r="Z272" i="15"/>
  <c r="U272" i="15"/>
  <c r="AG272" i="15"/>
  <c r="P272" i="15"/>
  <c r="S272" i="15"/>
  <c r="N272" i="15"/>
  <c r="AF272" i="15"/>
  <c r="K272" i="15"/>
  <c r="D272" i="15"/>
  <c r="Q272" i="15"/>
  <c r="AA272" i="15"/>
  <c r="G272" i="15"/>
  <c r="L272" i="15"/>
  <c r="O272" i="15"/>
  <c r="AC272" i="15"/>
  <c r="H272" i="15"/>
  <c r="R272" i="15"/>
  <c r="F272" i="15"/>
  <c r="X272" i="15"/>
  <c r="AE272" i="15"/>
  <c r="M272" i="15"/>
  <c r="E272" i="15"/>
  <c r="W272" i="15"/>
  <c r="Q115" i="15"/>
  <c r="J115" i="15"/>
  <c r="AF115" i="15"/>
  <c r="Y115" i="15"/>
  <c r="R115" i="15"/>
  <c r="P115" i="15"/>
  <c r="AG115" i="15"/>
  <c r="Z115" i="15"/>
  <c r="X115" i="15"/>
  <c r="AE115" i="15"/>
  <c r="H115" i="15"/>
  <c r="S115" i="15"/>
  <c r="M115" i="15"/>
  <c r="F115" i="15"/>
  <c r="U115" i="15"/>
  <c r="N115" i="15"/>
  <c r="G115" i="15"/>
  <c r="AC115" i="15"/>
  <c r="V115" i="15"/>
  <c r="O115" i="15"/>
  <c r="AD115" i="15"/>
  <c r="W115" i="15"/>
  <c r="AA115" i="15"/>
  <c r="T115" i="15"/>
  <c r="I115" i="15"/>
  <c r="AB115" i="15"/>
  <c r="E115" i="15"/>
  <c r="D115" i="15"/>
  <c r="K115" i="15"/>
  <c r="L115" i="15"/>
  <c r="AC114" i="15"/>
  <c r="F114" i="15"/>
  <c r="G114" i="15"/>
  <c r="N114" i="15"/>
  <c r="O114" i="15"/>
  <c r="R114" i="15"/>
  <c r="J114" i="15"/>
  <c r="K114" i="15"/>
  <c r="D114" i="15"/>
  <c r="AD114" i="15"/>
  <c r="AE114" i="15"/>
  <c r="AB114" i="15"/>
  <c r="M114" i="15"/>
  <c r="Z114" i="15"/>
  <c r="S114" i="15"/>
  <c r="L114" i="15"/>
  <c r="U114" i="15"/>
  <c r="V114" i="15"/>
  <c r="AA114" i="15"/>
  <c r="T114" i="15"/>
  <c r="AG114" i="15"/>
  <c r="W114" i="15"/>
  <c r="X114" i="15"/>
  <c r="Y114" i="15"/>
  <c r="E114" i="15"/>
  <c r="I114" i="15"/>
  <c r="H114" i="15"/>
  <c r="P114" i="15"/>
  <c r="AF114" i="15"/>
  <c r="Q114" i="15"/>
  <c r="R275" i="15"/>
  <c r="E275" i="15"/>
  <c r="G275" i="15"/>
  <c r="AF275" i="15"/>
  <c r="AF274" i="15"/>
  <c r="Z275" i="15"/>
  <c r="M275" i="15"/>
  <c r="O275" i="15"/>
  <c r="I275" i="15"/>
  <c r="I274" i="15"/>
  <c r="D275" i="15"/>
  <c r="F275" i="15"/>
  <c r="P275" i="15"/>
  <c r="Y274" i="15"/>
  <c r="S274" i="15"/>
  <c r="AC274" i="15"/>
  <c r="W274" i="15"/>
  <c r="K275" i="15"/>
  <c r="N275" i="15"/>
  <c r="X275" i="15"/>
  <c r="Q274" i="15"/>
  <c r="L274" i="15"/>
  <c r="G274" i="15"/>
  <c r="S275" i="15"/>
  <c r="V275" i="15"/>
  <c r="Q275" i="15"/>
  <c r="AG274" i="15"/>
  <c r="T274" i="15"/>
  <c r="AE274" i="15"/>
  <c r="L275" i="15"/>
  <c r="AD275" i="15"/>
  <c r="Y275" i="15"/>
  <c r="J274" i="15"/>
  <c r="AB274" i="15"/>
  <c r="F274" i="15"/>
  <c r="U275" i="15"/>
  <c r="AG275" i="15"/>
  <c r="P274" i="15"/>
  <c r="K274" i="15"/>
  <c r="M274" i="15"/>
  <c r="AD274" i="15"/>
  <c r="T275" i="15"/>
  <c r="X274" i="15"/>
  <c r="V274" i="15"/>
  <c r="E274" i="15"/>
  <c r="AB275" i="15"/>
  <c r="R274" i="15"/>
  <c r="D274" i="15"/>
  <c r="H275" i="15"/>
  <c r="AC275" i="15"/>
  <c r="Z274" i="15"/>
  <c r="W275" i="15"/>
  <c r="AA274" i="15"/>
  <c r="AE275" i="15"/>
  <c r="O274" i="15"/>
  <c r="AA275" i="15"/>
  <c r="U274" i="15"/>
  <c r="J275" i="15"/>
  <c r="H274" i="15"/>
  <c r="N274" i="15"/>
  <c r="M245" i="15"/>
  <c r="AA245" i="15"/>
  <c r="Z245" i="15"/>
  <c r="F245" i="15"/>
  <c r="E245" i="15"/>
  <c r="S245" i="15"/>
  <c r="G245" i="15"/>
  <c r="L245" i="15"/>
  <c r="Q245" i="15"/>
  <c r="J245" i="15"/>
  <c r="V245" i="15"/>
  <c r="X245" i="15"/>
  <c r="O245" i="15"/>
  <c r="Y245" i="15"/>
  <c r="K245" i="15"/>
  <c r="N245" i="15"/>
  <c r="W245" i="15"/>
  <c r="AD245" i="15"/>
  <c r="P245" i="15"/>
  <c r="T245" i="15"/>
  <c r="AC245" i="15"/>
  <c r="H245" i="15"/>
  <c r="R245" i="15"/>
  <c r="I245" i="15"/>
  <c r="AF245" i="15"/>
  <c r="U245" i="15"/>
  <c r="AG245" i="15"/>
  <c r="AE245" i="15"/>
  <c r="D245" i="15"/>
  <c r="AB245" i="15"/>
  <c r="V117" i="15"/>
  <c r="AD117" i="15"/>
  <c r="Y117" i="15"/>
  <c r="AG117" i="15"/>
  <c r="J117" i="15"/>
  <c r="K117" i="15"/>
  <c r="G117" i="15"/>
  <c r="Z117" i="15"/>
  <c r="AA117" i="15"/>
  <c r="AE117" i="15"/>
  <c r="X117" i="15"/>
  <c r="I117" i="15"/>
  <c r="AC117" i="15"/>
  <c r="U117" i="15"/>
  <c r="F117" i="15"/>
  <c r="R117" i="15"/>
  <c r="W117" i="15"/>
  <c r="P117" i="15"/>
  <c r="S117" i="15"/>
  <c r="T117" i="15"/>
  <c r="E117" i="15"/>
  <c r="AF117" i="15"/>
  <c r="L117" i="15"/>
  <c r="H117" i="15"/>
  <c r="AB117" i="15"/>
  <c r="N117" i="15"/>
  <c r="Q117" i="15"/>
  <c r="M117" i="15"/>
  <c r="O117" i="15"/>
  <c r="D117" i="15"/>
  <c r="P229" i="15"/>
  <c r="Q229" i="15"/>
  <c r="AC229" i="15"/>
  <c r="H229" i="15"/>
  <c r="Y229" i="15"/>
  <c r="J229" i="15"/>
  <c r="AG229" i="15"/>
  <c r="R229" i="15"/>
  <c r="Z229" i="15"/>
  <c r="K229" i="15"/>
  <c r="X229" i="15"/>
  <c r="T229" i="15"/>
  <c r="AF229" i="15"/>
  <c r="AB229" i="15"/>
  <c r="F229" i="15"/>
  <c r="N229" i="15"/>
  <c r="S229" i="15"/>
  <c r="V229" i="15"/>
  <c r="D229" i="15"/>
  <c r="U229" i="15"/>
  <c r="O229" i="15"/>
  <c r="I229" i="15"/>
  <c r="L229" i="15"/>
  <c r="E229" i="15"/>
  <c r="G229" i="15"/>
  <c r="AD229" i="15"/>
  <c r="AE229" i="15"/>
  <c r="M229" i="15"/>
  <c r="W229" i="15"/>
  <c r="AA229" i="15"/>
  <c r="AB113" i="15"/>
  <c r="U113" i="15"/>
  <c r="N113" i="15"/>
  <c r="L113" i="15"/>
  <c r="AC113" i="15"/>
  <c r="T113" i="15"/>
  <c r="V113" i="15"/>
  <c r="G113" i="15"/>
  <c r="W113" i="15"/>
  <c r="AA113" i="15"/>
  <c r="E113" i="15"/>
  <c r="J113" i="15"/>
  <c r="S113" i="15"/>
  <c r="O113" i="15"/>
  <c r="H113" i="15"/>
  <c r="R113" i="15"/>
  <c r="M113" i="15"/>
  <c r="F113" i="15"/>
  <c r="AE113" i="15"/>
  <c r="P113" i="15"/>
  <c r="Z113" i="15"/>
  <c r="AD113" i="15"/>
  <c r="X113" i="15"/>
  <c r="D113" i="15"/>
  <c r="Y113" i="15"/>
  <c r="AG113" i="15"/>
  <c r="I113" i="15"/>
  <c r="Q113" i="15"/>
  <c r="AF113" i="15"/>
  <c r="K113" i="15"/>
  <c r="D15" i="12"/>
  <c r="E140" i="15" l="1"/>
  <c r="AA140" i="15"/>
  <c r="AA60" i="13" s="1"/>
  <c r="Y140" i="15"/>
  <c r="D140" i="15"/>
  <c r="J140" i="15"/>
  <c r="J60" i="13" s="1"/>
  <c r="M140" i="15"/>
  <c r="M60" i="13" s="1"/>
  <c r="AG140" i="15"/>
  <c r="AG60" i="13" s="1"/>
  <c r="S140" i="15"/>
  <c r="S60" i="13" s="1"/>
  <c r="R140" i="15"/>
  <c r="R60" i="13" s="1"/>
  <c r="U140" i="15"/>
  <c r="U60" i="13" s="1"/>
  <c r="F140" i="15"/>
  <c r="H140" i="15"/>
  <c r="Z140" i="15"/>
  <c r="Z60" i="13" s="1"/>
  <c r="AC140" i="15"/>
  <c r="AC60" i="13" s="1"/>
  <c r="AD140" i="15"/>
  <c r="AD60" i="13" s="1"/>
  <c r="P140" i="15"/>
  <c r="P60" i="13" s="1"/>
  <c r="W140" i="15"/>
  <c r="W60" i="13" s="1"/>
  <c r="K140" i="15"/>
  <c r="K60" i="13" s="1"/>
  <c r="N140" i="15"/>
  <c r="N60" i="13" s="1"/>
  <c r="Q140" i="15"/>
  <c r="X140" i="15"/>
  <c r="X60" i="13" s="1"/>
  <c r="I254" i="13" s="1"/>
  <c r="L140" i="15"/>
  <c r="L60" i="13" s="1"/>
  <c r="AB140" i="15"/>
  <c r="AB60" i="13" s="1"/>
  <c r="V140" i="15"/>
  <c r="V60" i="13" s="1"/>
  <c r="G140" i="15"/>
  <c r="G60" i="13" s="1"/>
  <c r="AF140" i="15"/>
  <c r="AF60" i="13" s="1"/>
  <c r="T140" i="15"/>
  <c r="T60" i="13" s="1"/>
  <c r="D236" i="15"/>
  <c r="AE140" i="15"/>
  <c r="AE60" i="13" s="1"/>
  <c r="O140" i="15"/>
  <c r="O60" i="13" s="1"/>
  <c r="I140" i="15"/>
  <c r="I60" i="13" s="1"/>
  <c r="E252" i="15"/>
  <c r="E123" i="13" s="1"/>
  <c r="M252" i="15"/>
  <c r="M123" i="13" s="1"/>
  <c r="U252" i="15"/>
  <c r="U123" i="13" s="1"/>
  <c r="AC252" i="15"/>
  <c r="AC123" i="13" s="1"/>
  <c r="H253" i="15"/>
  <c r="H124" i="13" s="1"/>
  <c r="H244" i="13" s="1"/>
  <c r="P253" i="15"/>
  <c r="P124" i="13" s="1"/>
  <c r="P244" i="13" s="1"/>
  <c r="X253" i="15"/>
  <c r="X124" i="13" s="1"/>
  <c r="AF253" i="15"/>
  <c r="AF124" i="13" s="1"/>
  <c r="AF244" i="13" s="1"/>
  <c r="AA236" i="15"/>
  <c r="AA114" i="13" s="1"/>
  <c r="G236" i="15"/>
  <c r="G114" i="13" s="1"/>
  <c r="Y237" i="15"/>
  <c r="Y115" i="13" s="1"/>
  <c r="F252" i="15"/>
  <c r="F123" i="13" s="1"/>
  <c r="N252" i="15"/>
  <c r="N123" i="13" s="1"/>
  <c r="V252" i="15"/>
  <c r="V123" i="13" s="1"/>
  <c r="AD252" i="15"/>
  <c r="AD123" i="13" s="1"/>
  <c r="I253" i="15"/>
  <c r="I124" i="13" s="1"/>
  <c r="I244" i="13" s="1"/>
  <c r="Q253" i="15"/>
  <c r="Q124" i="13" s="1"/>
  <c r="Q244" i="13" s="1"/>
  <c r="Y253" i="15"/>
  <c r="Y124" i="13" s="1"/>
  <c r="Y244" i="13" s="1"/>
  <c r="AG253" i="15"/>
  <c r="AG124" i="13" s="1"/>
  <c r="Y236" i="15"/>
  <c r="Y114" i="13" s="1"/>
  <c r="G252" i="15"/>
  <c r="G123" i="13" s="1"/>
  <c r="O252" i="15"/>
  <c r="O123" i="13" s="1"/>
  <c r="W252" i="15"/>
  <c r="W123" i="13" s="1"/>
  <c r="AE252" i="15"/>
  <c r="AE123" i="13" s="1"/>
  <c r="J253" i="15"/>
  <c r="J124" i="13" s="1"/>
  <c r="J244" i="13" s="1"/>
  <c r="R253" i="15"/>
  <c r="R124" i="13" s="1"/>
  <c r="R244" i="13" s="1"/>
  <c r="Z253" i="15"/>
  <c r="Z124" i="13" s="1"/>
  <c r="Z244" i="13" s="1"/>
  <c r="W236" i="15"/>
  <c r="W114" i="13" s="1"/>
  <c r="H252" i="15"/>
  <c r="H123" i="13" s="1"/>
  <c r="P252" i="15"/>
  <c r="P123" i="13" s="1"/>
  <c r="X252" i="15"/>
  <c r="X123" i="13" s="1"/>
  <c r="P254" i="13" s="1"/>
  <c r="P261" i="13" s="1"/>
  <c r="AF252" i="15"/>
  <c r="AF123" i="13" s="1"/>
  <c r="K253" i="15"/>
  <c r="K124" i="13" s="1"/>
  <c r="K244" i="13" s="1"/>
  <c r="S253" i="15"/>
  <c r="S124" i="13" s="1"/>
  <c r="S244" i="13" s="1"/>
  <c r="AA253" i="15"/>
  <c r="AA124" i="13" s="1"/>
  <c r="AA244" i="13" s="1"/>
  <c r="AC236" i="15"/>
  <c r="AC114" i="13" s="1"/>
  <c r="S236" i="15"/>
  <c r="S114" i="13" s="1"/>
  <c r="I252" i="15"/>
  <c r="I123" i="13" s="1"/>
  <c r="Q252" i="15"/>
  <c r="Q123" i="13" s="1"/>
  <c r="Y252" i="15"/>
  <c r="Y123" i="13" s="1"/>
  <c r="AG252" i="15"/>
  <c r="AG123" i="13" s="1"/>
  <c r="L253" i="15"/>
  <c r="L124" i="13" s="1"/>
  <c r="L244" i="13" s="1"/>
  <c r="T253" i="15"/>
  <c r="T124" i="13" s="1"/>
  <c r="T244" i="13" s="1"/>
  <c r="AB253" i="15"/>
  <c r="AB124" i="13" s="1"/>
  <c r="AB244" i="13" s="1"/>
  <c r="U236" i="15"/>
  <c r="U114" i="13" s="1"/>
  <c r="Q236" i="15"/>
  <c r="Q114" i="13" s="1"/>
  <c r="J252" i="15"/>
  <c r="J123" i="13" s="1"/>
  <c r="R252" i="15"/>
  <c r="R123" i="13" s="1"/>
  <c r="Z252" i="15"/>
  <c r="Z123" i="13" s="1"/>
  <c r="E253" i="15"/>
  <c r="E124" i="13" s="1"/>
  <c r="E244" i="13" s="1"/>
  <c r="M253" i="15"/>
  <c r="M124" i="13" s="1"/>
  <c r="M244" i="13" s="1"/>
  <c r="U253" i="15"/>
  <c r="U124" i="13" s="1"/>
  <c r="U244" i="13" s="1"/>
  <c r="AC253" i="15"/>
  <c r="AC124" i="13" s="1"/>
  <c r="AC244" i="13" s="1"/>
  <c r="M236" i="15"/>
  <c r="M114" i="13" s="1"/>
  <c r="O236" i="15"/>
  <c r="O114" i="13" s="1"/>
  <c r="K252" i="15"/>
  <c r="K123" i="13" s="1"/>
  <c r="S252" i="15"/>
  <c r="S123" i="13" s="1"/>
  <c r="AA252" i="15"/>
  <c r="AA123" i="13" s="1"/>
  <c r="F253" i="15"/>
  <c r="F124" i="13" s="1"/>
  <c r="F244" i="13" s="1"/>
  <c r="N253" i="15"/>
  <c r="N124" i="13" s="1"/>
  <c r="N244" i="13" s="1"/>
  <c r="V253" i="15"/>
  <c r="V124" i="13" s="1"/>
  <c r="V244" i="13" s="1"/>
  <c r="AD253" i="15"/>
  <c r="AD124" i="13" s="1"/>
  <c r="AD244" i="13" s="1"/>
  <c r="L237" i="15"/>
  <c r="L115" i="13" s="1"/>
  <c r="E236" i="15"/>
  <c r="E114" i="13" s="1"/>
  <c r="K236" i="15"/>
  <c r="K114" i="13" s="1"/>
  <c r="I237" i="15"/>
  <c r="I115" i="13" s="1"/>
  <c r="D252" i="15"/>
  <c r="D123" i="13" s="1"/>
  <c r="L252" i="15"/>
  <c r="L123" i="13" s="1"/>
  <c r="T252" i="15"/>
  <c r="T123" i="13" s="1"/>
  <c r="AB252" i="15"/>
  <c r="AB123" i="13" s="1"/>
  <c r="G253" i="15"/>
  <c r="G124" i="13" s="1"/>
  <c r="G244" i="13" s="1"/>
  <c r="O253" i="15"/>
  <c r="O124" i="13" s="1"/>
  <c r="O244" i="13" s="1"/>
  <c r="W253" i="15"/>
  <c r="W124" i="13" s="1"/>
  <c r="W244" i="13" s="1"/>
  <c r="AE253" i="15"/>
  <c r="AE124" i="13" s="1"/>
  <c r="AE244" i="13" s="1"/>
  <c r="AE236" i="15"/>
  <c r="AE114" i="13" s="1"/>
  <c r="I236" i="15"/>
  <c r="I114" i="13" s="1"/>
  <c r="Q237" i="15"/>
  <c r="Q115" i="13" s="1"/>
  <c r="D253" i="15"/>
  <c r="D124" i="13" s="1"/>
  <c r="K237" i="15"/>
  <c r="K115" i="13" s="1"/>
  <c r="AF237" i="15"/>
  <c r="AF115" i="13" s="1"/>
  <c r="U237" i="15"/>
  <c r="U115" i="13" s="1"/>
  <c r="Z237" i="15"/>
  <c r="Z115" i="13" s="1"/>
  <c r="L236" i="15"/>
  <c r="L114" i="13" s="1"/>
  <c r="T236" i="15"/>
  <c r="T114" i="13" s="1"/>
  <c r="AB237" i="15"/>
  <c r="AB115" i="13" s="1"/>
  <c r="X236" i="15"/>
  <c r="X114" i="13" s="1"/>
  <c r="N254" i="13" s="1"/>
  <c r="D237" i="15"/>
  <c r="W237" i="15"/>
  <c r="W115" i="13" s="1"/>
  <c r="H236" i="15"/>
  <c r="H114" i="13" s="1"/>
  <c r="E237" i="15"/>
  <c r="E115" i="13" s="1"/>
  <c r="AF236" i="15"/>
  <c r="AF114" i="13" s="1"/>
  <c r="H237" i="15"/>
  <c r="H115" i="13" s="1"/>
  <c r="AB236" i="15"/>
  <c r="AB114" i="13" s="1"/>
  <c r="P237" i="15"/>
  <c r="P115" i="13" s="1"/>
  <c r="S237" i="15"/>
  <c r="S115" i="13" s="1"/>
  <c r="AC237" i="15"/>
  <c r="AC115" i="13" s="1"/>
  <c r="AE237" i="15"/>
  <c r="AE115" i="13" s="1"/>
  <c r="R236" i="15"/>
  <c r="R114" i="13" s="1"/>
  <c r="T237" i="15"/>
  <c r="T115" i="13" s="1"/>
  <c r="G237" i="15"/>
  <c r="G115" i="13" s="1"/>
  <c r="X237" i="15"/>
  <c r="X115" i="13" s="1"/>
  <c r="N255" i="13" s="1"/>
  <c r="J237" i="15"/>
  <c r="J115" i="13" s="1"/>
  <c r="O237" i="15"/>
  <c r="O115" i="13" s="1"/>
  <c r="R237" i="15"/>
  <c r="R115" i="13" s="1"/>
  <c r="P236" i="15"/>
  <c r="P114" i="13" s="1"/>
  <c r="M237" i="15"/>
  <c r="M115" i="13" s="1"/>
  <c r="AA237" i="15"/>
  <c r="AA115" i="13" s="1"/>
  <c r="V237" i="15"/>
  <c r="V115" i="13" s="1"/>
  <c r="F236" i="15"/>
  <c r="F114" i="13" s="1"/>
  <c r="V236" i="15"/>
  <c r="V114" i="13" s="1"/>
  <c r="AD236" i="15"/>
  <c r="AD114" i="13" s="1"/>
  <c r="J236" i="15"/>
  <c r="J114" i="13" s="1"/>
  <c r="N237" i="15"/>
  <c r="N115" i="13" s="1"/>
  <c r="N236" i="15"/>
  <c r="N114" i="13" s="1"/>
  <c r="F237" i="15"/>
  <c r="F115" i="13" s="1"/>
  <c r="AD237" i="15"/>
  <c r="AD115" i="13" s="1"/>
  <c r="Z236" i="15"/>
  <c r="Z114" i="13" s="1"/>
  <c r="D22" i="15"/>
  <c r="K195" i="15"/>
  <c r="S195" i="15"/>
  <c r="AA195" i="15"/>
  <c r="E196" i="15"/>
  <c r="M196" i="15"/>
  <c r="U196" i="15"/>
  <c r="AC196" i="15"/>
  <c r="K188" i="15"/>
  <c r="S188" i="15"/>
  <c r="AA188" i="15"/>
  <c r="F189" i="15"/>
  <c r="N189" i="15"/>
  <c r="V189" i="15"/>
  <c r="AD189" i="15"/>
  <c r="AA221" i="15"/>
  <c r="S221" i="15"/>
  <c r="K221" i="15"/>
  <c r="AG205" i="15"/>
  <c r="Y205" i="15"/>
  <c r="Q205" i="15"/>
  <c r="I205" i="15"/>
  <c r="AF173" i="15"/>
  <c r="X173" i="15"/>
  <c r="P173" i="15"/>
  <c r="H173" i="15"/>
  <c r="AD157" i="15"/>
  <c r="V157" i="15"/>
  <c r="N157" i="15"/>
  <c r="F157" i="15"/>
  <c r="AB141" i="15"/>
  <c r="AB61" i="13" s="1"/>
  <c r="AB181" i="13" s="1"/>
  <c r="T141" i="15"/>
  <c r="T61" i="13" s="1"/>
  <c r="T181" i="13" s="1"/>
  <c r="L141" i="15"/>
  <c r="L61" i="13" s="1"/>
  <c r="L181" i="13" s="1"/>
  <c r="D141" i="15"/>
  <c r="D61" i="13" s="1"/>
  <c r="Z125" i="15"/>
  <c r="R125" i="15"/>
  <c r="J125" i="15"/>
  <c r="AF94" i="15"/>
  <c r="X94" i="15"/>
  <c r="P94" i="15"/>
  <c r="H94" i="15"/>
  <c r="AD63" i="15"/>
  <c r="V63" i="15"/>
  <c r="N63" i="15"/>
  <c r="F63" i="15"/>
  <c r="AB32" i="15"/>
  <c r="T32" i="15"/>
  <c r="L32" i="15"/>
  <c r="D32" i="15"/>
  <c r="Z16" i="15"/>
  <c r="R16" i="15"/>
  <c r="J16" i="15"/>
  <c r="Z23" i="15"/>
  <c r="R23" i="15"/>
  <c r="J23" i="15"/>
  <c r="AF22" i="15"/>
  <c r="X22" i="15"/>
  <c r="P22" i="15"/>
  <c r="H22" i="15"/>
  <c r="AA220" i="15"/>
  <c r="S220" i="15"/>
  <c r="K220" i="15"/>
  <c r="AG204" i="15"/>
  <c r="Y204" i="15"/>
  <c r="Q204" i="15"/>
  <c r="I204" i="15"/>
  <c r="AE172" i="15"/>
  <c r="W172" i="15"/>
  <c r="O172" i="15"/>
  <c r="G172" i="15"/>
  <c r="AC156" i="15"/>
  <c r="U156" i="15"/>
  <c r="M156" i="15"/>
  <c r="E156" i="15"/>
  <c r="AA124" i="15"/>
  <c r="S124" i="15"/>
  <c r="K124" i="15"/>
  <c r="L195" i="15"/>
  <c r="T195" i="15"/>
  <c r="AB195" i="15"/>
  <c r="F196" i="15"/>
  <c r="N196" i="15"/>
  <c r="V196" i="15"/>
  <c r="AD196" i="15"/>
  <c r="L188" i="15"/>
  <c r="T188" i="15"/>
  <c r="AB188" i="15"/>
  <c r="G189" i="15"/>
  <c r="O189" i="15"/>
  <c r="W189" i="15"/>
  <c r="AE189" i="15"/>
  <c r="AG237" i="15"/>
  <c r="AG115" i="13" s="1"/>
  <c r="Z221" i="15"/>
  <c r="R221" i="15"/>
  <c r="J221" i="15"/>
  <c r="AF205" i="15"/>
  <c r="X205" i="15"/>
  <c r="P205" i="15"/>
  <c r="H205" i="15"/>
  <c r="AE173" i="15"/>
  <c r="W173" i="15"/>
  <c r="O173" i="15"/>
  <c r="G173" i="15"/>
  <c r="AC157" i="15"/>
  <c r="U157" i="15"/>
  <c r="M157" i="15"/>
  <c r="E157" i="15"/>
  <c r="AA141" i="15"/>
  <c r="AA61" i="13" s="1"/>
  <c r="AA181" i="13" s="1"/>
  <c r="S141" i="15"/>
  <c r="S61" i="13" s="1"/>
  <c r="S181" i="13" s="1"/>
  <c r="K141" i="15"/>
  <c r="K61" i="13" s="1"/>
  <c r="K181" i="13" s="1"/>
  <c r="AG125" i="15"/>
  <c r="Y125" i="15"/>
  <c r="Q125" i="15"/>
  <c r="I125" i="15"/>
  <c r="AE94" i="15"/>
  <c r="W94" i="15"/>
  <c r="O94" i="15"/>
  <c r="G94" i="15"/>
  <c r="AC63" i="15"/>
  <c r="U63" i="15"/>
  <c r="M63" i="15"/>
  <c r="E63" i="15"/>
  <c r="AA32" i="15"/>
  <c r="S32" i="15"/>
  <c r="K32" i="15"/>
  <c r="AG16" i="15"/>
  <c r="Y16" i="15"/>
  <c r="Q16" i="15"/>
  <c r="I16" i="15"/>
  <c r="E60" i="13"/>
  <c r="AG23" i="15"/>
  <c r="Y23" i="15"/>
  <c r="Q23" i="15"/>
  <c r="I23" i="15"/>
  <c r="AE22" i="15"/>
  <c r="W22" i="15"/>
  <c r="O22" i="15"/>
  <c r="G22" i="15"/>
  <c r="AG236" i="15"/>
  <c r="AG114" i="13" s="1"/>
  <c r="Z220" i="15"/>
  <c r="R220" i="15"/>
  <c r="J220" i="15"/>
  <c r="AF204" i="15"/>
  <c r="X204" i="15"/>
  <c r="P204" i="15"/>
  <c r="H204" i="15"/>
  <c r="AD172" i="15"/>
  <c r="V172" i="15"/>
  <c r="N172" i="15"/>
  <c r="F172" i="15"/>
  <c r="AB156" i="15"/>
  <c r="T156" i="15"/>
  <c r="L156" i="15"/>
  <c r="D156" i="15"/>
  <c r="Z124" i="15"/>
  <c r="R124" i="15"/>
  <c r="J124" i="15"/>
  <c r="E195" i="15"/>
  <c r="M195" i="15"/>
  <c r="U195" i="15"/>
  <c r="AC195" i="15"/>
  <c r="G196" i="15"/>
  <c r="O196" i="15"/>
  <c r="W196" i="15"/>
  <c r="AE196" i="15"/>
  <c r="E188" i="15"/>
  <c r="E87" i="13" s="1"/>
  <c r="M188" i="15"/>
  <c r="M87" i="13" s="1"/>
  <c r="U188" i="15"/>
  <c r="U87" i="13" s="1"/>
  <c r="AC188" i="15"/>
  <c r="AC87" i="13" s="1"/>
  <c r="H189" i="15"/>
  <c r="P189" i="15"/>
  <c r="X189" i="15"/>
  <c r="AF189" i="15"/>
  <c r="D196" i="15"/>
  <c r="AG221" i="15"/>
  <c r="Y221" i="15"/>
  <c r="Q221" i="15"/>
  <c r="I221" i="15"/>
  <c r="AE205" i="15"/>
  <c r="W205" i="15"/>
  <c r="O205" i="15"/>
  <c r="G205" i="15"/>
  <c r="AD173" i="15"/>
  <c r="V173" i="15"/>
  <c r="N173" i="15"/>
  <c r="F173" i="15"/>
  <c r="AB157" i="15"/>
  <c r="T157" i="15"/>
  <c r="L157" i="15"/>
  <c r="D157" i="15"/>
  <c r="Z141" i="15"/>
  <c r="Z61" i="13" s="1"/>
  <c r="Z181" i="13" s="1"/>
  <c r="R141" i="15"/>
  <c r="R61" i="13" s="1"/>
  <c r="R181" i="13" s="1"/>
  <c r="J141" i="15"/>
  <c r="J61" i="13" s="1"/>
  <c r="J181" i="13" s="1"/>
  <c r="AF125" i="15"/>
  <c r="X125" i="15"/>
  <c r="P125" i="15"/>
  <c r="H125" i="15"/>
  <c r="AD94" i="15"/>
  <c r="V94" i="15"/>
  <c r="N94" i="15"/>
  <c r="F94" i="15"/>
  <c r="AB63" i="15"/>
  <c r="T63" i="15"/>
  <c r="L63" i="15"/>
  <c r="D63" i="15"/>
  <c r="Z32" i="15"/>
  <c r="R32" i="15"/>
  <c r="J32" i="15"/>
  <c r="AF16" i="15"/>
  <c r="X16" i="15"/>
  <c r="P16" i="15"/>
  <c r="H16" i="15"/>
  <c r="F60" i="13"/>
  <c r="AF23" i="15"/>
  <c r="X23" i="15"/>
  <c r="P23" i="15"/>
  <c r="H23" i="15"/>
  <c r="AD22" i="15"/>
  <c r="V22" i="15"/>
  <c r="N22" i="15"/>
  <c r="F22" i="15"/>
  <c r="AG220" i="15"/>
  <c r="Y220" i="15"/>
  <c r="Q220" i="15"/>
  <c r="I220" i="15"/>
  <c r="AE204" i="15"/>
  <c r="W204" i="15"/>
  <c r="O204" i="15"/>
  <c r="G204" i="15"/>
  <c r="AC172" i="15"/>
  <c r="U172" i="15"/>
  <c r="M172" i="15"/>
  <c r="E172" i="15"/>
  <c r="AA156" i="15"/>
  <c r="S156" i="15"/>
  <c r="K156" i="15"/>
  <c r="AG124" i="15"/>
  <c r="Y124" i="15"/>
  <c r="Q124" i="15"/>
  <c r="F195" i="15"/>
  <c r="N195" i="15"/>
  <c r="V195" i="15"/>
  <c r="AD195" i="15"/>
  <c r="H196" i="15"/>
  <c r="P196" i="15"/>
  <c r="X196" i="15"/>
  <c r="AF196" i="15"/>
  <c r="F188" i="15"/>
  <c r="F87" i="13" s="1"/>
  <c r="N188" i="15"/>
  <c r="N87" i="13" s="1"/>
  <c r="V188" i="15"/>
  <c r="V87" i="13" s="1"/>
  <c r="AD188" i="15"/>
  <c r="AD87" i="13" s="1"/>
  <c r="I189" i="15"/>
  <c r="Q189" i="15"/>
  <c r="Y189" i="15"/>
  <c r="AG189" i="15"/>
  <c r="AF221" i="15"/>
  <c r="X221" i="15"/>
  <c r="P221" i="15"/>
  <c r="H221" i="15"/>
  <c r="AD205" i="15"/>
  <c r="V205" i="15"/>
  <c r="N205" i="15"/>
  <c r="F205" i="15"/>
  <c r="AC173" i="15"/>
  <c r="U173" i="15"/>
  <c r="M173" i="15"/>
  <c r="E173" i="15"/>
  <c r="AA157" i="15"/>
  <c r="S157" i="15"/>
  <c r="K157" i="15"/>
  <c r="AG141" i="15"/>
  <c r="AG61" i="13" s="1"/>
  <c r="Y141" i="15"/>
  <c r="Y61" i="13" s="1"/>
  <c r="Y181" i="13" s="1"/>
  <c r="Q141" i="15"/>
  <c r="Q61" i="13" s="1"/>
  <c r="Q181" i="13" s="1"/>
  <c r="I141" i="15"/>
  <c r="I61" i="13" s="1"/>
  <c r="I181" i="13" s="1"/>
  <c r="AE125" i="15"/>
  <c r="W125" i="15"/>
  <c r="O125" i="15"/>
  <c r="G125" i="15"/>
  <c r="AC94" i="15"/>
  <c r="U94" i="15"/>
  <c r="M94" i="15"/>
  <c r="E94" i="15"/>
  <c r="AA63" i="15"/>
  <c r="S63" i="15"/>
  <c r="K63" i="15"/>
  <c r="AG32" i="15"/>
  <c r="Y32" i="15"/>
  <c r="Q32" i="15"/>
  <c r="I32" i="15"/>
  <c r="AE16" i="15"/>
  <c r="W16" i="15"/>
  <c r="O16" i="15"/>
  <c r="G16" i="15"/>
  <c r="AE23" i="15"/>
  <c r="W23" i="15"/>
  <c r="O23" i="15"/>
  <c r="G23" i="15"/>
  <c r="AC22" i="15"/>
  <c r="U22" i="15"/>
  <c r="M22" i="15"/>
  <c r="E22" i="15"/>
  <c r="AF220" i="15"/>
  <c r="X220" i="15"/>
  <c r="P220" i="15"/>
  <c r="H220" i="15"/>
  <c r="AD204" i="15"/>
  <c r="V204" i="15"/>
  <c r="N204" i="15"/>
  <c r="F204" i="15"/>
  <c r="AB172" i="15"/>
  <c r="T172" i="15"/>
  <c r="L172" i="15"/>
  <c r="D172" i="15"/>
  <c r="Z156" i="15"/>
  <c r="R156" i="15"/>
  <c r="J156" i="15"/>
  <c r="AF124" i="15"/>
  <c r="X124" i="15"/>
  <c r="P124" i="15"/>
  <c r="I195" i="15"/>
  <c r="Q195" i="15"/>
  <c r="Y195" i="15"/>
  <c r="AG195" i="15"/>
  <c r="D60" i="13"/>
  <c r="K196" i="15"/>
  <c r="S196" i="15"/>
  <c r="AA196" i="15"/>
  <c r="I188" i="15"/>
  <c r="I87" i="13" s="1"/>
  <c r="Q188" i="15"/>
  <c r="Q87" i="13" s="1"/>
  <c r="Y188" i="15"/>
  <c r="Y87" i="13" s="1"/>
  <c r="AG188" i="15"/>
  <c r="AG87" i="13" s="1"/>
  <c r="L189" i="15"/>
  <c r="T189" i="15"/>
  <c r="AB189" i="15"/>
  <c r="AC221" i="15"/>
  <c r="U221" i="15"/>
  <c r="M221" i="15"/>
  <c r="E221" i="15"/>
  <c r="AA205" i="15"/>
  <c r="S205" i="15"/>
  <c r="K205" i="15"/>
  <c r="D189" i="15"/>
  <c r="Z173" i="15"/>
  <c r="R173" i="15"/>
  <c r="J173" i="15"/>
  <c r="AF157" i="15"/>
  <c r="X157" i="15"/>
  <c r="P157" i="15"/>
  <c r="H157" i="15"/>
  <c r="AD141" i="15"/>
  <c r="AD61" i="13" s="1"/>
  <c r="AD181" i="13" s="1"/>
  <c r="V141" i="15"/>
  <c r="V61" i="13" s="1"/>
  <c r="V181" i="13" s="1"/>
  <c r="N141" i="15"/>
  <c r="N61" i="13" s="1"/>
  <c r="N181" i="13" s="1"/>
  <c r="F141" i="15"/>
  <c r="F61" i="13" s="1"/>
  <c r="F181" i="13" s="1"/>
  <c r="AB125" i="15"/>
  <c r="T125" i="15"/>
  <c r="L125" i="15"/>
  <c r="D125" i="15"/>
  <c r="Z94" i="15"/>
  <c r="R94" i="15"/>
  <c r="J94" i="15"/>
  <c r="AF63" i="15"/>
  <c r="X63" i="15"/>
  <c r="P63" i="15"/>
  <c r="H63" i="15"/>
  <c r="AD32" i="15"/>
  <c r="V32" i="15"/>
  <c r="N32" i="15"/>
  <c r="F32" i="15"/>
  <c r="AB16" i="15"/>
  <c r="T16" i="15"/>
  <c r="L16" i="15"/>
  <c r="D16" i="15"/>
  <c r="AB23" i="15"/>
  <c r="J195" i="15"/>
  <c r="R195" i="15"/>
  <c r="Z195" i="15"/>
  <c r="D195" i="15"/>
  <c r="D188" i="15"/>
  <c r="L196" i="15"/>
  <c r="T196" i="15"/>
  <c r="AB196" i="15"/>
  <c r="J188" i="15"/>
  <c r="J87" i="13" s="1"/>
  <c r="R188" i="15"/>
  <c r="R87" i="13" s="1"/>
  <c r="Z188" i="15"/>
  <c r="E189" i="15"/>
  <c r="M189" i="15"/>
  <c r="M88" i="13" s="1"/>
  <c r="M208" i="13" s="1"/>
  <c r="U189" i="15"/>
  <c r="U88" i="13" s="1"/>
  <c r="U208" i="13" s="1"/>
  <c r="AC189" i="15"/>
  <c r="AC88" i="13" s="1"/>
  <c r="AC208" i="13" s="1"/>
  <c r="AB221" i="15"/>
  <c r="T221" i="15"/>
  <c r="L221" i="15"/>
  <c r="D221" i="15"/>
  <c r="Z205" i="15"/>
  <c r="R205" i="15"/>
  <c r="J205" i="15"/>
  <c r="AG173" i="15"/>
  <c r="Y173" i="15"/>
  <c r="Q173" i="15"/>
  <c r="I173" i="15"/>
  <c r="AE157" i="15"/>
  <c r="W157" i="15"/>
  <c r="O157" i="15"/>
  <c r="G157" i="15"/>
  <c r="AC141" i="15"/>
  <c r="AC61" i="13" s="1"/>
  <c r="AC181" i="13" s="1"/>
  <c r="U141" i="15"/>
  <c r="U61" i="13" s="1"/>
  <c r="U181" i="13" s="1"/>
  <c r="M141" i="15"/>
  <c r="M61" i="13" s="1"/>
  <c r="M181" i="13" s="1"/>
  <c r="E141" i="15"/>
  <c r="E61" i="13" s="1"/>
  <c r="E181" i="13" s="1"/>
  <c r="AA125" i="15"/>
  <c r="S125" i="15"/>
  <c r="K125" i="15"/>
  <c r="AG94" i="15"/>
  <c r="Y94" i="15"/>
  <c r="Q94" i="15"/>
  <c r="I94" i="15"/>
  <c r="AE63" i="15"/>
  <c r="W63" i="15"/>
  <c r="O63" i="15"/>
  <c r="G63" i="15"/>
  <c r="AC32" i="15"/>
  <c r="U32" i="15"/>
  <c r="M32" i="15"/>
  <c r="E32" i="15"/>
  <c r="AA16" i="15"/>
  <c r="S16" i="15"/>
  <c r="K16" i="15"/>
  <c r="AA23" i="15"/>
  <c r="S23" i="15"/>
  <c r="K23" i="15"/>
  <c r="AG22" i="15"/>
  <c r="Y22" i="15"/>
  <c r="Q22" i="15"/>
  <c r="I22" i="15"/>
  <c r="AB220" i="15"/>
  <c r="T220" i="15"/>
  <c r="L220" i="15"/>
  <c r="D220" i="15"/>
  <c r="Z204" i="15"/>
  <c r="R204" i="15"/>
  <c r="J204" i="15"/>
  <c r="AF172" i="15"/>
  <c r="X172" i="15"/>
  <c r="P172" i="15"/>
  <c r="H172" i="15"/>
  <c r="AD156" i="15"/>
  <c r="V156" i="15"/>
  <c r="N156" i="15"/>
  <c r="F156" i="15"/>
  <c r="AB124" i="15"/>
  <c r="T124" i="15"/>
  <c r="L124" i="15"/>
  <c r="G195" i="15"/>
  <c r="Q196" i="15"/>
  <c r="AE188" i="15"/>
  <c r="O221" i="15"/>
  <c r="M205" i="15"/>
  <c r="L173" i="15"/>
  <c r="J157" i="15"/>
  <c r="H141" i="15"/>
  <c r="H61" i="13" s="1"/>
  <c r="H181" i="13" s="1"/>
  <c r="F125" i="15"/>
  <c r="D94" i="15"/>
  <c r="AF32" i="15"/>
  <c r="AD16" i="15"/>
  <c r="U23" i="15"/>
  <c r="AC220" i="15"/>
  <c r="F220" i="15"/>
  <c r="M204" i="15"/>
  <c r="Y172" i="15"/>
  <c r="AF156" i="15"/>
  <c r="E124" i="15"/>
  <c r="S93" i="15"/>
  <c r="Y62" i="15"/>
  <c r="W31" i="15"/>
  <c r="AC15" i="15"/>
  <c r="E15" i="15"/>
  <c r="AD124" i="15"/>
  <c r="AA31" i="15"/>
  <c r="AA173" i="15"/>
  <c r="Q60" i="13"/>
  <c r="AD23" i="15"/>
  <c r="AD93" i="15"/>
  <c r="R31" i="15"/>
  <c r="H195" i="15"/>
  <c r="R196" i="15"/>
  <c r="AF188" i="15"/>
  <c r="N221" i="15"/>
  <c r="L205" i="15"/>
  <c r="K173" i="15"/>
  <c r="I157" i="15"/>
  <c r="G141" i="15"/>
  <c r="G61" i="13" s="1"/>
  <c r="G181" i="13" s="1"/>
  <c r="E125" i="15"/>
  <c r="AG63" i="15"/>
  <c r="AE32" i="15"/>
  <c r="AC16" i="15"/>
  <c r="T23" i="15"/>
  <c r="AA22" i="15"/>
  <c r="W220" i="15"/>
  <c r="E220" i="15"/>
  <c r="L204" i="15"/>
  <c r="S172" i="15"/>
  <c r="AE156" i="15"/>
  <c r="H156" i="15"/>
  <c r="O124" i="15"/>
  <c r="D124" i="15"/>
  <c r="Z93" i="15"/>
  <c r="R93" i="15"/>
  <c r="J93" i="15"/>
  <c r="AF62" i="15"/>
  <c r="X62" i="15"/>
  <c r="P62" i="15"/>
  <c r="H62" i="15"/>
  <c r="AD31" i="15"/>
  <c r="V31" i="15"/>
  <c r="N31" i="15"/>
  <c r="F31" i="15"/>
  <c r="AB15" i="15"/>
  <c r="T15" i="15"/>
  <c r="L15" i="15"/>
  <c r="D15" i="15"/>
  <c r="W156" i="15"/>
  <c r="E62" i="15"/>
  <c r="Q15" i="15"/>
  <c r="AD221" i="15"/>
  <c r="S94" i="15"/>
  <c r="U204" i="15"/>
  <c r="AC124" i="15"/>
  <c r="F93" i="15"/>
  <c r="Z31" i="15"/>
  <c r="H15" i="15"/>
  <c r="O195" i="15"/>
  <c r="Y196" i="15"/>
  <c r="G188" i="15"/>
  <c r="J189" i="15"/>
  <c r="G221" i="15"/>
  <c r="E205" i="15"/>
  <c r="D173" i="15"/>
  <c r="AF141" i="15"/>
  <c r="AF61" i="13" s="1"/>
  <c r="AF181" i="13" s="1"/>
  <c r="AD125" i="15"/>
  <c r="AB94" i="15"/>
  <c r="Z63" i="15"/>
  <c r="X32" i="15"/>
  <c r="V16" i="15"/>
  <c r="H60" i="13"/>
  <c r="N23" i="15"/>
  <c r="Z22" i="15"/>
  <c r="V220" i="15"/>
  <c r="AC204" i="15"/>
  <c r="K204" i="15"/>
  <c r="R172" i="15"/>
  <c r="Y156" i="15"/>
  <c r="G156" i="15"/>
  <c r="N124" i="15"/>
  <c r="AG93" i="15"/>
  <c r="Y93" i="15"/>
  <c r="Q93" i="15"/>
  <c r="I93" i="15"/>
  <c r="AE62" i="15"/>
  <c r="W62" i="15"/>
  <c r="O62" i="15"/>
  <c r="G62" i="15"/>
  <c r="AC31" i="15"/>
  <c r="U31" i="15"/>
  <c r="M31" i="15"/>
  <c r="E31" i="15"/>
  <c r="AA15" i="15"/>
  <c r="S15" i="15"/>
  <c r="K15" i="15"/>
  <c r="O188" i="15"/>
  <c r="R189" i="15"/>
  <c r="AC205" i="15"/>
  <c r="AB173" i="15"/>
  <c r="X141" i="15"/>
  <c r="X61" i="13" s="1"/>
  <c r="T94" i="15"/>
  <c r="P32" i="15"/>
  <c r="L23" i="15"/>
  <c r="D204" i="15"/>
  <c r="AE93" i="15"/>
  <c r="G93" i="15"/>
  <c r="U62" i="15"/>
  <c r="AG15" i="15"/>
  <c r="W141" i="15"/>
  <c r="W61" i="13" s="1"/>
  <c r="W181" i="13" s="1"/>
  <c r="Q63" i="15"/>
  <c r="AG172" i="15"/>
  <c r="V93" i="15"/>
  <c r="T62" i="15"/>
  <c r="J31" i="15"/>
  <c r="P195" i="15"/>
  <c r="Z196" i="15"/>
  <c r="H188" i="15"/>
  <c r="K189" i="15"/>
  <c r="K88" i="13" s="1"/>
  <c r="K208" i="13" s="1"/>
  <c r="F221" i="15"/>
  <c r="D205" i="15"/>
  <c r="AG157" i="15"/>
  <c r="AE141" i="15"/>
  <c r="AE61" i="13" s="1"/>
  <c r="AE181" i="13" s="1"/>
  <c r="AC125" i="15"/>
  <c r="AA94" i="15"/>
  <c r="Y63" i="15"/>
  <c r="W32" i="15"/>
  <c r="U16" i="15"/>
  <c r="M23" i="15"/>
  <c r="T22" i="15"/>
  <c r="U220" i="15"/>
  <c r="AB204" i="15"/>
  <c r="E204" i="15"/>
  <c r="Q172" i="15"/>
  <c r="X156" i="15"/>
  <c r="AE124" i="15"/>
  <c r="M124" i="15"/>
  <c r="AF93" i="15"/>
  <c r="X93" i="15"/>
  <c r="P93" i="15"/>
  <c r="H93" i="15"/>
  <c r="AD62" i="15"/>
  <c r="V62" i="15"/>
  <c r="N62" i="15"/>
  <c r="F62" i="15"/>
  <c r="AB31" i="15"/>
  <c r="T31" i="15"/>
  <c r="L31" i="15"/>
  <c r="D31" i="15"/>
  <c r="Z15" i="15"/>
  <c r="R15" i="15"/>
  <c r="J15" i="15"/>
  <c r="W195" i="15"/>
  <c r="AG196" i="15"/>
  <c r="AE221" i="15"/>
  <c r="Z157" i="15"/>
  <c r="V125" i="15"/>
  <c r="R63" i="15"/>
  <c r="N16" i="15"/>
  <c r="S22" i="15"/>
  <c r="O220" i="15"/>
  <c r="I124" i="15"/>
  <c r="W93" i="15"/>
  <c r="O93" i="15"/>
  <c r="AC62" i="15"/>
  <c r="K31" i="15"/>
  <c r="I15" i="15"/>
  <c r="X195" i="15"/>
  <c r="U125" i="15"/>
  <c r="O32" i="15"/>
  <c r="N220" i="15"/>
  <c r="H124" i="15"/>
  <c r="N93" i="15"/>
  <c r="D62" i="15"/>
  <c r="P15" i="15"/>
  <c r="AE195" i="15"/>
  <c r="I196" i="15"/>
  <c r="W188" i="15"/>
  <c r="Z189" i="15"/>
  <c r="W221" i="15"/>
  <c r="U205" i="15"/>
  <c r="T173" i="15"/>
  <c r="R157" i="15"/>
  <c r="P141" i="15"/>
  <c r="P61" i="13" s="1"/>
  <c r="P181" i="13" s="1"/>
  <c r="N125" i="15"/>
  <c r="L94" i="15"/>
  <c r="J63" i="15"/>
  <c r="H32" i="15"/>
  <c r="F16" i="15"/>
  <c r="AC23" i="15"/>
  <c r="E23" i="15"/>
  <c r="L22" i="15"/>
  <c r="AE220" i="15"/>
  <c r="M220" i="15"/>
  <c r="T204" i="15"/>
  <c r="AA172" i="15"/>
  <c r="I172" i="15"/>
  <c r="P156" i="15"/>
  <c r="W124" i="15"/>
  <c r="G124" i="15"/>
  <c r="AC93" i="15"/>
  <c r="U93" i="15"/>
  <c r="M93" i="15"/>
  <c r="E93" i="15"/>
  <c r="AA62" i="15"/>
  <c r="S62" i="15"/>
  <c r="K62" i="15"/>
  <c r="AG31" i="15"/>
  <c r="Y31" i="15"/>
  <c r="Q31" i="15"/>
  <c r="I31" i="15"/>
  <c r="AE15" i="15"/>
  <c r="W15" i="15"/>
  <c r="O15" i="15"/>
  <c r="G15" i="15"/>
  <c r="AD15" i="15"/>
  <c r="AB22" i="15"/>
  <c r="I156" i="15"/>
  <c r="AA93" i="15"/>
  <c r="AG62" i="15"/>
  <c r="Q62" i="15"/>
  <c r="AE31" i="15"/>
  <c r="G31" i="15"/>
  <c r="M15" i="15"/>
  <c r="AA204" i="15"/>
  <c r="M62" i="15"/>
  <c r="Y15" i="15"/>
  <c r="S189" i="15"/>
  <c r="S88" i="13" s="1"/>
  <c r="S208" i="13" s="1"/>
  <c r="Y157" i="15"/>
  <c r="F23" i="15"/>
  <c r="Q156" i="15"/>
  <c r="L62" i="15"/>
  <c r="X15" i="15"/>
  <c r="AF195" i="15"/>
  <c r="J196" i="15"/>
  <c r="X188" i="15"/>
  <c r="AA189" i="15"/>
  <c r="V221" i="15"/>
  <c r="T205" i="15"/>
  <c r="S173" i="15"/>
  <c r="Q157" i="15"/>
  <c r="O141" i="15"/>
  <c r="O61" i="13" s="1"/>
  <c r="O181" i="13" s="1"/>
  <c r="M125" i="15"/>
  <c r="K94" i="15"/>
  <c r="I63" i="15"/>
  <c r="G32" i="15"/>
  <c r="E16" i="15"/>
  <c r="Y60" i="13"/>
  <c r="V23" i="15"/>
  <c r="D23" i="15"/>
  <c r="K22" i="15"/>
  <c r="AD220" i="15"/>
  <c r="G220" i="15"/>
  <c r="S204" i="15"/>
  <c r="Z172" i="15"/>
  <c r="AG156" i="15"/>
  <c r="O156" i="15"/>
  <c r="V124" i="15"/>
  <c r="F124" i="15"/>
  <c r="AB93" i="15"/>
  <c r="T93" i="15"/>
  <c r="L93" i="15"/>
  <c r="D93" i="15"/>
  <c r="Z62" i="15"/>
  <c r="R62" i="15"/>
  <c r="J62" i="15"/>
  <c r="AF31" i="15"/>
  <c r="X31" i="15"/>
  <c r="P31" i="15"/>
  <c r="H31" i="15"/>
  <c r="V15" i="15"/>
  <c r="N15" i="15"/>
  <c r="F15" i="15"/>
  <c r="J22" i="15"/>
  <c r="U124" i="15"/>
  <c r="K93" i="15"/>
  <c r="I62" i="15"/>
  <c r="O31" i="15"/>
  <c r="U15" i="15"/>
  <c r="K172" i="15"/>
  <c r="S31" i="15"/>
  <c r="P188" i="15"/>
  <c r="AB205" i="15"/>
  <c r="M16" i="15"/>
  <c r="R22" i="15"/>
  <c r="J172" i="15"/>
  <c r="AB62" i="15"/>
  <c r="AF15" i="15"/>
  <c r="D52" i="12"/>
  <c r="Z88" i="13" l="1"/>
  <c r="Z208" i="13" s="1"/>
  <c r="S87" i="13"/>
  <c r="S90" i="13" s="1"/>
  <c r="H87" i="13"/>
  <c r="Z87" i="13"/>
  <c r="Z207" i="13" s="1"/>
  <c r="G87" i="13"/>
  <c r="G207" i="13" s="1"/>
  <c r="W87" i="13"/>
  <c r="W207" i="13" s="1"/>
  <c r="O87" i="13"/>
  <c r="O207" i="13" s="1"/>
  <c r="P88" i="13"/>
  <c r="P208" i="13" s="1"/>
  <c r="X87" i="13"/>
  <c r="L254" i="13" s="1"/>
  <c r="E88" i="13"/>
  <c r="E208" i="13" s="1"/>
  <c r="L88" i="13"/>
  <c r="L208" i="13" s="1"/>
  <c r="G349" i="9"/>
  <c r="I248" i="9"/>
  <c r="E349" i="9"/>
  <c r="I222" i="9"/>
  <c r="I147" i="9"/>
  <c r="I47" i="9"/>
  <c r="I197" i="9"/>
  <c r="I172" i="9"/>
  <c r="I21" i="9"/>
  <c r="H349" i="9"/>
  <c r="P87" i="13"/>
  <c r="P207" i="13" s="1"/>
  <c r="AA88" i="13"/>
  <c r="AA208" i="13" s="1"/>
  <c r="D87" i="13"/>
  <c r="T88" i="13"/>
  <c r="T208" i="13" s="1"/>
  <c r="X88" i="13"/>
  <c r="AB87" i="13"/>
  <c r="AB207" i="13" s="1"/>
  <c r="X181" i="13"/>
  <c r="I255" i="13"/>
  <c r="X244" i="13"/>
  <c r="P255" i="13"/>
  <c r="D88" i="13"/>
  <c r="D208" i="13" s="1"/>
  <c r="Q180" i="13"/>
  <c r="Q183" i="13" s="1"/>
  <c r="Q63" i="13"/>
  <c r="J180" i="13"/>
  <c r="J183" i="13" s="1"/>
  <c r="J63" i="13"/>
  <c r="AE180" i="13"/>
  <c r="AE183" i="13" s="1"/>
  <c r="AE63" i="13"/>
  <c r="D63" i="13"/>
  <c r="AH61" i="13"/>
  <c r="D181" i="13"/>
  <c r="K243" i="13"/>
  <c r="K246" i="13" s="1"/>
  <c r="K126" i="13"/>
  <c r="AE126" i="13"/>
  <c r="AE243" i="13"/>
  <c r="AE246" i="13" s="1"/>
  <c r="J88" i="13"/>
  <c r="J208" i="13" s="1"/>
  <c r="F207" i="13"/>
  <c r="T87" i="13"/>
  <c r="Q126" i="13"/>
  <c r="Q243" i="13"/>
  <c r="Q246" i="13" s="1"/>
  <c r="X243" i="13"/>
  <c r="X126" i="13"/>
  <c r="P257" i="13" s="1"/>
  <c r="W126" i="13"/>
  <c r="W243" i="13"/>
  <c r="W246" i="13" s="1"/>
  <c r="AD243" i="13"/>
  <c r="AD246" i="13" s="1"/>
  <c r="AD126" i="13"/>
  <c r="AF87" i="13"/>
  <c r="AE87" i="13"/>
  <c r="AG207" i="13"/>
  <c r="O63" i="13"/>
  <c r="O180" i="13"/>
  <c r="O183" i="13" s="1"/>
  <c r="AG64" i="13"/>
  <c r="AG181" i="13"/>
  <c r="AG88" i="13"/>
  <c r="H88" i="13"/>
  <c r="H208" i="13" s="1"/>
  <c r="AC180" i="13"/>
  <c r="AC183" i="13" s="1"/>
  <c r="AC63" i="13"/>
  <c r="L87" i="13"/>
  <c r="D244" i="13"/>
  <c r="AH124" i="13"/>
  <c r="AB243" i="13"/>
  <c r="AB246" i="13" s="1"/>
  <c r="AB126" i="13"/>
  <c r="I126" i="13"/>
  <c r="I243" i="13"/>
  <c r="I246" i="13" s="1"/>
  <c r="P243" i="13"/>
  <c r="P246" i="13" s="1"/>
  <c r="P126" i="13"/>
  <c r="O126" i="13"/>
  <c r="O243" i="13"/>
  <c r="O246" i="13" s="1"/>
  <c r="V243" i="13"/>
  <c r="V246" i="13" s="1"/>
  <c r="V126" i="13"/>
  <c r="R207" i="13"/>
  <c r="Y207" i="13"/>
  <c r="G180" i="13"/>
  <c r="G183" i="13" s="1"/>
  <c r="G63" i="13"/>
  <c r="Y88" i="13"/>
  <c r="Y208" i="13" s="1"/>
  <c r="AC207" i="13"/>
  <c r="AC210" i="13" s="1"/>
  <c r="AC90" i="13"/>
  <c r="U180" i="13"/>
  <c r="U183" i="13" s="1"/>
  <c r="U63" i="13"/>
  <c r="AB180" i="13"/>
  <c r="AB183" i="13" s="1"/>
  <c r="AB63" i="13"/>
  <c r="AD88" i="13"/>
  <c r="AD208" i="13" s="1"/>
  <c r="T243" i="13"/>
  <c r="T246" i="13" s="1"/>
  <c r="T126" i="13"/>
  <c r="H243" i="13"/>
  <c r="H246" i="13" s="1"/>
  <c r="H126" i="13"/>
  <c r="G243" i="13"/>
  <c r="G246" i="13" s="1"/>
  <c r="G126" i="13"/>
  <c r="N243" i="13"/>
  <c r="N246" i="13" s="1"/>
  <c r="N126" i="13"/>
  <c r="AG180" i="13"/>
  <c r="AG63" i="13"/>
  <c r="N207" i="13"/>
  <c r="R243" i="13"/>
  <c r="R246" i="13" s="1"/>
  <c r="R126" i="13"/>
  <c r="J243" i="13"/>
  <c r="J246" i="13" s="1"/>
  <c r="J126" i="13"/>
  <c r="Y180" i="13"/>
  <c r="Y183" i="13" s="1"/>
  <c r="Y63" i="13"/>
  <c r="J207" i="13"/>
  <c r="Q207" i="13"/>
  <c r="Q88" i="13"/>
  <c r="Q208" i="13" s="1"/>
  <c r="AD180" i="13"/>
  <c r="AD183" i="13" s="1"/>
  <c r="AD63" i="13"/>
  <c r="U207" i="13"/>
  <c r="U210" i="13" s="1"/>
  <c r="U90" i="13"/>
  <c r="M180" i="13"/>
  <c r="M183" i="13" s="1"/>
  <c r="M63" i="13"/>
  <c r="AE88" i="13"/>
  <c r="AE208" i="13" s="1"/>
  <c r="T180" i="13"/>
  <c r="T183" i="13" s="1"/>
  <c r="T63" i="13"/>
  <c r="V88" i="13"/>
  <c r="V208" i="13" s="1"/>
  <c r="L243" i="13"/>
  <c r="L246" i="13" s="1"/>
  <c r="L126" i="13"/>
  <c r="F243" i="13"/>
  <c r="F246" i="13" s="1"/>
  <c r="F126" i="13"/>
  <c r="AC126" i="13"/>
  <c r="AC243" i="13"/>
  <c r="AC246" i="13" s="1"/>
  <c r="AF243" i="13"/>
  <c r="AF246" i="13" s="1"/>
  <c r="AF126" i="13"/>
  <c r="D180" i="13"/>
  <c r="AH60" i="13"/>
  <c r="R88" i="13"/>
  <c r="R208" i="13" s="1"/>
  <c r="I207" i="13"/>
  <c r="I88" i="13"/>
  <c r="I208" i="13" s="1"/>
  <c r="V180" i="13"/>
  <c r="V183" i="13" s="1"/>
  <c r="V63" i="13"/>
  <c r="M90" i="13"/>
  <c r="M207" i="13"/>
  <c r="M210" i="13" s="1"/>
  <c r="E180" i="13"/>
  <c r="E183" i="13" s="1"/>
  <c r="E63" i="13"/>
  <c r="W88" i="13"/>
  <c r="W208" i="13" s="1"/>
  <c r="L180" i="13"/>
  <c r="L183" i="13" s="1"/>
  <c r="L63" i="13"/>
  <c r="N88" i="13"/>
  <c r="N208" i="13" s="1"/>
  <c r="D126" i="13"/>
  <c r="D243" i="13"/>
  <c r="AH123" i="13"/>
  <c r="AG244" i="13"/>
  <c r="U126" i="13"/>
  <c r="U243" i="13"/>
  <c r="U246" i="13" s="1"/>
  <c r="K180" i="13"/>
  <c r="K183" i="13" s="1"/>
  <c r="K63" i="13"/>
  <c r="H207" i="13"/>
  <c r="P180" i="13"/>
  <c r="P183" i="13" s="1"/>
  <c r="P63" i="13"/>
  <c r="I180" i="13"/>
  <c r="I183" i="13" s="1"/>
  <c r="I63" i="13"/>
  <c r="AA180" i="13"/>
  <c r="AA183" i="13" s="1"/>
  <c r="AA63" i="13"/>
  <c r="Z180" i="13"/>
  <c r="Z183" i="13" s="1"/>
  <c r="Z63" i="13"/>
  <c r="AD207" i="13"/>
  <c r="N180" i="13"/>
  <c r="N183" i="13" s="1"/>
  <c r="N63" i="13"/>
  <c r="E207" i="13"/>
  <c r="O88" i="13"/>
  <c r="O208" i="13" s="1"/>
  <c r="F88" i="13"/>
  <c r="F208" i="13" s="1"/>
  <c r="AA243" i="13"/>
  <c r="AA246" i="13" s="1"/>
  <c r="AA126" i="13"/>
  <c r="M126" i="13"/>
  <c r="M243" i="13"/>
  <c r="M246" i="13" s="1"/>
  <c r="AF180" i="13"/>
  <c r="AF183" i="13" s="1"/>
  <c r="AF63" i="13"/>
  <c r="Y126" i="13"/>
  <c r="Y243" i="13"/>
  <c r="Y246" i="13" s="1"/>
  <c r="W63" i="13"/>
  <c r="W180" i="13"/>
  <c r="W183" i="13" s="1"/>
  <c r="K87" i="13"/>
  <c r="X180" i="13"/>
  <c r="X63" i="13"/>
  <c r="I257" i="13" s="1"/>
  <c r="H180" i="13"/>
  <c r="H183" i="13" s="1"/>
  <c r="H63" i="13"/>
  <c r="S63" i="13"/>
  <c r="S180" i="13"/>
  <c r="S183" i="13" s="1"/>
  <c r="R180" i="13"/>
  <c r="R183" i="13" s="1"/>
  <c r="R63" i="13"/>
  <c r="AB88" i="13"/>
  <c r="AB208" i="13" s="1"/>
  <c r="V207" i="13"/>
  <c r="F180" i="13"/>
  <c r="F183" i="13" s="1"/>
  <c r="F63" i="13"/>
  <c r="AF88" i="13"/>
  <c r="AF208" i="13" s="1"/>
  <c r="G88" i="13"/>
  <c r="G208" i="13" s="1"/>
  <c r="AA87" i="13"/>
  <c r="S243" i="13"/>
  <c r="S246" i="13" s="1"/>
  <c r="S126" i="13"/>
  <c r="Z243" i="13"/>
  <c r="Z246" i="13" s="1"/>
  <c r="Z126" i="13"/>
  <c r="AG127" i="13"/>
  <c r="AG243" i="13"/>
  <c r="AG126" i="13"/>
  <c r="E126" i="13"/>
  <c r="E243" i="13"/>
  <c r="E246" i="13" s="1"/>
  <c r="Q213" i="15"/>
  <c r="N213" i="15"/>
  <c r="AF213" i="15"/>
  <c r="O213" i="15"/>
  <c r="X213" i="15"/>
  <c r="D213" i="15"/>
  <c r="F213" i="15"/>
  <c r="Z213" i="15"/>
  <c r="AG213" i="15"/>
  <c r="AB213" i="15"/>
  <c r="W213" i="15"/>
  <c r="T213" i="15"/>
  <c r="G213" i="15"/>
  <c r="P213" i="15"/>
  <c r="V213" i="15"/>
  <c r="I213" i="15"/>
  <c r="AA213" i="15"/>
  <c r="H213" i="15"/>
  <c r="M213" i="15"/>
  <c r="AE213" i="15"/>
  <c r="E213" i="15"/>
  <c r="Y213" i="15"/>
  <c r="AD213" i="15"/>
  <c r="L213" i="15"/>
  <c r="U213" i="15"/>
  <c r="J213" i="15"/>
  <c r="S213" i="15"/>
  <c r="R213" i="15"/>
  <c r="AC213" i="15"/>
  <c r="K213" i="15"/>
  <c r="S207" i="13" l="1"/>
  <c r="S210" i="13" s="1"/>
  <c r="Z90" i="13"/>
  <c r="Z210" i="13"/>
  <c r="X183" i="13"/>
  <c r="P210" i="13"/>
  <c r="E210" i="13"/>
  <c r="E90" i="13"/>
  <c r="AG91" i="13"/>
  <c r="AG90" i="13"/>
  <c r="AH127" i="13"/>
  <c r="X207" i="13"/>
  <c r="D90" i="13"/>
  <c r="D207" i="13"/>
  <c r="D210" i="13" s="1"/>
  <c r="Q181" i="15"/>
  <c r="R181" i="15"/>
  <c r="G181" i="15"/>
  <c r="AE181" i="15"/>
  <c r="Y181" i="15"/>
  <c r="Z181" i="15"/>
  <c r="E181" i="15"/>
  <c r="AG181" i="15"/>
  <c r="D181" i="15"/>
  <c r="M181" i="15"/>
  <c r="H181" i="15"/>
  <c r="K181" i="15"/>
  <c r="S181" i="15"/>
  <c r="U181" i="15"/>
  <c r="AF181" i="15"/>
  <c r="O181" i="15"/>
  <c r="AB181" i="15"/>
  <c r="W181" i="15"/>
  <c r="AA181" i="15"/>
  <c r="F181" i="15"/>
  <c r="N181" i="15"/>
  <c r="J181" i="15"/>
  <c r="L181" i="15"/>
  <c r="T181" i="15"/>
  <c r="X181" i="15"/>
  <c r="AC181" i="15"/>
  <c r="I181" i="15"/>
  <c r="V181" i="15"/>
  <c r="P181" i="15"/>
  <c r="AD181" i="15"/>
  <c r="AC273" i="15"/>
  <c r="AE273" i="15"/>
  <c r="AG273" i="15"/>
  <c r="AA273" i="15"/>
  <c r="F273" i="15"/>
  <c r="H273" i="15"/>
  <c r="J273" i="15"/>
  <c r="L273" i="15"/>
  <c r="N273" i="15"/>
  <c r="P273" i="15"/>
  <c r="Z273" i="15"/>
  <c r="E273" i="15"/>
  <c r="X273" i="15"/>
  <c r="K273" i="15"/>
  <c r="M273" i="15"/>
  <c r="AF273" i="15"/>
  <c r="S273" i="15"/>
  <c r="U273" i="15"/>
  <c r="I273" i="15"/>
  <c r="AB273" i="15"/>
  <c r="V273" i="15"/>
  <c r="Q273" i="15"/>
  <c r="O273" i="15"/>
  <c r="D273" i="15"/>
  <c r="W273" i="15"/>
  <c r="T273" i="15"/>
  <c r="G273" i="15"/>
  <c r="Y273" i="15"/>
  <c r="R273" i="15"/>
  <c r="AD273" i="15"/>
  <c r="S276" i="15"/>
  <c r="U276" i="15"/>
  <c r="W276" i="15"/>
  <c r="I276" i="15"/>
  <c r="AA276" i="15"/>
  <c r="AC276" i="15"/>
  <c r="AE276" i="15"/>
  <c r="Q276" i="15"/>
  <c r="AB276" i="15"/>
  <c r="AD276" i="15"/>
  <c r="H276" i="15"/>
  <c r="AG276" i="15"/>
  <c r="N276" i="15"/>
  <c r="AF276" i="15"/>
  <c r="F276" i="15"/>
  <c r="R276" i="15"/>
  <c r="K276" i="15"/>
  <c r="V276" i="15"/>
  <c r="Y276" i="15"/>
  <c r="L276" i="15"/>
  <c r="G276" i="15"/>
  <c r="J276" i="15"/>
  <c r="E276" i="15"/>
  <c r="P276" i="15"/>
  <c r="M276" i="15"/>
  <c r="X276" i="15"/>
  <c r="T276" i="15"/>
  <c r="D276" i="15"/>
  <c r="O276" i="15"/>
  <c r="Z276" i="15"/>
  <c r="E197" i="15"/>
  <c r="Q197" i="15"/>
  <c r="AE197" i="15"/>
  <c r="I197" i="15"/>
  <c r="AF197" i="15"/>
  <c r="W197" i="15"/>
  <c r="L197" i="15"/>
  <c r="P197" i="15"/>
  <c r="G197" i="15"/>
  <c r="K197" i="15"/>
  <c r="R197" i="15"/>
  <c r="AB197" i="15"/>
  <c r="Z197" i="15"/>
  <c r="O197" i="15"/>
  <c r="AA197" i="15"/>
  <c r="J197" i="15"/>
  <c r="S197" i="15"/>
  <c r="AG197" i="15"/>
  <c r="AC197" i="15"/>
  <c r="T197" i="15"/>
  <c r="X197" i="15"/>
  <c r="D197" i="15"/>
  <c r="N197" i="15"/>
  <c r="H197" i="15"/>
  <c r="M197" i="15"/>
  <c r="V197" i="15"/>
  <c r="Y197" i="15"/>
  <c r="AD197" i="15"/>
  <c r="F197" i="15"/>
  <c r="U197" i="15"/>
  <c r="P90" i="13"/>
  <c r="T206" i="15"/>
  <c r="D206" i="15"/>
  <c r="X33" i="15"/>
  <c r="AB95" i="15"/>
  <c r="AF142" i="15"/>
  <c r="E206" i="15"/>
  <c r="AD190" i="15"/>
  <c r="Q33" i="15"/>
  <c r="U95" i="15"/>
  <c r="Y142" i="15"/>
  <c r="AC174" i="15"/>
  <c r="AF222" i="15"/>
  <c r="AF17" i="15"/>
  <c r="F95" i="15"/>
  <c r="J142" i="15"/>
  <c r="N174" i="15"/>
  <c r="Q222" i="15"/>
  <c r="AC17" i="15"/>
  <c r="I17" i="15"/>
  <c r="M64" i="15"/>
  <c r="Q126" i="15"/>
  <c r="U158" i="15"/>
  <c r="X206" i="15"/>
  <c r="K190" i="15"/>
  <c r="G190" i="15"/>
  <c r="J17" i="15"/>
  <c r="N64" i="15"/>
  <c r="R126" i="15"/>
  <c r="V158" i="15"/>
  <c r="Y206" i="15"/>
  <c r="AE142" i="15"/>
  <c r="D254" i="15"/>
  <c r="AE254" i="15"/>
  <c r="Q254" i="15"/>
  <c r="T254" i="15"/>
  <c r="O238" i="15"/>
  <c r="O116" i="13" s="1"/>
  <c r="O236" i="13" s="1"/>
  <c r="W238" i="15"/>
  <c r="W116" i="13" s="1"/>
  <c r="W236" i="13" s="1"/>
  <c r="U238" i="15"/>
  <c r="U116" i="13" s="1"/>
  <c r="V222" i="15"/>
  <c r="AF33" i="15"/>
  <c r="F126" i="15"/>
  <c r="J158" i="15"/>
  <c r="M206" i="15"/>
  <c r="V190" i="15"/>
  <c r="Y33" i="15"/>
  <c r="AC95" i="15"/>
  <c r="AG142" i="15"/>
  <c r="F206" i="15"/>
  <c r="AC190" i="15"/>
  <c r="W33" i="15"/>
  <c r="J33" i="15"/>
  <c r="N95" i="15"/>
  <c r="R142" i="15"/>
  <c r="V174" i="15"/>
  <c r="Y222" i="15"/>
  <c r="K95" i="15"/>
  <c r="Q17" i="15"/>
  <c r="U64" i="15"/>
  <c r="Y126" i="15"/>
  <c r="AC158" i="15"/>
  <c r="AF206" i="15"/>
  <c r="R17" i="15"/>
  <c r="V64" i="15"/>
  <c r="Z126" i="15"/>
  <c r="AD158" i="15"/>
  <c r="AG206" i="15"/>
  <c r="S174" i="15"/>
  <c r="F254" i="15"/>
  <c r="L238" i="15"/>
  <c r="L116" i="13" s="1"/>
  <c r="Y254" i="15"/>
  <c r="K254" i="15"/>
  <c r="H238" i="15"/>
  <c r="H116" i="13" s="1"/>
  <c r="P238" i="15"/>
  <c r="P116" i="13" s="1"/>
  <c r="AF238" i="15"/>
  <c r="AF116" i="13" s="1"/>
  <c r="AD222" i="15"/>
  <c r="F17" i="15"/>
  <c r="J64" i="15"/>
  <c r="N126" i="15"/>
  <c r="R158" i="15"/>
  <c r="U206" i="15"/>
  <c r="N190" i="15"/>
  <c r="G33" i="15"/>
  <c r="N17" i="15"/>
  <c r="R64" i="15"/>
  <c r="V126" i="15"/>
  <c r="Z158" i="15"/>
  <c r="AC206" i="15"/>
  <c r="F190" i="15"/>
  <c r="Y64" i="15"/>
  <c r="G17" i="15"/>
  <c r="K64" i="15"/>
  <c r="O126" i="15"/>
  <c r="S158" i="15"/>
  <c r="V206" i="15"/>
  <c r="M190" i="15"/>
  <c r="M89" i="13" s="1"/>
  <c r="M209" i="13" s="1"/>
  <c r="Y158" i="15"/>
  <c r="Z33" i="15"/>
  <c r="AD95" i="15"/>
  <c r="D158" i="15"/>
  <c r="G206" i="15"/>
  <c r="AB190" i="15"/>
  <c r="AB89" i="13" s="1"/>
  <c r="AB209" i="13" s="1"/>
  <c r="U126" i="15"/>
  <c r="AG17" i="15"/>
  <c r="G95" i="15"/>
  <c r="K142" i="15"/>
  <c r="O174" i="15"/>
  <c r="R222" i="15"/>
  <c r="M17" i="15"/>
  <c r="D33" i="15"/>
  <c r="H95" i="15"/>
  <c r="L142" i="15"/>
  <c r="P174" i="15"/>
  <c r="S222" i="15"/>
  <c r="AE190" i="15"/>
  <c r="V254" i="15"/>
  <c r="P254" i="15"/>
  <c r="Q238" i="15"/>
  <c r="Q116" i="13" s="1"/>
  <c r="AA254" i="15"/>
  <c r="AC238" i="15"/>
  <c r="AC116" i="13" s="1"/>
  <c r="J190" i="15"/>
  <c r="O142" i="15"/>
  <c r="H33" i="15"/>
  <c r="L95" i="15"/>
  <c r="P142" i="15"/>
  <c r="T174" i="15"/>
  <c r="W222" i="15"/>
  <c r="I158" i="15"/>
  <c r="AE17" i="15"/>
  <c r="E95" i="15"/>
  <c r="I142" i="15"/>
  <c r="M174" i="15"/>
  <c r="P222" i="15"/>
  <c r="P17" i="15"/>
  <c r="T64" i="15"/>
  <c r="T95" i="15"/>
  <c r="O222" i="15"/>
  <c r="S64" i="15"/>
  <c r="AA158" i="15"/>
  <c r="E190" i="15"/>
  <c r="E89" i="13" s="1"/>
  <c r="E209" i="13" s="1"/>
  <c r="AB64" i="15"/>
  <c r="T158" i="15"/>
  <c r="AG222" i="15"/>
  <c r="AA33" i="15"/>
  <c r="S142" i="15"/>
  <c r="P206" i="15"/>
  <c r="Z17" i="15"/>
  <c r="AF95" i="15"/>
  <c r="X174" i="15"/>
  <c r="R190" i="15"/>
  <c r="M254" i="15"/>
  <c r="H254" i="15"/>
  <c r="Z254" i="15"/>
  <c r="T238" i="15"/>
  <c r="T116" i="13" s="1"/>
  <c r="AA238" i="15"/>
  <c r="AA116" i="13" s="1"/>
  <c r="AA236" i="13" s="1"/>
  <c r="U33" i="15"/>
  <c r="Y95" i="15"/>
  <c r="AC142" i="15"/>
  <c r="AG174" i="15"/>
  <c r="AG190" i="15"/>
  <c r="AG89" i="13" s="1"/>
  <c r="AG209" i="13" s="1"/>
  <c r="AA95" i="15"/>
  <c r="AD33" i="15"/>
  <c r="D126" i="15"/>
  <c r="H158" i="15"/>
  <c r="K206" i="15"/>
  <c r="X190" i="15"/>
  <c r="AD126" i="15"/>
  <c r="AE222" i="15"/>
  <c r="AA64" i="15"/>
  <c r="E174" i="15"/>
  <c r="V95" i="15"/>
  <c r="AB158" i="15"/>
  <c r="T190" i="15"/>
  <c r="E126" i="15"/>
  <c r="E64" i="15"/>
  <c r="AA142" i="15"/>
  <c r="J222" i="15"/>
  <c r="L33" i="15"/>
  <c r="J126" i="15"/>
  <c r="AF174" i="15"/>
  <c r="U254" i="15"/>
  <c r="X254" i="15"/>
  <c r="I238" i="15"/>
  <c r="I116" i="13" s="1"/>
  <c r="AB238" i="15"/>
  <c r="AB116" i="13" s="1"/>
  <c r="G238" i="15"/>
  <c r="G116" i="13" s="1"/>
  <c r="G236" i="13" s="1"/>
  <c r="AC33" i="15"/>
  <c r="AG95" i="15"/>
  <c r="G158" i="15"/>
  <c r="J206" i="15"/>
  <c r="Y190" i="15"/>
  <c r="M126" i="15"/>
  <c r="D17" i="15"/>
  <c r="H64" i="15"/>
  <c r="L126" i="15"/>
  <c r="P158" i="15"/>
  <c r="S206" i="15"/>
  <c r="P190" i="15"/>
  <c r="E17" i="15"/>
  <c r="H142" i="15"/>
  <c r="M95" i="15"/>
  <c r="U174" i="15"/>
  <c r="H126" i="15"/>
  <c r="F174" i="15"/>
  <c r="L190" i="15"/>
  <c r="K174" i="15"/>
  <c r="AC64" i="15"/>
  <c r="E158" i="15"/>
  <c r="Z222" i="15"/>
  <c r="T33" i="15"/>
  <c r="D142" i="15"/>
  <c r="I206" i="15"/>
  <c r="AC254" i="15"/>
  <c r="AF254" i="15"/>
  <c r="S254" i="15"/>
  <c r="D238" i="15"/>
  <c r="AD238" i="15"/>
  <c r="AD116" i="13" s="1"/>
  <c r="G64" i="15"/>
  <c r="K126" i="15"/>
  <c r="O158" i="15"/>
  <c r="R206" i="15"/>
  <c r="Q190" i="15"/>
  <c r="Q158" i="15"/>
  <c r="L17" i="15"/>
  <c r="P64" i="15"/>
  <c r="T126" i="15"/>
  <c r="X158" i="15"/>
  <c r="AA206" i="15"/>
  <c r="H190" i="15"/>
  <c r="AG158" i="15"/>
  <c r="Q64" i="15"/>
  <c r="V17" i="15"/>
  <c r="X142" i="15"/>
  <c r="G126" i="15"/>
  <c r="N206" i="15"/>
  <c r="W142" i="15"/>
  <c r="H17" i="15"/>
  <c r="P126" i="15"/>
  <c r="AD174" i="15"/>
  <c r="AB206" i="15"/>
  <c r="O95" i="15"/>
  <c r="M158" i="15"/>
  <c r="AG238" i="15"/>
  <c r="AG116" i="13" s="1"/>
  <c r="AE33" i="15"/>
  <c r="AB33" i="15"/>
  <c r="T142" i="15"/>
  <c r="Q206" i="15"/>
  <c r="N254" i="15"/>
  <c r="Y238" i="15"/>
  <c r="Y116" i="13" s="1"/>
  <c r="L254" i="15"/>
  <c r="E238" i="15"/>
  <c r="E116" i="13" s="1"/>
  <c r="V238" i="15"/>
  <c r="V116" i="13" s="1"/>
  <c r="K17" i="15"/>
  <c r="O64" i="15"/>
  <c r="S126" i="15"/>
  <c r="W158" i="15"/>
  <c r="Z206" i="15"/>
  <c r="I190" i="15"/>
  <c r="T17" i="15"/>
  <c r="X64" i="15"/>
  <c r="AB126" i="15"/>
  <c r="AF158" i="15"/>
  <c r="E222" i="15"/>
  <c r="Z64" i="15"/>
  <c r="AB174" i="15"/>
  <c r="AC126" i="15"/>
  <c r="I33" i="15"/>
  <c r="Q142" i="15"/>
  <c r="X222" i="15"/>
  <c r="D64" i="15"/>
  <c r="Z142" i="15"/>
  <c r="AE206" i="15"/>
  <c r="K33" i="15"/>
  <c r="I126" i="15"/>
  <c r="AE174" i="15"/>
  <c r="N222" i="15"/>
  <c r="P95" i="15"/>
  <c r="N158" i="15"/>
  <c r="F222" i="15"/>
  <c r="O254" i="15"/>
  <c r="J254" i="15"/>
  <c r="K238" i="15"/>
  <c r="K116" i="13" s="1"/>
  <c r="K236" i="13" s="1"/>
  <c r="AE238" i="15"/>
  <c r="AE116" i="13" s="1"/>
  <c r="AE236" i="13" s="1"/>
  <c r="J238" i="15"/>
  <c r="J116" i="13" s="1"/>
  <c r="E33" i="15"/>
  <c r="I95" i="15"/>
  <c r="M142" i="15"/>
  <c r="Q174" i="15"/>
  <c r="T222" i="15"/>
  <c r="U17" i="15"/>
  <c r="N33" i="15"/>
  <c r="R95" i="15"/>
  <c r="V142" i="15"/>
  <c r="Z174" i="15"/>
  <c r="AC222" i="15"/>
  <c r="D95" i="15"/>
  <c r="G222" i="15"/>
  <c r="L206" i="15"/>
  <c r="AG33" i="15"/>
  <c r="K158" i="15"/>
  <c r="U190" i="15"/>
  <c r="L64" i="15"/>
  <c r="L158" i="15"/>
  <c r="I222" i="15"/>
  <c r="S33" i="15"/>
  <c r="AG126" i="15"/>
  <c r="H206" i="15"/>
  <c r="X95" i="15"/>
  <c r="H174" i="15"/>
  <c r="D174" i="15"/>
  <c r="W190" i="15"/>
  <c r="X126" i="15"/>
  <c r="Y17" i="15"/>
  <c r="AD64" i="15"/>
  <c r="E254" i="15"/>
  <c r="R238" i="15"/>
  <c r="R116" i="13" s="1"/>
  <c r="W64" i="15"/>
  <c r="Y174" i="15"/>
  <c r="AB17" i="15"/>
  <c r="AD142" i="15"/>
  <c r="J95" i="15"/>
  <c r="Z190" i="15"/>
  <c r="L174" i="15"/>
  <c r="AF126" i="15"/>
  <c r="W95" i="15"/>
  <c r="AB142" i="15"/>
  <c r="AD254" i="15"/>
  <c r="X238" i="15"/>
  <c r="X116" i="13" s="1"/>
  <c r="N256" i="13" s="1"/>
  <c r="AE64" i="15"/>
  <c r="D222" i="15"/>
  <c r="F33" i="15"/>
  <c r="J174" i="15"/>
  <c r="U142" i="15"/>
  <c r="U222" i="15"/>
  <c r="O17" i="15"/>
  <c r="O206" i="15"/>
  <c r="O190" i="15"/>
  <c r="O89" i="13" s="1"/>
  <c r="O209" i="13" s="1"/>
  <c r="AE95" i="15"/>
  <c r="F158" i="15"/>
  <c r="G254" i="15"/>
  <c r="Z238" i="15"/>
  <c r="Z116" i="13" s="1"/>
  <c r="Q95" i="15"/>
  <c r="L222" i="15"/>
  <c r="I64" i="15"/>
  <c r="V33" i="15"/>
  <c r="R174" i="15"/>
  <c r="M222" i="15"/>
  <c r="AE126" i="15"/>
  <c r="AA190" i="15"/>
  <c r="AA89" i="13" s="1"/>
  <c r="AA209" i="13" s="1"/>
  <c r="AG254" i="15"/>
  <c r="Z95" i="15"/>
  <c r="S95" i="15"/>
  <c r="W17" i="15"/>
  <c r="W206" i="15"/>
  <c r="G174" i="15"/>
  <c r="G142" i="15"/>
  <c r="K222" i="15"/>
  <c r="W254" i="15"/>
  <c r="M238" i="15"/>
  <c r="M116" i="13" s="1"/>
  <c r="AA126" i="15"/>
  <c r="AB222" i="15"/>
  <c r="AF64" i="15"/>
  <c r="D190" i="15"/>
  <c r="W174" i="15"/>
  <c r="AA174" i="15"/>
  <c r="AA222" i="15"/>
  <c r="I254" i="15"/>
  <c r="S238" i="15"/>
  <c r="S116" i="13" s="1"/>
  <c r="S236" i="13" s="1"/>
  <c r="E142" i="15"/>
  <c r="F238" i="15"/>
  <c r="F116" i="13" s="1"/>
  <c r="S17" i="15"/>
  <c r="W126" i="15"/>
  <c r="AD17" i="15"/>
  <c r="AD206" i="15"/>
  <c r="X17" i="15"/>
  <c r="S190" i="15"/>
  <c r="S89" i="13" s="1"/>
  <c r="S209" i="13" s="1"/>
  <c r="O33" i="15"/>
  <c r="R254" i="15"/>
  <c r="N238" i="15"/>
  <c r="N116" i="13" s="1"/>
  <c r="AA17" i="15"/>
  <c r="AE158" i="15"/>
  <c r="F142" i="15"/>
  <c r="AF190" i="15"/>
  <c r="P33" i="15"/>
  <c r="H222" i="15"/>
  <c r="R33" i="15"/>
  <c r="F64" i="15"/>
  <c r="AG64" i="15"/>
  <c r="AB254" i="15"/>
  <c r="M33" i="15"/>
  <c r="I174" i="15"/>
  <c r="N142" i="15"/>
  <c r="L149" i="15"/>
  <c r="AC149" i="15"/>
  <c r="S149" i="15"/>
  <c r="T149" i="15"/>
  <c r="J149" i="15"/>
  <c r="G149" i="15"/>
  <c r="Q149" i="15"/>
  <c r="H149" i="15"/>
  <c r="H62" i="13" s="1"/>
  <c r="H182" i="13" s="1"/>
  <c r="F149" i="15"/>
  <c r="W149" i="15"/>
  <c r="AA149" i="15"/>
  <c r="N149" i="15"/>
  <c r="Z149" i="15"/>
  <c r="D149" i="15"/>
  <c r="V149" i="15"/>
  <c r="AB149" i="15"/>
  <c r="AD149" i="15"/>
  <c r="AF149" i="15"/>
  <c r="X149" i="15"/>
  <c r="Y149" i="15"/>
  <c r="U149" i="15"/>
  <c r="P149" i="15"/>
  <c r="AG149" i="15"/>
  <c r="K149" i="15"/>
  <c r="R149" i="15"/>
  <c r="O149" i="15"/>
  <c r="AE149" i="15"/>
  <c r="I149" i="15"/>
  <c r="E149" i="15"/>
  <c r="M149" i="15"/>
  <c r="L165" i="15"/>
  <c r="AD165" i="15"/>
  <c r="O165" i="15"/>
  <c r="Y165" i="15"/>
  <c r="T165" i="15"/>
  <c r="G165" i="15"/>
  <c r="R165" i="15"/>
  <c r="AG165" i="15"/>
  <c r="AB165" i="15"/>
  <c r="W165" i="15"/>
  <c r="K165" i="15"/>
  <c r="Z165" i="15"/>
  <c r="E165" i="15"/>
  <c r="AE165" i="15"/>
  <c r="H165" i="15"/>
  <c r="S165" i="15"/>
  <c r="AC165" i="15"/>
  <c r="F165" i="15"/>
  <c r="I165" i="15"/>
  <c r="U165" i="15"/>
  <c r="D165" i="15"/>
  <c r="V165" i="15"/>
  <c r="AA165" i="15"/>
  <c r="AF165" i="15"/>
  <c r="P165" i="15"/>
  <c r="J165" i="15"/>
  <c r="N165" i="15"/>
  <c r="X165" i="15"/>
  <c r="M165" i="15"/>
  <c r="Q165" i="15"/>
  <c r="R24" i="15"/>
  <c r="K24" i="15"/>
  <c r="M24" i="15"/>
  <c r="O24" i="15"/>
  <c r="S24" i="15"/>
  <c r="U24" i="15"/>
  <c r="W24" i="15"/>
  <c r="AE24" i="15"/>
  <c r="J24" i="15"/>
  <c r="AA24" i="15"/>
  <c r="AC24" i="15"/>
  <c r="N24" i="15"/>
  <c r="T24" i="15"/>
  <c r="AB24" i="15"/>
  <c r="AG24" i="15"/>
  <c r="V24" i="15"/>
  <c r="AD24" i="15"/>
  <c r="H24" i="15"/>
  <c r="P24" i="15"/>
  <c r="L24" i="15"/>
  <c r="G24" i="15"/>
  <c r="Z24" i="15"/>
  <c r="I24" i="15"/>
  <c r="E24" i="15"/>
  <c r="X24" i="15"/>
  <c r="Q24" i="15"/>
  <c r="F24" i="15"/>
  <c r="AF24" i="15"/>
  <c r="Y24" i="15"/>
  <c r="D24" i="15"/>
  <c r="U133" i="15"/>
  <c r="F133" i="15"/>
  <c r="AG133" i="15"/>
  <c r="AC133" i="15"/>
  <c r="N133" i="15"/>
  <c r="V133" i="15"/>
  <c r="D133" i="15"/>
  <c r="AD133" i="15"/>
  <c r="O133" i="15"/>
  <c r="T133" i="15"/>
  <c r="E133" i="15"/>
  <c r="X133" i="15"/>
  <c r="G133" i="15"/>
  <c r="AF133" i="15"/>
  <c r="J133" i="15"/>
  <c r="AA133" i="15"/>
  <c r="W133" i="15"/>
  <c r="R133" i="15"/>
  <c r="M133" i="15"/>
  <c r="AE133" i="15"/>
  <c r="I133" i="15"/>
  <c r="Z133" i="15"/>
  <c r="K133" i="15"/>
  <c r="H133" i="15"/>
  <c r="AB133" i="15"/>
  <c r="L133" i="15"/>
  <c r="P133" i="15"/>
  <c r="S133" i="15"/>
  <c r="Q133" i="15"/>
  <c r="Y133" i="15"/>
  <c r="X208" i="13"/>
  <c r="L255" i="13"/>
  <c r="X246" i="13"/>
  <c r="X90" i="13"/>
  <c r="L257" i="13" s="1"/>
  <c r="Q90" i="13"/>
  <c r="AD90" i="13"/>
  <c r="Y210" i="13"/>
  <c r="H210" i="13"/>
  <c r="AD210" i="13"/>
  <c r="Q210" i="13"/>
  <c r="N210" i="13"/>
  <c r="O210" i="13"/>
  <c r="AH88" i="13"/>
  <c r="O90" i="13"/>
  <c r="V90" i="13"/>
  <c r="I90" i="13"/>
  <c r="V210" i="13"/>
  <c r="AA207" i="13"/>
  <c r="AA210" i="13" s="1"/>
  <c r="AA90" i="13"/>
  <c r="H295" i="13"/>
  <c r="H302" i="13" s="1"/>
  <c r="I262" i="13"/>
  <c r="I275" i="13" s="1"/>
  <c r="AG247" i="13"/>
  <c r="AG246" i="13"/>
  <c r="H90" i="13"/>
  <c r="D246" i="13"/>
  <c r="AH243" i="13"/>
  <c r="W90" i="13"/>
  <c r="AG183" i="13"/>
  <c r="T207" i="13"/>
  <c r="T210" i="13" s="1"/>
  <c r="T90" i="13"/>
  <c r="D183" i="13"/>
  <c r="AH126" i="13"/>
  <c r="W210" i="13"/>
  <c r="J90" i="13"/>
  <c r="AH244" i="13"/>
  <c r="F90" i="13"/>
  <c r="AH64" i="13"/>
  <c r="AB90" i="13"/>
  <c r="J294" i="13"/>
  <c r="J301" i="13" s="1"/>
  <c r="L261" i="13"/>
  <c r="M294" i="13"/>
  <c r="M301" i="13" s="1"/>
  <c r="K207" i="13"/>
  <c r="K210" i="13" s="1"/>
  <c r="K90" i="13"/>
  <c r="J210" i="13"/>
  <c r="Y90" i="13"/>
  <c r="L207" i="13"/>
  <c r="L210" i="13" s="1"/>
  <c r="L90" i="13"/>
  <c r="AE207" i="13"/>
  <c r="AE210" i="13" s="1"/>
  <c r="AE90" i="13"/>
  <c r="F210" i="13"/>
  <c r="AH63" i="13"/>
  <c r="AB210" i="13"/>
  <c r="AF207" i="13"/>
  <c r="AF210" i="13" s="1"/>
  <c r="AF90" i="13"/>
  <c r="N90" i="13"/>
  <c r="R90" i="13"/>
  <c r="G90" i="13"/>
  <c r="M295" i="13"/>
  <c r="M302" i="13" s="1"/>
  <c r="P262" i="13"/>
  <c r="P275" i="13" s="1"/>
  <c r="G210" i="13"/>
  <c r="AH87" i="13"/>
  <c r="R210" i="13"/>
  <c r="I210" i="13"/>
  <c r="H294" i="13"/>
  <c r="H301" i="13" s="1"/>
  <c r="I261" i="13"/>
  <c r="AG208" i="13"/>
  <c r="AG210" i="13" s="1"/>
  <c r="D59" i="11"/>
  <c r="E59" i="11"/>
  <c r="F59" i="11"/>
  <c r="G59" i="11"/>
  <c r="H59" i="11"/>
  <c r="I59" i="11"/>
  <c r="J59" i="11"/>
  <c r="K59" i="11"/>
  <c r="L59" i="11"/>
  <c r="M59" i="11"/>
  <c r="N59" i="11"/>
  <c r="O59" i="11"/>
  <c r="P59" i="11"/>
  <c r="Q59" i="11"/>
  <c r="R59" i="11"/>
  <c r="S59" i="11"/>
  <c r="T59" i="11"/>
  <c r="U59" i="11"/>
  <c r="V59" i="11"/>
  <c r="W59" i="11"/>
  <c r="X59" i="11"/>
  <c r="Y59" i="11"/>
  <c r="Z59" i="11"/>
  <c r="AA59" i="11"/>
  <c r="AB59" i="11"/>
  <c r="AC59" i="11"/>
  <c r="AD59" i="11"/>
  <c r="AE59" i="11"/>
  <c r="AF59" i="11"/>
  <c r="AG59" i="11"/>
  <c r="AH59" i="11"/>
  <c r="D60" i="11"/>
  <c r="E60" i="11"/>
  <c r="F60" i="11"/>
  <c r="G60" i="11"/>
  <c r="H60" i="11"/>
  <c r="I60" i="11"/>
  <c r="J60" i="11"/>
  <c r="K60" i="11"/>
  <c r="L60" i="11"/>
  <c r="M60" i="11"/>
  <c r="N60" i="11"/>
  <c r="O60" i="11"/>
  <c r="P60" i="11"/>
  <c r="Q60" i="11"/>
  <c r="R60" i="11"/>
  <c r="S60" i="11"/>
  <c r="T60" i="11"/>
  <c r="U60" i="11"/>
  <c r="V60" i="11"/>
  <c r="W60" i="11"/>
  <c r="X60" i="11"/>
  <c r="Y60" i="11"/>
  <c r="Z60" i="11"/>
  <c r="AA60" i="11"/>
  <c r="AB60" i="11"/>
  <c r="AC60" i="11"/>
  <c r="AD60" i="11"/>
  <c r="AE60" i="11"/>
  <c r="AF60" i="11"/>
  <c r="AG60" i="11"/>
  <c r="AH60" i="11"/>
  <c r="D61" i="11"/>
  <c r="E61" i="11"/>
  <c r="F61" i="11"/>
  <c r="G61" i="11"/>
  <c r="H61" i="11"/>
  <c r="I61" i="11"/>
  <c r="J61" i="11"/>
  <c r="K61" i="11"/>
  <c r="L61" i="11"/>
  <c r="M61" i="11"/>
  <c r="N61" i="11"/>
  <c r="O61" i="11"/>
  <c r="P61" i="11"/>
  <c r="Q61" i="11"/>
  <c r="R61" i="11"/>
  <c r="S61" i="11"/>
  <c r="T61" i="11"/>
  <c r="U61" i="11"/>
  <c r="V61" i="11"/>
  <c r="W61" i="11"/>
  <c r="X61" i="11"/>
  <c r="Y61" i="11"/>
  <c r="Z61" i="11"/>
  <c r="AA61" i="11"/>
  <c r="AB61" i="11"/>
  <c r="AC61" i="11"/>
  <c r="AD61" i="11"/>
  <c r="AE61" i="11"/>
  <c r="AF61" i="11"/>
  <c r="AG61" i="11"/>
  <c r="AH61" i="11"/>
  <c r="AH103" i="11"/>
  <c r="AH104" i="11"/>
  <c r="AH105" i="11"/>
  <c r="AH200" i="11"/>
  <c r="AH201" i="11"/>
  <c r="AH202" i="11"/>
  <c r="AH244" i="11"/>
  <c r="AH245" i="11"/>
  <c r="AH246" i="11"/>
  <c r="D103" i="11"/>
  <c r="D104" i="11"/>
  <c r="D105" i="11"/>
  <c r="E103" i="11"/>
  <c r="F103" i="11"/>
  <c r="G103" i="11"/>
  <c r="H103" i="11"/>
  <c r="I103" i="11"/>
  <c r="J103" i="11"/>
  <c r="K103" i="11"/>
  <c r="L103" i="11"/>
  <c r="M103" i="11"/>
  <c r="N103" i="11"/>
  <c r="O103" i="11"/>
  <c r="P103" i="11"/>
  <c r="Q103" i="11"/>
  <c r="R103" i="11"/>
  <c r="S103" i="11"/>
  <c r="T103" i="11"/>
  <c r="U103" i="11"/>
  <c r="V103" i="11"/>
  <c r="W103" i="11"/>
  <c r="X103" i="11"/>
  <c r="Y103" i="11"/>
  <c r="Z103" i="11"/>
  <c r="AA103" i="11"/>
  <c r="AB103" i="11"/>
  <c r="AC103" i="11"/>
  <c r="AD103" i="11"/>
  <c r="AE103" i="11"/>
  <c r="AF103" i="11"/>
  <c r="AG103" i="11"/>
  <c r="E104" i="11"/>
  <c r="F104" i="11"/>
  <c r="G104" i="11"/>
  <c r="H104" i="11"/>
  <c r="I104" i="11"/>
  <c r="J104" i="11"/>
  <c r="K104" i="11"/>
  <c r="L104" i="11"/>
  <c r="M104" i="11"/>
  <c r="N104" i="11"/>
  <c r="O104" i="11"/>
  <c r="P104" i="11"/>
  <c r="Q104" i="11"/>
  <c r="R104" i="11"/>
  <c r="S104" i="11"/>
  <c r="T104" i="11"/>
  <c r="U104" i="11"/>
  <c r="V104" i="11"/>
  <c r="W104" i="11"/>
  <c r="X104" i="11"/>
  <c r="Y104" i="11"/>
  <c r="Z104" i="11"/>
  <c r="AA104" i="11"/>
  <c r="AB104" i="11"/>
  <c r="AC104" i="11"/>
  <c r="AD104" i="11"/>
  <c r="AE104" i="11"/>
  <c r="AF104" i="11"/>
  <c r="AG104" i="11"/>
  <c r="E105" i="11"/>
  <c r="F105" i="11"/>
  <c r="G105" i="11"/>
  <c r="H105" i="11"/>
  <c r="I105" i="11"/>
  <c r="J105" i="11"/>
  <c r="K105" i="11"/>
  <c r="L105" i="11"/>
  <c r="M105" i="11"/>
  <c r="N105" i="11"/>
  <c r="O105" i="11"/>
  <c r="P105" i="11"/>
  <c r="Q105" i="11"/>
  <c r="R105" i="11"/>
  <c r="S105" i="11"/>
  <c r="T105" i="11"/>
  <c r="U105" i="11"/>
  <c r="V105" i="11"/>
  <c r="W105" i="11"/>
  <c r="X105" i="11"/>
  <c r="Y105" i="11"/>
  <c r="Z105" i="11"/>
  <c r="AA105" i="11"/>
  <c r="AB105" i="11"/>
  <c r="AC105" i="11"/>
  <c r="AD105" i="11"/>
  <c r="AE105" i="11"/>
  <c r="AF105" i="11"/>
  <c r="AG105" i="11"/>
  <c r="E104" i="15"/>
  <c r="F104" i="15"/>
  <c r="G104" i="15"/>
  <c r="H104" i="15"/>
  <c r="I104" i="15"/>
  <c r="J104" i="15"/>
  <c r="K104" i="15"/>
  <c r="L104" i="15"/>
  <c r="M104" i="15"/>
  <c r="N104" i="15"/>
  <c r="O104" i="15"/>
  <c r="P104" i="15"/>
  <c r="Q104" i="15"/>
  <c r="R104" i="15"/>
  <c r="S104" i="15"/>
  <c r="T104" i="15"/>
  <c r="U104" i="15"/>
  <c r="V104" i="15"/>
  <c r="W104" i="15"/>
  <c r="X104" i="15"/>
  <c r="Y104" i="15"/>
  <c r="Z104" i="15"/>
  <c r="AA104" i="15"/>
  <c r="AB104" i="15"/>
  <c r="AC104" i="15"/>
  <c r="AD104" i="15"/>
  <c r="AE104" i="15"/>
  <c r="AF104" i="15"/>
  <c r="AG104" i="15"/>
  <c r="E110" i="15"/>
  <c r="F110" i="15"/>
  <c r="G110" i="15"/>
  <c r="H110" i="15"/>
  <c r="I110" i="15"/>
  <c r="J110" i="15"/>
  <c r="K110" i="15"/>
  <c r="L110" i="15"/>
  <c r="M110" i="15"/>
  <c r="N110" i="15"/>
  <c r="O110" i="15"/>
  <c r="P110" i="15"/>
  <c r="Q110" i="15"/>
  <c r="R110" i="15"/>
  <c r="S110" i="15"/>
  <c r="T110" i="15"/>
  <c r="U110" i="15"/>
  <c r="V110" i="15"/>
  <c r="W110" i="15"/>
  <c r="X110" i="15"/>
  <c r="Y110" i="15"/>
  <c r="Z110" i="15"/>
  <c r="AA110" i="15"/>
  <c r="AB110" i="15"/>
  <c r="AC110" i="15"/>
  <c r="AD110" i="15"/>
  <c r="AE110" i="15"/>
  <c r="AF110" i="15"/>
  <c r="AG110" i="15"/>
  <c r="E116" i="15"/>
  <c r="F116" i="15"/>
  <c r="G116" i="15"/>
  <c r="H116" i="15"/>
  <c r="I116" i="15"/>
  <c r="J116" i="15"/>
  <c r="K116" i="15"/>
  <c r="L116" i="15"/>
  <c r="M116" i="15"/>
  <c r="N116" i="15"/>
  <c r="O116" i="15"/>
  <c r="P116" i="15"/>
  <c r="Q116" i="15"/>
  <c r="R116" i="15"/>
  <c r="S116" i="15"/>
  <c r="T116" i="15"/>
  <c r="U116" i="15"/>
  <c r="V116" i="15"/>
  <c r="W116" i="15"/>
  <c r="X116" i="15"/>
  <c r="Y116" i="15"/>
  <c r="Z116" i="15"/>
  <c r="AA116" i="15"/>
  <c r="AB116" i="15"/>
  <c r="AC116" i="15"/>
  <c r="AD116" i="15"/>
  <c r="AE116" i="15"/>
  <c r="AF116" i="15"/>
  <c r="AG116" i="15"/>
  <c r="D116" i="15"/>
  <c r="D110" i="15"/>
  <c r="D104" i="15"/>
  <c r="D74" i="15"/>
  <c r="E70" i="15"/>
  <c r="F70" i="15"/>
  <c r="G70" i="15"/>
  <c r="H70" i="15"/>
  <c r="I70" i="15"/>
  <c r="J70" i="15"/>
  <c r="K70" i="15"/>
  <c r="L70" i="15"/>
  <c r="M70" i="15"/>
  <c r="N70" i="15"/>
  <c r="O70" i="15"/>
  <c r="P70" i="15"/>
  <c r="Q70" i="15"/>
  <c r="R70" i="15"/>
  <c r="S70" i="15"/>
  <c r="T70" i="15"/>
  <c r="U70" i="15"/>
  <c r="V70" i="15"/>
  <c r="W70" i="15"/>
  <c r="X70" i="15"/>
  <c r="Y70" i="15"/>
  <c r="Z70" i="15"/>
  <c r="AA70" i="15"/>
  <c r="AB70" i="15"/>
  <c r="AC70" i="15"/>
  <c r="AD70" i="15"/>
  <c r="AE70" i="15"/>
  <c r="AF70" i="15"/>
  <c r="AG70" i="15"/>
  <c r="E71" i="15"/>
  <c r="F71" i="15"/>
  <c r="G71" i="15"/>
  <c r="H71" i="15"/>
  <c r="I71" i="15"/>
  <c r="J71" i="15"/>
  <c r="K71" i="15"/>
  <c r="L71" i="15"/>
  <c r="M71" i="15"/>
  <c r="N71" i="15"/>
  <c r="O71" i="15"/>
  <c r="P71" i="15"/>
  <c r="Q71" i="15"/>
  <c r="R71" i="15"/>
  <c r="S71" i="15"/>
  <c r="T71" i="15"/>
  <c r="U71" i="15"/>
  <c r="V71" i="15"/>
  <c r="W71" i="15"/>
  <c r="X71" i="15"/>
  <c r="Y71" i="15"/>
  <c r="Z71" i="15"/>
  <c r="AA71" i="15"/>
  <c r="AB71" i="15"/>
  <c r="AC71" i="15"/>
  <c r="AD71" i="15"/>
  <c r="AE71" i="15"/>
  <c r="AF71" i="15"/>
  <c r="AG71" i="15"/>
  <c r="E72" i="15"/>
  <c r="F72" i="15"/>
  <c r="G72" i="15"/>
  <c r="H72" i="15"/>
  <c r="I72" i="15"/>
  <c r="J72" i="15"/>
  <c r="K72" i="15"/>
  <c r="L72" i="15"/>
  <c r="M72" i="15"/>
  <c r="N72" i="15"/>
  <c r="O72" i="15"/>
  <c r="P72" i="15"/>
  <c r="Q72" i="15"/>
  <c r="R72" i="15"/>
  <c r="S72" i="15"/>
  <c r="T72" i="15"/>
  <c r="U72" i="15"/>
  <c r="V72" i="15"/>
  <c r="W72" i="15"/>
  <c r="X72" i="15"/>
  <c r="Y72" i="15"/>
  <c r="Z72" i="15"/>
  <c r="AA72" i="15"/>
  <c r="AB72" i="15"/>
  <c r="AC72" i="15"/>
  <c r="AD72" i="15"/>
  <c r="AE72" i="15"/>
  <c r="AF72" i="15"/>
  <c r="AG72" i="15"/>
  <c r="E73" i="15"/>
  <c r="F73" i="15"/>
  <c r="G73" i="15"/>
  <c r="H73" i="15"/>
  <c r="I73" i="15"/>
  <c r="J73" i="15"/>
  <c r="K73" i="15"/>
  <c r="L73" i="15"/>
  <c r="M73" i="15"/>
  <c r="N73" i="15"/>
  <c r="O73" i="15"/>
  <c r="P73" i="15"/>
  <c r="Q73" i="15"/>
  <c r="R73" i="15"/>
  <c r="S73" i="15"/>
  <c r="T73" i="15"/>
  <c r="U73" i="15"/>
  <c r="V73" i="15"/>
  <c r="W73" i="15"/>
  <c r="X73" i="15"/>
  <c r="Y73" i="15"/>
  <c r="Z73" i="15"/>
  <c r="AA73" i="15"/>
  <c r="AB73" i="15"/>
  <c r="AC73" i="15"/>
  <c r="AD73" i="15"/>
  <c r="AE73" i="15"/>
  <c r="AF73" i="15"/>
  <c r="AG73" i="15"/>
  <c r="E74" i="15"/>
  <c r="F74" i="15"/>
  <c r="G74" i="15"/>
  <c r="H74" i="15"/>
  <c r="I74" i="15"/>
  <c r="J74" i="15"/>
  <c r="K74" i="15"/>
  <c r="L74" i="15"/>
  <c r="M74" i="15"/>
  <c r="N74" i="15"/>
  <c r="O74" i="15"/>
  <c r="P74" i="15"/>
  <c r="Q74" i="15"/>
  <c r="R74" i="15"/>
  <c r="S74" i="15"/>
  <c r="T74" i="15"/>
  <c r="U74" i="15"/>
  <c r="V74" i="15"/>
  <c r="W74" i="15"/>
  <c r="X74" i="15"/>
  <c r="Y74" i="15"/>
  <c r="Z74" i="15"/>
  <c r="AA74" i="15"/>
  <c r="AB74" i="15"/>
  <c r="AC74" i="15"/>
  <c r="AD74" i="15"/>
  <c r="AE74" i="15"/>
  <c r="AF74" i="15"/>
  <c r="AG74" i="15"/>
  <c r="E76" i="15"/>
  <c r="F76" i="15"/>
  <c r="G76" i="15"/>
  <c r="H76" i="15"/>
  <c r="I76" i="15"/>
  <c r="J76" i="15"/>
  <c r="K76" i="15"/>
  <c r="L76" i="15"/>
  <c r="M76" i="15"/>
  <c r="N76" i="15"/>
  <c r="O76" i="15"/>
  <c r="P76" i="15"/>
  <c r="Q76" i="15"/>
  <c r="R76" i="15"/>
  <c r="S76" i="15"/>
  <c r="T76" i="15"/>
  <c r="U76" i="15"/>
  <c r="V76" i="15"/>
  <c r="W76" i="15"/>
  <c r="X76" i="15"/>
  <c r="Y76" i="15"/>
  <c r="Z76" i="15"/>
  <c r="AA76" i="15"/>
  <c r="AB76" i="15"/>
  <c r="AC76" i="15"/>
  <c r="AD76" i="15"/>
  <c r="AE76" i="15"/>
  <c r="AF76" i="15"/>
  <c r="AG76" i="15"/>
  <c r="E77" i="15"/>
  <c r="F77" i="15"/>
  <c r="G77" i="15"/>
  <c r="H77" i="15"/>
  <c r="I77" i="15"/>
  <c r="J77" i="15"/>
  <c r="K77" i="15"/>
  <c r="L77" i="15"/>
  <c r="M77" i="15"/>
  <c r="N77" i="15"/>
  <c r="O77" i="15"/>
  <c r="P77" i="15"/>
  <c r="Q77" i="15"/>
  <c r="R77" i="15"/>
  <c r="S77" i="15"/>
  <c r="T77" i="15"/>
  <c r="U77" i="15"/>
  <c r="V77" i="15"/>
  <c r="W77" i="15"/>
  <c r="X77" i="15"/>
  <c r="Y77" i="15"/>
  <c r="Z77" i="15"/>
  <c r="AA77" i="15"/>
  <c r="AB77" i="15"/>
  <c r="AC77" i="15"/>
  <c r="AD77" i="15"/>
  <c r="AE77" i="15"/>
  <c r="AF77" i="15"/>
  <c r="AG77" i="15"/>
  <c r="E78" i="15"/>
  <c r="F78" i="15"/>
  <c r="G78" i="15"/>
  <c r="H78" i="15"/>
  <c r="I78" i="15"/>
  <c r="J78" i="15"/>
  <c r="K78" i="15"/>
  <c r="L78" i="15"/>
  <c r="M78" i="15"/>
  <c r="N78" i="15"/>
  <c r="O78" i="15"/>
  <c r="P78" i="15"/>
  <c r="Q78" i="15"/>
  <c r="R78" i="15"/>
  <c r="S78" i="15"/>
  <c r="T78" i="15"/>
  <c r="U78" i="15"/>
  <c r="V78" i="15"/>
  <c r="W78" i="15"/>
  <c r="X78" i="15"/>
  <c r="Y78" i="15"/>
  <c r="Z78" i="15"/>
  <c r="AA78" i="15"/>
  <c r="AB78" i="15"/>
  <c r="AC78" i="15"/>
  <c r="AD78" i="15"/>
  <c r="AE78" i="15"/>
  <c r="AF78" i="15"/>
  <c r="AG78" i="15"/>
  <c r="E79" i="15"/>
  <c r="F79" i="15"/>
  <c r="G79" i="15"/>
  <c r="H79" i="15"/>
  <c r="I79" i="15"/>
  <c r="J79" i="15"/>
  <c r="K79" i="15"/>
  <c r="L79" i="15"/>
  <c r="M79" i="15"/>
  <c r="N79" i="15"/>
  <c r="O79" i="15"/>
  <c r="P79" i="15"/>
  <c r="Q79" i="15"/>
  <c r="R79" i="15"/>
  <c r="S79" i="15"/>
  <c r="T79" i="15"/>
  <c r="U79" i="15"/>
  <c r="V79" i="15"/>
  <c r="W79" i="15"/>
  <c r="X79" i="15"/>
  <c r="Y79" i="15"/>
  <c r="Z79" i="15"/>
  <c r="AA79" i="15"/>
  <c r="AB79" i="15"/>
  <c r="AC79" i="15"/>
  <c r="AD79" i="15"/>
  <c r="AE79" i="15"/>
  <c r="AF79" i="15"/>
  <c r="AG79" i="15"/>
  <c r="E80" i="15"/>
  <c r="F80" i="15"/>
  <c r="G80" i="15"/>
  <c r="H80" i="15"/>
  <c r="I80" i="15"/>
  <c r="J80" i="15"/>
  <c r="K80" i="15"/>
  <c r="L80" i="15"/>
  <c r="M80" i="15"/>
  <c r="N80" i="15"/>
  <c r="O80" i="15"/>
  <c r="P80" i="15"/>
  <c r="Q80" i="15"/>
  <c r="R80" i="15"/>
  <c r="S80" i="15"/>
  <c r="T80" i="15"/>
  <c r="U80" i="15"/>
  <c r="V80" i="15"/>
  <c r="W80" i="15"/>
  <c r="X80" i="15"/>
  <c r="Y80" i="15"/>
  <c r="Z80" i="15"/>
  <c r="AA80" i="15"/>
  <c r="AB80" i="15"/>
  <c r="AC80" i="15"/>
  <c r="AD80" i="15"/>
  <c r="AE80" i="15"/>
  <c r="AF80" i="15"/>
  <c r="AG80" i="15"/>
  <c r="E82" i="15"/>
  <c r="F82" i="15"/>
  <c r="G82" i="15"/>
  <c r="H82" i="15"/>
  <c r="I82" i="15"/>
  <c r="J82" i="15"/>
  <c r="K82" i="15"/>
  <c r="L82" i="15"/>
  <c r="M82" i="15"/>
  <c r="N82" i="15"/>
  <c r="O82" i="15"/>
  <c r="P82" i="15"/>
  <c r="Q82" i="15"/>
  <c r="R82" i="15"/>
  <c r="S82" i="15"/>
  <c r="T82" i="15"/>
  <c r="U82" i="15"/>
  <c r="V82" i="15"/>
  <c r="W82" i="15"/>
  <c r="X82" i="15"/>
  <c r="Y82" i="15"/>
  <c r="Z82" i="15"/>
  <c r="AA82" i="15"/>
  <c r="AB82" i="15"/>
  <c r="AC82" i="15"/>
  <c r="AD82" i="15"/>
  <c r="AE82" i="15"/>
  <c r="AF82" i="15"/>
  <c r="AG82" i="15"/>
  <c r="E83" i="15"/>
  <c r="F83" i="15"/>
  <c r="G83" i="15"/>
  <c r="H83" i="15"/>
  <c r="I83" i="15"/>
  <c r="J83" i="15"/>
  <c r="K83" i="15"/>
  <c r="L83" i="15"/>
  <c r="M83" i="15"/>
  <c r="N83" i="15"/>
  <c r="O83" i="15"/>
  <c r="P83" i="15"/>
  <c r="Q83" i="15"/>
  <c r="R83" i="15"/>
  <c r="S83" i="15"/>
  <c r="T83" i="15"/>
  <c r="U83" i="15"/>
  <c r="V83" i="15"/>
  <c r="W83" i="15"/>
  <c r="X83" i="15"/>
  <c r="Y83" i="15"/>
  <c r="Z83" i="15"/>
  <c r="AA83" i="15"/>
  <c r="AB83" i="15"/>
  <c r="AC83" i="15"/>
  <c r="AD83" i="15"/>
  <c r="AE83" i="15"/>
  <c r="AF83" i="15"/>
  <c r="AG83" i="15"/>
  <c r="E84" i="15"/>
  <c r="F84" i="15"/>
  <c r="G84" i="15"/>
  <c r="H84" i="15"/>
  <c r="I84" i="15"/>
  <c r="J84" i="15"/>
  <c r="K84" i="15"/>
  <c r="L84" i="15"/>
  <c r="M84" i="15"/>
  <c r="N84" i="15"/>
  <c r="O84" i="15"/>
  <c r="P84" i="15"/>
  <c r="Q84" i="15"/>
  <c r="R84" i="15"/>
  <c r="S84" i="15"/>
  <c r="T84" i="15"/>
  <c r="U84" i="15"/>
  <c r="V84" i="15"/>
  <c r="W84" i="15"/>
  <c r="X84" i="15"/>
  <c r="Y84" i="15"/>
  <c r="Z84" i="15"/>
  <c r="AA84" i="15"/>
  <c r="AB84" i="15"/>
  <c r="AC84" i="15"/>
  <c r="AD84" i="15"/>
  <c r="AE84" i="15"/>
  <c r="AF84" i="15"/>
  <c r="AG84" i="15"/>
  <c r="E85" i="15"/>
  <c r="F85" i="15"/>
  <c r="G85" i="15"/>
  <c r="H85" i="15"/>
  <c r="I85" i="15"/>
  <c r="J85" i="15"/>
  <c r="K85" i="15"/>
  <c r="L85" i="15"/>
  <c r="M85" i="15"/>
  <c r="N85" i="15"/>
  <c r="O85" i="15"/>
  <c r="P85" i="15"/>
  <c r="Q85" i="15"/>
  <c r="R85" i="15"/>
  <c r="S85" i="15"/>
  <c r="T85" i="15"/>
  <c r="U85" i="15"/>
  <c r="V85" i="15"/>
  <c r="W85" i="15"/>
  <c r="X85" i="15"/>
  <c r="Y85" i="15"/>
  <c r="Z85" i="15"/>
  <c r="AA85" i="15"/>
  <c r="AB85" i="15"/>
  <c r="AC85" i="15"/>
  <c r="AD85" i="15"/>
  <c r="AE85" i="15"/>
  <c r="AF85" i="15"/>
  <c r="AG85" i="15"/>
  <c r="E86" i="15"/>
  <c r="F86" i="15"/>
  <c r="G86" i="15"/>
  <c r="H86" i="15"/>
  <c r="I86" i="15"/>
  <c r="J86" i="15"/>
  <c r="K86" i="15"/>
  <c r="L86" i="15"/>
  <c r="M86" i="15"/>
  <c r="N86" i="15"/>
  <c r="O86" i="15"/>
  <c r="P86" i="15"/>
  <c r="Q86" i="15"/>
  <c r="R86" i="15"/>
  <c r="S86" i="15"/>
  <c r="T86" i="15"/>
  <c r="U86" i="15"/>
  <c r="V86" i="15"/>
  <c r="W86" i="15"/>
  <c r="X86" i="15"/>
  <c r="Y86" i="15"/>
  <c r="Z86" i="15"/>
  <c r="AA86" i="15"/>
  <c r="AB86" i="15"/>
  <c r="AC86" i="15"/>
  <c r="AD86" i="15"/>
  <c r="AE86" i="15"/>
  <c r="AF86" i="15"/>
  <c r="AG86" i="15"/>
  <c r="D86" i="15"/>
  <c r="D85" i="15"/>
  <c r="D84" i="15"/>
  <c r="D83" i="15"/>
  <c r="D82" i="15"/>
  <c r="D80" i="15"/>
  <c r="D79" i="15"/>
  <c r="D78" i="15"/>
  <c r="D77" i="15"/>
  <c r="D76" i="15"/>
  <c r="D73" i="15"/>
  <c r="D72" i="15"/>
  <c r="D71" i="15"/>
  <c r="D70" i="15"/>
  <c r="D39" i="15"/>
  <c r="E39" i="15"/>
  <c r="F39" i="15"/>
  <c r="G39" i="15"/>
  <c r="H39" i="15"/>
  <c r="I39" i="15"/>
  <c r="J39" i="15"/>
  <c r="K39" i="15"/>
  <c r="L39" i="15"/>
  <c r="M39" i="15"/>
  <c r="N39" i="15"/>
  <c r="O39" i="15"/>
  <c r="P39" i="15"/>
  <c r="Q39" i="15"/>
  <c r="R39" i="15"/>
  <c r="S39" i="15"/>
  <c r="T39" i="15"/>
  <c r="U39" i="15"/>
  <c r="V39" i="15"/>
  <c r="W39" i="15"/>
  <c r="X39" i="15"/>
  <c r="Y39" i="15"/>
  <c r="Z39" i="15"/>
  <c r="AA39" i="15"/>
  <c r="AB39" i="15"/>
  <c r="AC39" i="15"/>
  <c r="AD39" i="15"/>
  <c r="AE39" i="15"/>
  <c r="AF39" i="15"/>
  <c r="AG39" i="15"/>
  <c r="E40" i="15"/>
  <c r="F40" i="15"/>
  <c r="G40" i="15"/>
  <c r="H40" i="15"/>
  <c r="I40" i="15"/>
  <c r="J40" i="15"/>
  <c r="K40" i="15"/>
  <c r="L40" i="15"/>
  <c r="M40" i="15"/>
  <c r="N40" i="15"/>
  <c r="O40" i="15"/>
  <c r="P40" i="15"/>
  <c r="Q40" i="15"/>
  <c r="R40" i="15"/>
  <c r="S40" i="15"/>
  <c r="T40" i="15"/>
  <c r="U40" i="15"/>
  <c r="V40" i="15"/>
  <c r="W40" i="15"/>
  <c r="X40" i="15"/>
  <c r="Y40" i="15"/>
  <c r="Z40" i="15"/>
  <c r="AA40" i="15"/>
  <c r="AB40" i="15"/>
  <c r="AC40" i="15"/>
  <c r="AD40" i="15"/>
  <c r="AE40" i="15"/>
  <c r="AF40" i="15"/>
  <c r="AG40" i="15"/>
  <c r="E41" i="15"/>
  <c r="F41" i="15"/>
  <c r="G41" i="15"/>
  <c r="H41" i="15"/>
  <c r="I41" i="15"/>
  <c r="J41" i="15"/>
  <c r="K41" i="15"/>
  <c r="L41" i="15"/>
  <c r="M41" i="15"/>
  <c r="N41" i="15"/>
  <c r="O41" i="15"/>
  <c r="P41" i="15"/>
  <c r="Q41" i="15"/>
  <c r="R41" i="15"/>
  <c r="S41" i="15"/>
  <c r="T41" i="15"/>
  <c r="U41" i="15"/>
  <c r="V41" i="15"/>
  <c r="W41" i="15"/>
  <c r="X41" i="15"/>
  <c r="Y41" i="15"/>
  <c r="Z41" i="15"/>
  <c r="AA41" i="15"/>
  <c r="AB41" i="15"/>
  <c r="AC41" i="15"/>
  <c r="AD41" i="15"/>
  <c r="AE41" i="15"/>
  <c r="AF41" i="15"/>
  <c r="AG41" i="15"/>
  <c r="E42" i="15"/>
  <c r="F42" i="15"/>
  <c r="G42" i="15"/>
  <c r="H42" i="15"/>
  <c r="I42" i="15"/>
  <c r="J42" i="15"/>
  <c r="K42" i="15"/>
  <c r="L42" i="15"/>
  <c r="M42" i="15"/>
  <c r="N42" i="15"/>
  <c r="O42" i="15"/>
  <c r="P42" i="15"/>
  <c r="Q42" i="15"/>
  <c r="R42" i="15"/>
  <c r="S42" i="15"/>
  <c r="T42" i="15"/>
  <c r="U42" i="15"/>
  <c r="V42" i="15"/>
  <c r="W42" i="15"/>
  <c r="X42" i="15"/>
  <c r="Y42" i="15"/>
  <c r="Z42" i="15"/>
  <c r="AA42" i="15"/>
  <c r="AB42" i="15"/>
  <c r="AC42" i="15"/>
  <c r="AD42" i="15"/>
  <c r="AE42" i="15"/>
  <c r="AF42" i="15"/>
  <c r="AG42" i="15"/>
  <c r="E43" i="15"/>
  <c r="F43" i="15"/>
  <c r="G43" i="15"/>
  <c r="H43" i="15"/>
  <c r="I43" i="15"/>
  <c r="J43" i="15"/>
  <c r="K43" i="15"/>
  <c r="L43" i="15"/>
  <c r="M43" i="15"/>
  <c r="N43" i="15"/>
  <c r="O43" i="15"/>
  <c r="P43" i="15"/>
  <c r="Q43" i="15"/>
  <c r="R43" i="15"/>
  <c r="S43" i="15"/>
  <c r="T43" i="15"/>
  <c r="U43" i="15"/>
  <c r="V43" i="15"/>
  <c r="W43" i="15"/>
  <c r="X43" i="15"/>
  <c r="Y43" i="15"/>
  <c r="Z43" i="15"/>
  <c r="AA43" i="15"/>
  <c r="AB43" i="15"/>
  <c r="AC43" i="15"/>
  <c r="AD43" i="15"/>
  <c r="AE43" i="15"/>
  <c r="AF43" i="15"/>
  <c r="AG43" i="15"/>
  <c r="E45" i="15"/>
  <c r="F45" i="15"/>
  <c r="G45" i="15"/>
  <c r="H45" i="15"/>
  <c r="I45" i="15"/>
  <c r="J45" i="15"/>
  <c r="K45" i="15"/>
  <c r="L45" i="15"/>
  <c r="M45" i="15"/>
  <c r="N45" i="15"/>
  <c r="O45" i="15"/>
  <c r="P45" i="15"/>
  <c r="Q45" i="15"/>
  <c r="R45" i="15"/>
  <c r="S45" i="15"/>
  <c r="T45" i="15"/>
  <c r="U45" i="15"/>
  <c r="V45" i="15"/>
  <c r="W45" i="15"/>
  <c r="X45" i="15"/>
  <c r="Y45" i="15"/>
  <c r="Z45" i="15"/>
  <c r="AA45" i="15"/>
  <c r="AB45" i="15"/>
  <c r="AC45" i="15"/>
  <c r="AD45" i="15"/>
  <c r="AE45" i="15"/>
  <c r="AF45" i="15"/>
  <c r="AG45" i="15"/>
  <c r="E46" i="15"/>
  <c r="F46" i="15"/>
  <c r="G46" i="15"/>
  <c r="H46" i="15"/>
  <c r="I46" i="15"/>
  <c r="J46" i="15"/>
  <c r="K46" i="15"/>
  <c r="L46" i="15"/>
  <c r="M46" i="15"/>
  <c r="N46" i="15"/>
  <c r="O46" i="15"/>
  <c r="P46" i="15"/>
  <c r="Q46" i="15"/>
  <c r="R46" i="15"/>
  <c r="S46" i="15"/>
  <c r="T46" i="15"/>
  <c r="U46" i="15"/>
  <c r="V46" i="15"/>
  <c r="W46" i="15"/>
  <c r="X46" i="15"/>
  <c r="Y46" i="15"/>
  <c r="Z46" i="15"/>
  <c r="AA46" i="15"/>
  <c r="AB46" i="15"/>
  <c r="AC46" i="15"/>
  <c r="AD46" i="15"/>
  <c r="AE46" i="15"/>
  <c r="AF46" i="15"/>
  <c r="AG46" i="15"/>
  <c r="E47" i="15"/>
  <c r="F47" i="15"/>
  <c r="G47" i="15"/>
  <c r="H47" i="15"/>
  <c r="I47" i="15"/>
  <c r="J47" i="15"/>
  <c r="K47" i="15"/>
  <c r="L47" i="15"/>
  <c r="M47" i="15"/>
  <c r="N47" i="15"/>
  <c r="O47" i="15"/>
  <c r="P47" i="15"/>
  <c r="Q47" i="15"/>
  <c r="R47" i="15"/>
  <c r="S47" i="15"/>
  <c r="T47" i="15"/>
  <c r="U47" i="15"/>
  <c r="V47" i="15"/>
  <c r="W47" i="15"/>
  <c r="X47" i="15"/>
  <c r="Y47" i="15"/>
  <c r="Z47" i="15"/>
  <c r="AA47" i="15"/>
  <c r="AB47" i="15"/>
  <c r="AC47" i="15"/>
  <c r="AD47" i="15"/>
  <c r="AE47" i="15"/>
  <c r="AF47" i="15"/>
  <c r="AG47" i="15"/>
  <c r="E48" i="15"/>
  <c r="F48" i="15"/>
  <c r="G48" i="15"/>
  <c r="H48" i="15"/>
  <c r="I48" i="15"/>
  <c r="J48" i="15"/>
  <c r="K48" i="15"/>
  <c r="L48" i="15"/>
  <c r="M48" i="15"/>
  <c r="N48" i="15"/>
  <c r="O48" i="15"/>
  <c r="P48" i="15"/>
  <c r="Q48" i="15"/>
  <c r="R48" i="15"/>
  <c r="S48" i="15"/>
  <c r="T48" i="15"/>
  <c r="U48" i="15"/>
  <c r="V48" i="15"/>
  <c r="W48" i="15"/>
  <c r="X48" i="15"/>
  <c r="Y48" i="15"/>
  <c r="Z48" i="15"/>
  <c r="AA48" i="15"/>
  <c r="AB48" i="15"/>
  <c r="AC48" i="15"/>
  <c r="AD48" i="15"/>
  <c r="AE48" i="15"/>
  <c r="AF48" i="15"/>
  <c r="AG48" i="15"/>
  <c r="E49" i="15"/>
  <c r="F49" i="15"/>
  <c r="G49" i="15"/>
  <c r="H49" i="15"/>
  <c r="I49" i="15"/>
  <c r="J49" i="15"/>
  <c r="K49" i="15"/>
  <c r="L49" i="15"/>
  <c r="M49" i="15"/>
  <c r="N49" i="15"/>
  <c r="O49" i="15"/>
  <c r="P49" i="15"/>
  <c r="Q49" i="15"/>
  <c r="R49" i="15"/>
  <c r="S49" i="15"/>
  <c r="T49" i="15"/>
  <c r="U49" i="15"/>
  <c r="V49" i="15"/>
  <c r="W49" i="15"/>
  <c r="X49" i="15"/>
  <c r="Y49" i="15"/>
  <c r="Z49" i="15"/>
  <c r="AA49" i="15"/>
  <c r="AB49" i="15"/>
  <c r="AC49" i="15"/>
  <c r="AD49" i="15"/>
  <c r="AE49" i="15"/>
  <c r="AF49" i="15"/>
  <c r="AG49" i="15"/>
  <c r="E51" i="15"/>
  <c r="F51" i="15"/>
  <c r="G51" i="15"/>
  <c r="H51" i="15"/>
  <c r="I51" i="15"/>
  <c r="J51" i="15"/>
  <c r="K51" i="15"/>
  <c r="L51" i="15"/>
  <c r="M51" i="15"/>
  <c r="N51" i="15"/>
  <c r="O51" i="15"/>
  <c r="P51" i="15"/>
  <c r="Q51" i="15"/>
  <c r="R51" i="15"/>
  <c r="S51" i="15"/>
  <c r="T51" i="15"/>
  <c r="U51" i="15"/>
  <c r="V51" i="15"/>
  <c r="W51" i="15"/>
  <c r="X51" i="15"/>
  <c r="Y51" i="15"/>
  <c r="Z51" i="15"/>
  <c r="AA51" i="15"/>
  <c r="AB51" i="15"/>
  <c r="AC51" i="15"/>
  <c r="AD51" i="15"/>
  <c r="AE51" i="15"/>
  <c r="AF51" i="15"/>
  <c r="AG51" i="15"/>
  <c r="E52" i="15"/>
  <c r="F52" i="15"/>
  <c r="G52" i="15"/>
  <c r="H52" i="15"/>
  <c r="I52" i="15"/>
  <c r="J52" i="15"/>
  <c r="K52" i="15"/>
  <c r="L52" i="15"/>
  <c r="M52" i="15"/>
  <c r="N52" i="15"/>
  <c r="O52" i="15"/>
  <c r="P52" i="15"/>
  <c r="Q52" i="15"/>
  <c r="R52" i="15"/>
  <c r="S52" i="15"/>
  <c r="T52" i="15"/>
  <c r="U52" i="15"/>
  <c r="V52" i="15"/>
  <c r="W52" i="15"/>
  <c r="X52" i="15"/>
  <c r="Y52" i="15"/>
  <c r="Z52" i="15"/>
  <c r="AA52" i="15"/>
  <c r="AB52" i="15"/>
  <c r="AC52" i="15"/>
  <c r="AD52" i="15"/>
  <c r="AE52" i="15"/>
  <c r="AF52" i="15"/>
  <c r="AG52" i="15"/>
  <c r="E53" i="15"/>
  <c r="F53" i="15"/>
  <c r="G53" i="15"/>
  <c r="H53" i="15"/>
  <c r="I53" i="15"/>
  <c r="J53" i="15"/>
  <c r="K53" i="15"/>
  <c r="L53" i="15"/>
  <c r="M53" i="15"/>
  <c r="N53" i="15"/>
  <c r="O53" i="15"/>
  <c r="P53" i="15"/>
  <c r="Q53" i="15"/>
  <c r="R53" i="15"/>
  <c r="S53" i="15"/>
  <c r="T53" i="15"/>
  <c r="U53" i="15"/>
  <c r="V53" i="15"/>
  <c r="W53" i="15"/>
  <c r="X53" i="15"/>
  <c r="Y53" i="15"/>
  <c r="Z53" i="15"/>
  <c r="AA53" i="15"/>
  <c r="AB53" i="15"/>
  <c r="AC53" i="15"/>
  <c r="AD53" i="15"/>
  <c r="AE53" i="15"/>
  <c r="AF53" i="15"/>
  <c r="AG53" i="15"/>
  <c r="E54" i="15"/>
  <c r="F54" i="15"/>
  <c r="G54" i="15"/>
  <c r="H54" i="15"/>
  <c r="I54" i="15"/>
  <c r="J54" i="15"/>
  <c r="K54" i="15"/>
  <c r="L54" i="15"/>
  <c r="M54" i="15"/>
  <c r="N54" i="15"/>
  <c r="O54" i="15"/>
  <c r="P54" i="15"/>
  <c r="Q54" i="15"/>
  <c r="R54" i="15"/>
  <c r="S54" i="15"/>
  <c r="T54" i="15"/>
  <c r="U54" i="15"/>
  <c r="V54" i="15"/>
  <c r="W54" i="15"/>
  <c r="X54" i="15"/>
  <c r="Y54" i="15"/>
  <c r="Z54" i="15"/>
  <c r="AA54" i="15"/>
  <c r="AB54" i="15"/>
  <c r="AC54" i="15"/>
  <c r="AD54" i="15"/>
  <c r="AE54" i="15"/>
  <c r="AF54" i="15"/>
  <c r="AG54" i="15"/>
  <c r="E55" i="15"/>
  <c r="F55" i="15"/>
  <c r="G55" i="15"/>
  <c r="H55" i="15"/>
  <c r="I55" i="15"/>
  <c r="J55" i="15"/>
  <c r="K55" i="15"/>
  <c r="L55" i="15"/>
  <c r="M55" i="15"/>
  <c r="N55" i="15"/>
  <c r="O55" i="15"/>
  <c r="P55" i="15"/>
  <c r="Q55" i="15"/>
  <c r="R55" i="15"/>
  <c r="S55" i="15"/>
  <c r="T55" i="15"/>
  <c r="U55" i="15"/>
  <c r="V55" i="15"/>
  <c r="W55" i="15"/>
  <c r="X55" i="15"/>
  <c r="Y55" i="15"/>
  <c r="Z55" i="15"/>
  <c r="AA55" i="15"/>
  <c r="AB55" i="15"/>
  <c r="AC55" i="15"/>
  <c r="AD55" i="15"/>
  <c r="AE55" i="15"/>
  <c r="AF55" i="15"/>
  <c r="AG55" i="15"/>
  <c r="D55" i="15"/>
  <c r="D49" i="15"/>
  <c r="D43" i="15"/>
  <c r="D54" i="15"/>
  <c r="D42" i="15"/>
  <c r="D48" i="15"/>
  <c r="D53" i="15"/>
  <c r="D47" i="15"/>
  <c r="D41" i="15"/>
  <c r="D52" i="15"/>
  <c r="D46" i="15"/>
  <c r="D40" i="15"/>
  <c r="D51" i="15"/>
  <c r="D45" i="15"/>
  <c r="E211" i="15"/>
  <c r="F211" i="15"/>
  <c r="G211" i="15"/>
  <c r="H211" i="15"/>
  <c r="I211" i="15"/>
  <c r="J211" i="15"/>
  <c r="K211" i="15"/>
  <c r="L211" i="15"/>
  <c r="M211" i="15"/>
  <c r="N211" i="15"/>
  <c r="O211" i="15"/>
  <c r="P211" i="15"/>
  <c r="Q211" i="15"/>
  <c r="R211" i="15"/>
  <c r="S211" i="15"/>
  <c r="T211" i="15"/>
  <c r="U211" i="15"/>
  <c r="V211" i="15"/>
  <c r="W211" i="15"/>
  <c r="X211" i="15"/>
  <c r="Y211" i="15"/>
  <c r="Z211" i="15"/>
  <c r="AA211" i="15"/>
  <c r="AB211" i="15"/>
  <c r="AC211" i="15"/>
  <c r="AD211" i="15"/>
  <c r="AE211" i="15"/>
  <c r="AF211" i="15"/>
  <c r="AG211" i="15"/>
  <c r="E212" i="15"/>
  <c r="F212" i="15"/>
  <c r="G212" i="15"/>
  <c r="H212" i="15"/>
  <c r="I212" i="15"/>
  <c r="J212" i="15"/>
  <c r="K212" i="15"/>
  <c r="L212" i="15"/>
  <c r="M212" i="15"/>
  <c r="N212" i="15"/>
  <c r="O212" i="15"/>
  <c r="P212" i="15"/>
  <c r="Q212" i="15"/>
  <c r="R212" i="15"/>
  <c r="S212" i="15"/>
  <c r="T212" i="15"/>
  <c r="U212" i="15"/>
  <c r="V212" i="15"/>
  <c r="W212" i="15"/>
  <c r="X212" i="15"/>
  <c r="Y212" i="15"/>
  <c r="Z212" i="15"/>
  <c r="AA212" i="15"/>
  <c r="AB212" i="15"/>
  <c r="AC212" i="15"/>
  <c r="AD212" i="15"/>
  <c r="AE212" i="15"/>
  <c r="AF212" i="15"/>
  <c r="AG212" i="15"/>
  <c r="D211" i="15"/>
  <c r="D96" i="13" s="1"/>
  <c r="D212" i="15"/>
  <c r="C4" i="13"/>
  <c r="C3" i="13"/>
  <c r="C2" i="13"/>
  <c r="C4" i="11"/>
  <c r="C3" i="11"/>
  <c r="C2" i="11"/>
  <c r="C4" i="15"/>
  <c r="C3" i="15"/>
  <c r="C2" i="15"/>
  <c r="C4" i="2"/>
  <c r="C3" i="2"/>
  <c r="C2" i="2"/>
  <c r="C4" i="14"/>
  <c r="C3" i="14"/>
  <c r="C2" i="14"/>
  <c r="C3" i="9"/>
  <c r="C4" i="9"/>
  <c r="C2" i="9"/>
  <c r="I51" i="13"/>
  <c r="K51" i="13"/>
  <c r="L51" i="13"/>
  <c r="M51" i="13"/>
  <c r="N51" i="13"/>
  <c r="O51" i="13"/>
  <c r="Q51" i="13"/>
  <c r="R51" i="13"/>
  <c r="S51" i="13"/>
  <c r="T51" i="13"/>
  <c r="U51" i="13"/>
  <c r="V51" i="13"/>
  <c r="W51" i="13"/>
  <c r="Y51" i="13"/>
  <c r="AA51" i="13"/>
  <c r="AB51" i="13"/>
  <c r="AD51" i="13"/>
  <c r="AE51" i="13"/>
  <c r="AG51" i="13"/>
  <c r="E51" i="13"/>
  <c r="F51" i="13"/>
  <c r="G51" i="13"/>
  <c r="Z51" i="13"/>
  <c r="P89" i="13" l="1"/>
  <c r="P209" i="13" s="1"/>
  <c r="H89" i="13"/>
  <c r="H209" i="13" s="1"/>
  <c r="L89" i="13"/>
  <c r="L209" i="13" s="1"/>
  <c r="X210" i="13"/>
  <c r="AF89" i="13"/>
  <c r="AF209" i="13" s="1"/>
  <c r="X89" i="13"/>
  <c r="X209" i="13" s="1"/>
  <c r="Q89" i="13"/>
  <c r="Q209" i="13" s="1"/>
  <c r="N89" i="13"/>
  <c r="N209" i="13" s="1"/>
  <c r="Z89" i="13"/>
  <c r="Z209" i="13" s="1"/>
  <c r="Y271" i="15"/>
  <c r="Y125" i="13" s="1"/>
  <c r="Y245" i="13" s="1"/>
  <c r="AA271" i="15"/>
  <c r="AA125" i="13" s="1"/>
  <c r="AA245" i="13" s="1"/>
  <c r="Q62" i="13"/>
  <c r="Q182" i="13" s="1"/>
  <c r="K271" i="15"/>
  <c r="K125" i="13" s="1"/>
  <c r="K245" i="13" s="1"/>
  <c r="AE89" i="13"/>
  <c r="AE209" i="13" s="1"/>
  <c r="AC89" i="13"/>
  <c r="AC209" i="13" s="1"/>
  <c r="AB271" i="15"/>
  <c r="AB125" i="13" s="1"/>
  <c r="AB245" i="13" s="1"/>
  <c r="E271" i="15"/>
  <c r="E125" i="13" s="1"/>
  <c r="E245" i="13" s="1"/>
  <c r="F62" i="13"/>
  <c r="F182" i="13" s="1"/>
  <c r="E62" i="13"/>
  <c r="E182" i="13" s="1"/>
  <c r="T271" i="15"/>
  <c r="T125" i="13" s="1"/>
  <c r="T245" i="13" s="1"/>
  <c r="P271" i="15"/>
  <c r="P125" i="13" s="1"/>
  <c r="P245" i="13" s="1"/>
  <c r="AE271" i="15"/>
  <c r="AE125" i="13" s="1"/>
  <c r="AE245" i="13" s="1"/>
  <c r="N271" i="15"/>
  <c r="N125" i="13" s="1"/>
  <c r="N245" i="13" s="1"/>
  <c r="Y89" i="13"/>
  <c r="Y209" i="13" s="1"/>
  <c r="R89" i="13"/>
  <c r="R209" i="13" s="1"/>
  <c r="AB62" i="13"/>
  <c r="AB182" i="13" s="1"/>
  <c r="T62" i="13"/>
  <c r="T182" i="13" s="1"/>
  <c r="T89" i="13"/>
  <c r="T209" i="13" s="1"/>
  <c r="V89" i="13"/>
  <c r="V209" i="13" s="1"/>
  <c r="O271" i="15"/>
  <c r="O125" i="13" s="1"/>
  <c r="O245" i="13" s="1"/>
  <c r="AD271" i="15"/>
  <c r="AD125" i="13" s="1"/>
  <c r="AD245" i="13" s="1"/>
  <c r="H271" i="15"/>
  <c r="H125" i="13" s="1"/>
  <c r="H245" i="13" s="1"/>
  <c r="I89" i="13"/>
  <c r="I209" i="13" s="1"/>
  <c r="X62" i="13"/>
  <c r="X182" i="13" s="1"/>
  <c r="AA62" i="13"/>
  <c r="AA182" i="13" s="1"/>
  <c r="AG62" i="13"/>
  <c r="AG182" i="13" s="1"/>
  <c r="AE62" i="13"/>
  <c r="AE182" i="13" s="1"/>
  <c r="J62" i="13"/>
  <c r="J182" i="13" s="1"/>
  <c r="AD89" i="13"/>
  <c r="AD209" i="13" s="1"/>
  <c r="U271" i="15"/>
  <c r="U125" i="13" s="1"/>
  <c r="U245" i="13" s="1"/>
  <c r="N62" i="13"/>
  <c r="N182" i="13" s="1"/>
  <c r="AD62" i="13"/>
  <c r="AD182" i="13" s="1"/>
  <c r="W271" i="15"/>
  <c r="W125" i="13" s="1"/>
  <c r="W245" i="13" s="1"/>
  <c r="S271" i="15"/>
  <c r="S125" i="13" s="1"/>
  <c r="S245" i="13" s="1"/>
  <c r="AC271" i="15"/>
  <c r="AC125" i="13" s="1"/>
  <c r="AC245" i="13" s="1"/>
  <c r="W89" i="13"/>
  <c r="W209" i="13" s="1"/>
  <c r="M62" i="13"/>
  <c r="M182" i="13" s="1"/>
  <c r="Z62" i="13"/>
  <c r="Z182" i="13" s="1"/>
  <c r="AC62" i="13"/>
  <c r="AC182" i="13" s="1"/>
  <c r="R62" i="13"/>
  <c r="R182" i="13" s="1"/>
  <c r="AF62" i="13"/>
  <c r="AF182" i="13" s="1"/>
  <c r="D271" i="15"/>
  <c r="D125" i="13" s="1"/>
  <c r="D245" i="13" s="1"/>
  <c r="AF271" i="15"/>
  <c r="AF125" i="13" s="1"/>
  <c r="AF245" i="13" s="1"/>
  <c r="L271" i="15"/>
  <c r="L125" i="13" s="1"/>
  <c r="L245" i="13" s="1"/>
  <c r="P62" i="13"/>
  <c r="P182" i="13" s="1"/>
  <c r="M271" i="15"/>
  <c r="M125" i="13" s="1"/>
  <c r="M245" i="13" s="1"/>
  <c r="J271" i="15"/>
  <c r="J125" i="13" s="1"/>
  <c r="J245" i="13" s="1"/>
  <c r="U62" i="13"/>
  <c r="U182" i="13" s="1"/>
  <c r="U89" i="13"/>
  <c r="U209" i="13" s="1"/>
  <c r="V62" i="13"/>
  <c r="V182" i="13" s="1"/>
  <c r="Q271" i="15"/>
  <c r="Q125" i="13" s="1"/>
  <c r="Q245" i="13" s="1"/>
  <c r="G62" i="13"/>
  <c r="G182" i="13" s="1"/>
  <c r="W62" i="13"/>
  <c r="W182" i="13" s="1"/>
  <c r="I62" i="13"/>
  <c r="I182" i="13" s="1"/>
  <c r="Y62" i="13"/>
  <c r="Y182" i="13" s="1"/>
  <c r="G89" i="13"/>
  <c r="G209" i="13" s="1"/>
  <c r="R271" i="15"/>
  <c r="R125" i="13" s="1"/>
  <c r="R245" i="13" s="1"/>
  <c r="V271" i="15"/>
  <c r="V125" i="13" s="1"/>
  <c r="V245" i="13" s="1"/>
  <c r="X271" i="15"/>
  <c r="X125" i="13" s="1"/>
  <c r="F271" i="15"/>
  <c r="F125" i="13" s="1"/>
  <c r="F245" i="13" s="1"/>
  <c r="D89" i="13"/>
  <c r="D62" i="13"/>
  <c r="O62" i="13"/>
  <c r="O182" i="13" s="1"/>
  <c r="K62" i="13"/>
  <c r="K182" i="13" s="1"/>
  <c r="L62" i="13"/>
  <c r="L182" i="13" s="1"/>
  <c r="S62" i="13"/>
  <c r="S182" i="13" s="1"/>
  <c r="J89" i="13"/>
  <c r="J209" i="13" s="1"/>
  <c r="F89" i="13"/>
  <c r="F209" i="13" s="1"/>
  <c r="K89" i="13"/>
  <c r="K209" i="13" s="1"/>
  <c r="G271" i="15"/>
  <c r="G125" i="13" s="1"/>
  <c r="G245" i="13" s="1"/>
  <c r="I271" i="15"/>
  <c r="I125" i="13" s="1"/>
  <c r="I245" i="13" s="1"/>
  <c r="Z271" i="15"/>
  <c r="Z125" i="13" s="1"/>
  <c r="Z245" i="13" s="1"/>
  <c r="AG271" i="15"/>
  <c r="AG125" i="13" s="1"/>
  <c r="AG245" i="13" s="1"/>
  <c r="AH246" i="13"/>
  <c r="AH91" i="13"/>
  <c r="AH90" i="13"/>
  <c r="L262" i="13"/>
  <c r="L275" i="13" s="1"/>
  <c r="J295" i="13"/>
  <c r="J302" i="13" s="1"/>
  <c r="P283" i="13"/>
  <c r="M309" i="13"/>
  <c r="M317" i="13" s="1"/>
  <c r="L274" i="13"/>
  <c r="I274" i="13"/>
  <c r="I264" i="13"/>
  <c r="I277" i="13" s="1"/>
  <c r="H297" i="13"/>
  <c r="H304" i="13" s="1"/>
  <c r="M297" i="13"/>
  <c r="M304" i="13" s="1"/>
  <c r="P264" i="13"/>
  <c r="P277" i="13" s="1"/>
  <c r="H309" i="13"/>
  <c r="H317" i="13" s="1"/>
  <c r="I283" i="13"/>
  <c r="P274" i="13"/>
  <c r="AH247" i="13"/>
  <c r="P52" i="13"/>
  <c r="P172" i="13" s="1"/>
  <c r="U79" i="13"/>
  <c r="U199" i="13" s="1"/>
  <c r="X52" i="13"/>
  <c r="R234" i="13"/>
  <c r="N234" i="13"/>
  <c r="AD234" i="13"/>
  <c r="F234" i="13"/>
  <c r="V234" i="13"/>
  <c r="D216" i="13"/>
  <c r="AB171" i="13"/>
  <c r="R171" i="13"/>
  <c r="AA171" i="13"/>
  <c r="Q171" i="13"/>
  <c r="Y171" i="13"/>
  <c r="O171" i="13"/>
  <c r="Z171" i="13"/>
  <c r="W171" i="13"/>
  <c r="N171" i="13"/>
  <c r="G171" i="13"/>
  <c r="V171" i="13"/>
  <c r="M171" i="13"/>
  <c r="F171" i="13"/>
  <c r="L171" i="13"/>
  <c r="E171" i="13"/>
  <c r="AE171" i="13"/>
  <c r="T171" i="13"/>
  <c r="K171" i="13"/>
  <c r="U171" i="13"/>
  <c r="AD171" i="13"/>
  <c r="S171" i="13"/>
  <c r="I171" i="13"/>
  <c r="AG171" i="13"/>
  <c r="Q52" i="13"/>
  <c r="Q172" i="13" s="1"/>
  <c r="U52" i="13"/>
  <c r="U172" i="13" s="1"/>
  <c r="M79" i="13"/>
  <c r="M199" i="13" s="1"/>
  <c r="W235" i="13"/>
  <c r="AE52" i="13"/>
  <c r="AE172" i="13" s="1"/>
  <c r="G235" i="13"/>
  <c r="AE235" i="13"/>
  <c r="Z52" i="13"/>
  <c r="Z172" i="13" s="1"/>
  <c r="AF53" i="13"/>
  <c r="AF173" i="13" s="1"/>
  <c r="H53" i="13"/>
  <c r="H173" i="13" s="1"/>
  <c r="X53" i="13"/>
  <c r="P53" i="13"/>
  <c r="P173" i="13" s="1"/>
  <c r="D116" i="13"/>
  <c r="D236" i="13" s="1"/>
  <c r="O235" i="13"/>
  <c r="AD71" i="13"/>
  <c r="V71" i="13"/>
  <c r="N71" i="13"/>
  <c r="F71" i="13"/>
  <c r="E79" i="13"/>
  <c r="E199" i="13" s="1"/>
  <c r="AC79" i="13"/>
  <c r="AC199" i="13" s="1"/>
  <c r="D70" i="13"/>
  <c r="AH181" i="13" s="1"/>
  <c r="AC52" i="13"/>
  <c r="AC172" i="13" s="1"/>
  <c r="M52" i="13"/>
  <c r="M172" i="13" s="1"/>
  <c r="AB53" i="13"/>
  <c r="AB173" i="13" s="1"/>
  <c r="T53" i="13"/>
  <c r="T173" i="13" s="1"/>
  <c r="L53" i="13"/>
  <c r="L173" i="13" s="1"/>
  <c r="O52" i="13"/>
  <c r="O172" i="13" s="1"/>
  <c r="AA52" i="13"/>
  <c r="AA172" i="13" s="1"/>
  <c r="V53" i="13"/>
  <c r="V173" i="13" s="1"/>
  <c r="R52" i="13"/>
  <c r="R172" i="13" s="1"/>
  <c r="AD53" i="13"/>
  <c r="AD173" i="13" s="1"/>
  <c r="Y52" i="13"/>
  <c r="Y172" i="13" s="1"/>
  <c r="AD52" i="13"/>
  <c r="AD172" i="13" s="1"/>
  <c r="N52" i="13"/>
  <c r="N172" i="13" s="1"/>
  <c r="AG53" i="13"/>
  <c r="Y53" i="13"/>
  <c r="Y173" i="13" s="1"/>
  <c r="Q53" i="13"/>
  <c r="Q173" i="13" s="1"/>
  <c r="V52" i="13"/>
  <c r="V172" i="13" s="1"/>
  <c r="AB52" i="13"/>
  <c r="AB172" i="13" s="1"/>
  <c r="L52" i="13"/>
  <c r="L172" i="13" s="1"/>
  <c r="J52" i="13"/>
  <c r="J172" i="13" s="1"/>
  <c r="S52" i="13"/>
  <c r="S172" i="13" s="1"/>
  <c r="E52" i="13"/>
  <c r="E172" i="13" s="1"/>
  <c r="T52" i="13"/>
  <c r="T172" i="13" s="1"/>
  <c r="I52" i="13"/>
  <c r="I172" i="13" s="1"/>
  <c r="AF52" i="13"/>
  <c r="AF172" i="13" s="1"/>
  <c r="H52" i="13"/>
  <c r="H172" i="13" s="1"/>
  <c r="W52" i="13"/>
  <c r="W172" i="13" s="1"/>
  <c r="G52" i="13"/>
  <c r="G172" i="13" s="1"/>
  <c r="Z53" i="13"/>
  <c r="Z173" i="13" s="1"/>
  <c r="J53" i="13"/>
  <c r="J173" i="13" s="1"/>
  <c r="R53" i="13"/>
  <c r="R173" i="13" s="1"/>
  <c r="I53" i="13"/>
  <c r="I173" i="13" s="1"/>
  <c r="AA53" i="13"/>
  <c r="AA173" i="13" s="1"/>
  <c r="S53" i="13"/>
  <c r="S173" i="13" s="1"/>
  <c r="K53" i="13"/>
  <c r="K173" i="13" s="1"/>
  <c r="AE53" i="13"/>
  <c r="AE173" i="13" s="1"/>
  <c r="W53" i="13"/>
  <c r="W173" i="13" s="1"/>
  <c r="O53" i="13"/>
  <c r="O173" i="13" s="1"/>
  <c r="G53" i="13"/>
  <c r="G173" i="13" s="1"/>
  <c r="AC53" i="13"/>
  <c r="AC173" i="13" s="1"/>
  <c r="U53" i="13"/>
  <c r="U173" i="13" s="1"/>
  <c r="M53" i="13"/>
  <c r="M173" i="13" s="1"/>
  <c r="E53" i="13"/>
  <c r="E173" i="13" s="1"/>
  <c r="F52" i="13"/>
  <c r="F172" i="13" s="1"/>
  <c r="AC51" i="13"/>
  <c r="J51" i="13"/>
  <c r="AA70" i="13"/>
  <c r="S70" i="13"/>
  <c r="K70" i="13"/>
  <c r="F53" i="13"/>
  <c r="F173" i="13" s="1"/>
  <c r="N53" i="13"/>
  <c r="N173" i="13" s="1"/>
  <c r="AC17" i="13"/>
  <c r="AC137" i="13" s="1"/>
  <c r="U17" i="13"/>
  <c r="U137" i="13" s="1"/>
  <c r="M17" i="13"/>
  <c r="M137" i="13" s="1"/>
  <c r="E17" i="13"/>
  <c r="E137" i="13" s="1"/>
  <c r="H80" i="13"/>
  <c r="H200" i="13" s="1"/>
  <c r="P80" i="13"/>
  <c r="P200" i="13" s="1"/>
  <c r="X80" i="13"/>
  <c r="Z15" i="13"/>
  <c r="AF69" i="13"/>
  <c r="X69" i="13"/>
  <c r="P69" i="13"/>
  <c r="R15" i="13"/>
  <c r="J15" i="13"/>
  <c r="H69" i="13"/>
  <c r="J78" i="13"/>
  <c r="J198" i="13" s="1"/>
  <c r="R78" i="13"/>
  <c r="R198" i="13" s="1"/>
  <c r="Z78" i="13"/>
  <c r="Z198" i="13" s="1"/>
  <c r="X51" i="13"/>
  <c r="H254" i="13" s="1"/>
  <c r="AF51" i="13"/>
  <c r="K52" i="13"/>
  <c r="K172" i="13" s="1"/>
  <c r="AG52" i="13"/>
  <c r="AG54" i="13" s="1"/>
  <c r="H51" i="13"/>
  <c r="P51" i="13"/>
  <c r="D52" i="13"/>
  <c r="D172" i="13" s="1"/>
  <c r="AG17" i="13"/>
  <c r="N78" i="13"/>
  <c r="N198" i="13" s="1"/>
  <c r="AB80" i="13"/>
  <c r="AB200" i="13" s="1"/>
  <c r="Q17" i="13"/>
  <c r="Q137" i="13" s="1"/>
  <c r="F78" i="13"/>
  <c r="F198" i="13" s="1"/>
  <c r="T80" i="13"/>
  <c r="T200" i="13" s="1"/>
  <c r="Q79" i="13"/>
  <c r="Q199" i="13" s="1"/>
  <c r="D51" i="13"/>
  <c r="D54" i="13" s="1"/>
  <c r="O117" i="13"/>
  <c r="AD78" i="13"/>
  <c r="AD198" i="13" s="1"/>
  <c r="L80" i="13"/>
  <c r="L200" i="13" s="1"/>
  <c r="Y17" i="13"/>
  <c r="Y137" i="13" s="1"/>
  <c r="Y79" i="13"/>
  <c r="Y199" i="13" s="1"/>
  <c r="K235" i="13"/>
  <c r="S235" i="13"/>
  <c r="AA235" i="13"/>
  <c r="E236" i="13"/>
  <c r="M236" i="13"/>
  <c r="U236" i="13"/>
  <c r="I17" i="13"/>
  <c r="I137" i="13" s="1"/>
  <c r="I79" i="13"/>
  <c r="I199" i="13" s="1"/>
  <c r="D69" i="13"/>
  <c r="V78" i="13"/>
  <c r="V198" i="13" s="1"/>
  <c r="AG79" i="13"/>
  <c r="Z71" i="13"/>
  <c r="R71" i="13"/>
  <c r="J71" i="13"/>
  <c r="AE70" i="13"/>
  <c r="W70" i="13"/>
  <c r="O70" i="13"/>
  <c r="G70" i="13"/>
  <c r="AB69" i="13"/>
  <c r="T69" i="13"/>
  <c r="L69" i="13"/>
  <c r="L78" i="13"/>
  <c r="L198" i="13" s="1"/>
  <c r="T78" i="13"/>
  <c r="T198" i="13" s="1"/>
  <c r="AB78" i="13"/>
  <c r="AB198" i="13" s="1"/>
  <c r="G79" i="13"/>
  <c r="G199" i="13" s="1"/>
  <c r="O79" i="13"/>
  <c r="O199" i="13" s="1"/>
  <c r="W79" i="13"/>
  <c r="W199" i="13" s="1"/>
  <c r="AE79" i="13"/>
  <c r="AE199" i="13" s="1"/>
  <c r="J80" i="13"/>
  <c r="J200" i="13" s="1"/>
  <c r="R80" i="13"/>
  <c r="R200" i="13" s="1"/>
  <c r="Z80" i="13"/>
  <c r="Z200" i="13" s="1"/>
  <c r="D114" i="13"/>
  <c r="AF71" i="13"/>
  <c r="X71" i="13"/>
  <c r="P71" i="13"/>
  <c r="H71" i="13"/>
  <c r="AC70" i="13"/>
  <c r="U70" i="13"/>
  <c r="M70" i="13"/>
  <c r="E70" i="13"/>
  <c r="Z69" i="13"/>
  <c r="R69" i="13"/>
  <c r="J69" i="13"/>
  <c r="AA107" i="13"/>
  <c r="S107" i="13"/>
  <c r="AE17" i="13"/>
  <c r="AE137" i="13" s="1"/>
  <c r="W17" i="13"/>
  <c r="W137" i="13" s="1"/>
  <c r="O17" i="13"/>
  <c r="O137" i="13" s="1"/>
  <c r="G17" i="13"/>
  <c r="G137" i="13" s="1"/>
  <c r="AG107" i="13"/>
  <c r="Y107" i="13"/>
  <c r="Q107" i="13"/>
  <c r="I107" i="13"/>
  <c r="AD106" i="13"/>
  <c r="I235" i="13"/>
  <c r="Q235" i="13"/>
  <c r="Y235" i="13"/>
  <c r="L236" i="13"/>
  <c r="T236" i="13"/>
  <c r="AB236" i="13"/>
  <c r="AE15" i="13"/>
  <c r="W15" i="13"/>
  <c r="O15" i="13"/>
  <c r="G15" i="13"/>
  <c r="AA71" i="13"/>
  <c r="S71" i="13"/>
  <c r="K71" i="13"/>
  <c r="AF70" i="13"/>
  <c r="X70" i="13"/>
  <c r="P70" i="13"/>
  <c r="H70" i="13"/>
  <c r="D105" i="13"/>
  <c r="L235" i="13"/>
  <c r="AA69" i="15"/>
  <c r="AA33" i="13" s="1"/>
  <c r="D53" i="13"/>
  <c r="D173" i="13" s="1"/>
  <c r="AB15" i="13"/>
  <c r="T15" i="13"/>
  <c r="L15" i="13"/>
  <c r="G16" i="13"/>
  <c r="G136" i="13" s="1"/>
  <c r="W16" i="13"/>
  <c r="W136" i="13" s="1"/>
  <c r="O16" i="13"/>
  <c r="O136" i="13" s="1"/>
  <c r="AE16" i="13"/>
  <c r="AE136" i="13" s="1"/>
  <c r="Y16" i="13"/>
  <c r="Y136" i="13" s="1"/>
  <c r="Q16" i="13"/>
  <c r="Q136" i="13" s="1"/>
  <c r="I16" i="13"/>
  <c r="I136" i="13" s="1"/>
  <c r="AG16" i="13"/>
  <c r="AA16" i="13"/>
  <c r="AA136" i="13" s="1"/>
  <c r="S16" i="13"/>
  <c r="S136" i="13" s="1"/>
  <c r="K16" i="13"/>
  <c r="K136" i="13" s="1"/>
  <c r="Z16" i="13"/>
  <c r="Z136" i="13" s="1"/>
  <c r="R16" i="13"/>
  <c r="R136" i="13" s="1"/>
  <c r="J16" i="13"/>
  <c r="J136" i="13" s="1"/>
  <c r="AD15" i="13"/>
  <c r="F15" i="13"/>
  <c r="V15" i="13"/>
  <c r="N15" i="13"/>
  <c r="V106" i="13"/>
  <c r="N106" i="13"/>
  <c r="F106" i="13"/>
  <c r="AA105" i="13"/>
  <c r="S105" i="13"/>
  <c r="K105" i="13"/>
  <c r="AE98" i="13"/>
  <c r="AE218" i="13" s="1"/>
  <c r="W98" i="13"/>
  <c r="W218" i="13" s="1"/>
  <c r="O98" i="13"/>
  <c r="O218" i="13" s="1"/>
  <c r="G98" i="13"/>
  <c r="G218" i="13" s="1"/>
  <c r="AB97" i="13"/>
  <c r="AB217" i="13" s="1"/>
  <c r="T97" i="13"/>
  <c r="T217" i="13" s="1"/>
  <c r="L97" i="13"/>
  <c r="L217" i="13" s="1"/>
  <c r="AG96" i="13"/>
  <c r="Y96" i="13"/>
  <c r="Q96" i="13"/>
  <c r="I96" i="13"/>
  <c r="O81" i="15"/>
  <c r="O35" i="13" s="1"/>
  <c r="O155" i="13" s="1"/>
  <c r="AF80" i="13"/>
  <c r="AF200" i="13" s="1"/>
  <c r="O80" i="13"/>
  <c r="O200" i="13" s="1"/>
  <c r="AC236" i="13"/>
  <c r="W112" i="15"/>
  <c r="W44" i="13" s="1"/>
  <c r="W164" i="13" s="1"/>
  <c r="S69" i="15"/>
  <c r="S33" i="13" s="1"/>
  <c r="D80" i="13"/>
  <c r="D200" i="13" s="1"/>
  <c r="K107" i="13"/>
  <c r="AF106" i="13"/>
  <c r="X106" i="13"/>
  <c r="P106" i="13"/>
  <c r="H106" i="13"/>
  <c r="AC105" i="13"/>
  <c r="U105" i="13"/>
  <c r="M105" i="13"/>
  <c r="E105" i="13"/>
  <c r="AG98" i="13"/>
  <c r="Y98" i="13"/>
  <c r="Y218" i="13" s="1"/>
  <c r="Q98" i="13"/>
  <c r="Q218" i="13" s="1"/>
  <c r="I98" i="13"/>
  <c r="I218" i="13" s="1"/>
  <c r="AD97" i="13"/>
  <c r="AD217" i="13" s="1"/>
  <c r="V97" i="13"/>
  <c r="V217" i="13" s="1"/>
  <c r="N97" i="13"/>
  <c r="N217" i="13" s="1"/>
  <c r="AB71" i="13"/>
  <c r="T71" i="13"/>
  <c r="L71" i="13"/>
  <c r="AG70" i="13"/>
  <c r="Y70" i="13"/>
  <c r="Q70" i="13"/>
  <c r="I70" i="13"/>
  <c r="AD69" i="13"/>
  <c r="V69" i="13"/>
  <c r="N69" i="13"/>
  <c r="F69" i="13"/>
  <c r="AE107" i="13"/>
  <c r="W107" i="13"/>
  <c r="O107" i="13"/>
  <c r="G107" i="13"/>
  <c r="AB106" i="13"/>
  <c r="T106" i="13"/>
  <c r="L106" i="13"/>
  <c r="AG105" i="13"/>
  <c r="Y105" i="13"/>
  <c r="Q105" i="13"/>
  <c r="I105" i="13"/>
  <c r="AC98" i="13"/>
  <c r="AC218" i="13" s="1"/>
  <c r="U98" i="13"/>
  <c r="U218" i="13" s="1"/>
  <c r="M98" i="13"/>
  <c r="M218" i="13" s="1"/>
  <c r="E98" i="13"/>
  <c r="E218" i="13" s="1"/>
  <c r="Z97" i="13"/>
  <c r="Z217" i="13" s="1"/>
  <c r="R97" i="13"/>
  <c r="R217" i="13" s="1"/>
  <c r="J97" i="13"/>
  <c r="J217" i="13" s="1"/>
  <c r="AE96" i="13"/>
  <c r="W96" i="13"/>
  <c r="O96" i="13"/>
  <c r="G96" i="13"/>
  <c r="AD81" i="15"/>
  <c r="AD35" i="13" s="1"/>
  <c r="AD155" i="13" s="1"/>
  <c r="V81" i="15"/>
  <c r="V35" i="13" s="1"/>
  <c r="V155" i="13" s="1"/>
  <c r="N81" i="15"/>
  <c r="N35" i="13" s="1"/>
  <c r="N155" i="13" s="1"/>
  <c r="F81" i="15"/>
  <c r="F35" i="13" s="1"/>
  <c r="F155" i="13" s="1"/>
  <c r="AF81" i="15"/>
  <c r="AF35" i="13" s="1"/>
  <c r="AF155" i="13" s="1"/>
  <c r="X81" i="15"/>
  <c r="X35" i="13" s="1"/>
  <c r="X155" i="13" s="1"/>
  <c r="P81" i="15"/>
  <c r="P35" i="13" s="1"/>
  <c r="P155" i="13" s="1"/>
  <c r="H81" i="15"/>
  <c r="H35" i="13" s="1"/>
  <c r="H155" i="13" s="1"/>
  <c r="AC81" i="15"/>
  <c r="AC35" i="13" s="1"/>
  <c r="AC155" i="13" s="1"/>
  <c r="U81" i="15"/>
  <c r="U35" i="13" s="1"/>
  <c r="U155" i="13" s="1"/>
  <c r="M81" i="15"/>
  <c r="M35" i="13" s="1"/>
  <c r="M155" i="13" s="1"/>
  <c r="E81" i="15"/>
  <c r="E35" i="13" s="1"/>
  <c r="E155" i="13" s="1"/>
  <c r="Z81" i="15"/>
  <c r="Z35" i="13" s="1"/>
  <c r="Z155" i="13" s="1"/>
  <c r="R81" i="15"/>
  <c r="R35" i="13" s="1"/>
  <c r="R155" i="13" s="1"/>
  <c r="J81" i="15"/>
  <c r="J35" i="13" s="1"/>
  <c r="J155" i="13" s="1"/>
  <c r="K69" i="15"/>
  <c r="K33" i="13" s="1"/>
  <c r="AE112" i="15"/>
  <c r="AE44" i="13" s="1"/>
  <c r="AE164" i="13" s="1"/>
  <c r="O112" i="15"/>
  <c r="O44" i="13" s="1"/>
  <c r="O164" i="13" s="1"/>
  <c r="AB106" i="15"/>
  <c r="AB43" i="13" s="1"/>
  <c r="AB163" i="13" s="1"/>
  <c r="T106" i="15"/>
  <c r="T43" i="13" s="1"/>
  <c r="T163" i="13" s="1"/>
  <c r="L106" i="15"/>
  <c r="L43" i="13" s="1"/>
  <c r="L163" i="13" s="1"/>
  <c r="S17" i="13"/>
  <c r="S137" i="13" s="1"/>
  <c r="E235" i="13"/>
  <c r="M235" i="13"/>
  <c r="U235" i="13"/>
  <c r="AC235" i="13"/>
  <c r="K17" i="13"/>
  <c r="K137" i="13" s="1"/>
  <c r="Z17" i="13"/>
  <c r="Z137" i="13" s="1"/>
  <c r="R17" i="13"/>
  <c r="R137" i="13" s="1"/>
  <c r="J17" i="13"/>
  <c r="J137" i="13" s="1"/>
  <c r="D16" i="13"/>
  <c r="D136" i="13" s="1"/>
  <c r="AG71" i="13"/>
  <c r="Y71" i="13"/>
  <c r="Q71" i="13"/>
  <c r="I71" i="13"/>
  <c r="H236" i="13"/>
  <c r="P236" i="13"/>
  <c r="X236" i="13"/>
  <c r="O256" i="13" s="1"/>
  <c r="AF236" i="13"/>
  <c r="AE81" i="15"/>
  <c r="AE35" i="13" s="1"/>
  <c r="AE155" i="13" s="1"/>
  <c r="G81" i="15"/>
  <c r="G35" i="13" s="1"/>
  <c r="G155" i="13" s="1"/>
  <c r="G112" i="15"/>
  <c r="G44" i="13" s="1"/>
  <c r="G164" i="13" s="1"/>
  <c r="AC106" i="15"/>
  <c r="AC43" i="13" s="1"/>
  <c r="AC163" i="13" s="1"/>
  <c r="U106" i="15"/>
  <c r="U43" i="13" s="1"/>
  <c r="U163" i="13" s="1"/>
  <c r="M106" i="15"/>
  <c r="M43" i="13" s="1"/>
  <c r="M163" i="13" s="1"/>
  <c r="E106" i="15"/>
  <c r="E43" i="13" s="1"/>
  <c r="E163" i="13" s="1"/>
  <c r="AA17" i="13"/>
  <c r="AA137" i="13" s="1"/>
  <c r="AD16" i="13"/>
  <c r="AD136" i="13" s="1"/>
  <c r="F16" i="13"/>
  <c r="F136" i="13" s="1"/>
  <c r="I236" i="13"/>
  <c r="Q236" i="13"/>
  <c r="Y236" i="13"/>
  <c r="AB75" i="15"/>
  <c r="AB34" i="13" s="1"/>
  <c r="AB154" i="13" s="1"/>
  <c r="T75" i="15"/>
  <c r="T34" i="13" s="1"/>
  <c r="T154" i="13" s="1"/>
  <c r="L75" i="15"/>
  <c r="L34" i="13" s="1"/>
  <c r="L154" i="13" s="1"/>
  <c r="V16" i="13"/>
  <c r="V136" i="13" s="1"/>
  <c r="N16" i="13"/>
  <c r="N136" i="13" s="1"/>
  <c r="D15" i="13"/>
  <c r="AC16" i="13"/>
  <c r="AC136" i="13" s="1"/>
  <c r="U16" i="13"/>
  <c r="U136" i="13" s="1"/>
  <c r="M16" i="13"/>
  <c r="M136" i="13" s="1"/>
  <c r="E16" i="13"/>
  <c r="E136" i="13" s="1"/>
  <c r="G78" i="13"/>
  <c r="G198" i="13" s="1"/>
  <c r="O78" i="13"/>
  <c r="O198" i="13" s="1"/>
  <c r="W78" i="13"/>
  <c r="W198" i="13" s="1"/>
  <c r="AE78" i="13"/>
  <c r="AE198" i="13" s="1"/>
  <c r="J79" i="13"/>
  <c r="J199" i="13" s="1"/>
  <c r="AE75" i="15"/>
  <c r="AE34" i="13" s="1"/>
  <c r="AE154" i="13" s="1"/>
  <c r="W75" i="15"/>
  <c r="W34" i="13" s="1"/>
  <c r="W154" i="13" s="1"/>
  <c r="O75" i="15"/>
  <c r="O34" i="13" s="1"/>
  <c r="O154" i="13" s="1"/>
  <c r="G75" i="15"/>
  <c r="G34" i="13" s="1"/>
  <c r="G154" i="13" s="1"/>
  <c r="T16" i="13"/>
  <c r="T136" i="13" s="1"/>
  <c r="AG15" i="13"/>
  <c r="I15" i="13"/>
  <c r="H78" i="13"/>
  <c r="H198" i="13" s="1"/>
  <c r="P78" i="13"/>
  <c r="P198" i="13" s="1"/>
  <c r="X78" i="13"/>
  <c r="AF78" i="13"/>
  <c r="AF198" i="13" s="1"/>
  <c r="K79" i="13"/>
  <c r="K199" i="13" s="1"/>
  <c r="S79" i="13"/>
  <c r="S199" i="13" s="1"/>
  <c r="AA79" i="13"/>
  <c r="AA199" i="13" s="1"/>
  <c r="F80" i="13"/>
  <c r="F200" i="13" s="1"/>
  <c r="N80" i="13"/>
  <c r="N200" i="13" s="1"/>
  <c r="V80" i="13"/>
  <c r="V200" i="13" s="1"/>
  <c r="AD80" i="13"/>
  <c r="AD200" i="13" s="1"/>
  <c r="D78" i="13"/>
  <c r="D198" i="13" s="1"/>
  <c r="W81" i="15"/>
  <c r="W35" i="13" s="1"/>
  <c r="W155" i="13" s="1"/>
  <c r="AA100" i="15"/>
  <c r="AA42" i="13" s="1"/>
  <c r="S100" i="15"/>
  <c r="S42" i="13" s="1"/>
  <c r="AB16" i="13"/>
  <c r="AB136" i="13" s="1"/>
  <c r="L16" i="13"/>
  <c r="L136" i="13" s="1"/>
  <c r="Y15" i="13"/>
  <c r="Q15" i="13"/>
  <c r="AF15" i="13"/>
  <c r="X15" i="13"/>
  <c r="D254" i="13" s="1"/>
  <c r="P15" i="13"/>
  <c r="H15" i="13"/>
  <c r="G80" i="13"/>
  <c r="G200" i="13" s="1"/>
  <c r="W80" i="13"/>
  <c r="W200" i="13" s="1"/>
  <c r="AE80" i="13"/>
  <c r="AE200" i="13" s="1"/>
  <c r="J235" i="13"/>
  <c r="R235" i="13"/>
  <c r="Z235" i="13"/>
  <c r="AC75" i="15"/>
  <c r="AC34" i="13" s="1"/>
  <c r="AC154" i="13" s="1"/>
  <c r="U75" i="15"/>
  <c r="U34" i="13" s="1"/>
  <c r="U154" i="13" s="1"/>
  <c r="M75" i="15"/>
  <c r="M34" i="13" s="1"/>
  <c r="M154" i="13" s="1"/>
  <c r="E75" i="15"/>
  <c r="E34" i="13" s="1"/>
  <c r="E154" i="13" s="1"/>
  <c r="AF112" i="15"/>
  <c r="AF44" i="13" s="1"/>
  <c r="AF164" i="13" s="1"/>
  <c r="X112" i="15"/>
  <c r="X44" i="13" s="1"/>
  <c r="P112" i="15"/>
  <c r="P44" i="13" s="1"/>
  <c r="P164" i="13" s="1"/>
  <c r="H112" i="15"/>
  <c r="H44" i="13" s="1"/>
  <c r="H164" i="13" s="1"/>
  <c r="K100" i="15"/>
  <c r="K42" i="13" s="1"/>
  <c r="AA15" i="13"/>
  <c r="K15" i="13"/>
  <c r="AF17" i="13"/>
  <c r="AF137" i="13" s="1"/>
  <c r="X17" i="13"/>
  <c r="P17" i="13"/>
  <c r="P137" i="13" s="1"/>
  <c r="H17" i="13"/>
  <c r="H137" i="13" s="1"/>
  <c r="AE71" i="13"/>
  <c r="W71" i="13"/>
  <c r="O71" i="13"/>
  <c r="G71" i="13"/>
  <c r="AB70" i="13"/>
  <c r="T70" i="13"/>
  <c r="L70" i="13"/>
  <c r="AG69" i="13"/>
  <c r="Y69" i="13"/>
  <c r="Q69" i="13"/>
  <c r="I69" i="13"/>
  <c r="R79" i="13"/>
  <c r="R199" i="13" s="1"/>
  <c r="Z79" i="13"/>
  <c r="Z199" i="13" s="1"/>
  <c r="E80" i="13"/>
  <c r="E200" i="13" s="1"/>
  <c r="M80" i="13"/>
  <c r="M200" i="13" s="1"/>
  <c r="U80" i="13"/>
  <c r="U200" i="13" s="1"/>
  <c r="AC80" i="13"/>
  <c r="AC200" i="13" s="1"/>
  <c r="D79" i="13"/>
  <c r="D199" i="13" s="1"/>
  <c r="D98" i="13"/>
  <c r="D218" i="13" s="1"/>
  <c r="Z107" i="13"/>
  <c r="R107" i="13"/>
  <c r="J107" i="13"/>
  <c r="AE106" i="13"/>
  <c r="W106" i="13"/>
  <c r="O106" i="13"/>
  <c r="G106" i="13"/>
  <c r="AB105" i="13"/>
  <c r="T105" i="13"/>
  <c r="L105" i="13"/>
  <c r="AF98" i="13"/>
  <c r="AF218" i="13" s="1"/>
  <c r="X98" i="13"/>
  <c r="P98" i="13"/>
  <c r="P218" i="13" s="1"/>
  <c r="H98" i="13"/>
  <c r="H218" i="13" s="1"/>
  <c r="AC97" i="13"/>
  <c r="AC217" i="13" s="1"/>
  <c r="U97" i="13"/>
  <c r="U217" i="13" s="1"/>
  <c r="M97" i="13"/>
  <c r="M217" i="13" s="1"/>
  <c r="E97" i="13"/>
  <c r="E217" i="13" s="1"/>
  <c r="Z96" i="13"/>
  <c r="R96" i="13"/>
  <c r="J96" i="13"/>
  <c r="H235" i="13"/>
  <c r="P235" i="13"/>
  <c r="X235" i="13"/>
  <c r="O255" i="13" s="1"/>
  <c r="AF235" i="13"/>
  <c r="J236" i="13"/>
  <c r="R236" i="13"/>
  <c r="Z236" i="13"/>
  <c r="AD17" i="13"/>
  <c r="AD137" i="13" s="1"/>
  <c r="V17" i="13"/>
  <c r="V137" i="13" s="1"/>
  <c r="N17" i="13"/>
  <c r="N137" i="13" s="1"/>
  <c r="F17" i="13"/>
  <c r="F137" i="13" s="1"/>
  <c r="AC71" i="13"/>
  <c r="U71" i="13"/>
  <c r="M71" i="13"/>
  <c r="E71" i="13"/>
  <c r="Z70" i="13"/>
  <c r="R70" i="13"/>
  <c r="J70" i="13"/>
  <c r="AE69" i="13"/>
  <c r="W69" i="13"/>
  <c r="O69" i="13"/>
  <c r="G69" i="13"/>
  <c r="I78" i="13"/>
  <c r="I198" i="13" s="1"/>
  <c r="Q78" i="13"/>
  <c r="Q198" i="13" s="1"/>
  <c r="Y78" i="13"/>
  <c r="Y198" i="13" s="1"/>
  <c r="AG78" i="13"/>
  <c r="AG198" i="13" s="1"/>
  <c r="L79" i="13"/>
  <c r="L199" i="13" s="1"/>
  <c r="T79" i="13"/>
  <c r="T199" i="13" s="1"/>
  <c r="AB79" i="13"/>
  <c r="AB199" i="13" s="1"/>
  <c r="AF107" i="13"/>
  <c r="X107" i="13"/>
  <c r="P107" i="13"/>
  <c r="H107" i="13"/>
  <c r="AC106" i="13"/>
  <c r="U106" i="13"/>
  <c r="M106" i="13"/>
  <c r="E106" i="13"/>
  <c r="Z105" i="13"/>
  <c r="R105" i="13"/>
  <c r="J105" i="13"/>
  <c r="AD98" i="13"/>
  <c r="AD218" i="13" s="1"/>
  <c r="V98" i="13"/>
  <c r="V218" i="13" s="1"/>
  <c r="N98" i="13"/>
  <c r="N218" i="13" s="1"/>
  <c r="F98" i="13"/>
  <c r="F218" i="13" s="1"/>
  <c r="AA97" i="13"/>
  <c r="AA217" i="13" s="1"/>
  <c r="S97" i="13"/>
  <c r="S217" i="13" s="1"/>
  <c r="K97" i="13"/>
  <c r="K217" i="13" s="1"/>
  <c r="AF96" i="13"/>
  <c r="X96" i="13"/>
  <c r="M254" i="13" s="1"/>
  <c r="P96" i="13"/>
  <c r="H96" i="13"/>
  <c r="D97" i="13"/>
  <c r="D217" i="13" s="1"/>
  <c r="AB17" i="13"/>
  <c r="AB137" i="13" s="1"/>
  <c r="T17" i="13"/>
  <c r="T137" i="13" s="1"/>
  <c r="L17" i="13"/>
  <c r="L137" i="13" s="1"/>
  <c r="AC69" i="13"/>
  <c r="U69" i="13"/>
  <c r="M69" i="13"/>
  <c r="E69" i="13"/>
  <c r="K78" i="13"/>
  <c r="K198" i="13" s="1"/>
  <c r="S78" i="13"/>
  <c r="S198" i="13" s="1"/>
  <c r="AA78" i="13"/>
  <c r="AA198" i="13" s="1"/>
  <c r="F79" i="13"/>
  <c r="F199" i="13" s="1"/>
  <c r="N79" i="13"/>
  <c r="N199" i="13" s="1"/>
  <c r="V79" i="13"/>
  <c r="V199" i="13" s="1"/>
  <c r="AD79" i="13"/>
  <c r="AD199" i="13" s="1"/>
  <c r="I80" i="13"/>
  <c r="I200" i="13" s="1"/>
  <c r="Q80" i="13"/>
  <c r="Q200" i="13" s="1"/>
  <c r="Y80" i="13"/>
  <c r="Y200" i="13" s="1"/>
  <c r="AG80" i="13"/>
  <c r="D71" i="13"/>
  <c r="AD107" i="13"/>
  <c r="V107" i="13"/>
  <c r="N107" i="13"/>
  <c r="F107" i="13"/>
  <c r="AA106" i="13"/>
  <c r="S106" i="13"/>
  <c r="K106" i="13"/>
  <c r="AF105" i="13"/>
  <c r="X105" i="13"/>
  <c r="P105" i="13"/>
  <c r="H105" i="13"/>
  <c r="AB98" i="13"/>
  <c r="AB218" i="13" s="1"/>
  <c r="T98" i="13"/>
  <c r="T218" i="13" s="1"/>
  <c r="L98" i="13"/>
  <c r="L218" i="13" s="1"/>
  <c r="AG97" i="13"/>
  <c r="Y97" i="13"/>
  <c r="Y217" i="13" s="1"/>
  <c r="Q97" i="13"/>
  <c r="Q217" i="13" s="1"/>
  <c r="I97" i="13"/>
  <c r="I217" i="13" s="1"/>
  <c r="AD96" i="13"/>
  <c r="V96" i="13"/>
  <c r="N96" i="13"/>
  <c r="F96" i="13"/>
  <c r="D115" i="13"/>
  <c r="D235" i="13" s="1"/>
  <c r="T235" i="13"/>
  <c r="AB235" i="13"/>
  <c r="F236" i="13"/>
  <c r="N236" i="13"/>
  <c r="V236" i="13"/>
  <c r="AD236" i="13"/>
  <c r="D17" i="13"/>
  <c r="D137" i="13" s="1"/>
  <c r="AF16" i="13"/>
  <c r="AF136" i="13" s="1"/>
  <c r="X16" i="13"/>
  <c r="P16" i="13"/>
  <c r="P136" i="13" s="1"/>
  <c r="H16" i="13"/>
  <c r="H136" i="13" s="1"/>
  <c r="AC15" i="13"/>
  <c r="U15" i="13"/>
  <c r="M15" i="13"/>
  <c r="E15" i="13"/>
  <c r="D106" i="13"/>
  <c r="AC107" i="13"/>
  <c r="U107" i="13"/>
  <c r="M107" i="13"/>
  <c r="E107" i="13"/>
  <c r="Z106" i="13"/>
  <c r="R106" i="13"/>
  <c r="J106" i="13"/>
  <c r="AE105" i="13"/>
  <c r="W105" i="13"/>
  <c r="O105" i="13"/>
  <c r="G105" i="13"/>
  <c r="AA98" i="13"/>
  <c r="AA218" i="13" s="1"/>
  <c r="S98" i="13"/>
  <c r="S218" i="13" s="1"/>
  <c r="K98" i="13"/>
  <c r="K218" i="13" s="1"/>
  <c r="AF97" i="13"/>
  <c r="AF217" i="13" s="1"/>
  <c r="X97" i="13"/>
  <c r="P97" i="13"/>
  <c r="P217" i="13" s="1"/>
  <c r="H97" i="13"/>
  <c r="H217" i="13" s="1"/>
  <c r="AC96" i="13"/>
  <c r="U96" i="13"/>
  <c r="M96" i="13"/>
  <c r="E96" i="13"/>
  <c r="S117" i="13"/>
  <c r="AD70" i="13"/>
  <c r="V70" i="13"/>
  <c r="N70" i="13"/>
  <c r="F70" i="13"/>
  <c r="AA69" i="13"/>
  <c r="S69" i="13"/>
  <c r="K69" i="13"/>
  <c r="E78" i="13"/>
  <c r="M78" i="13"/>
  <c r="U78" i="13"/>
  <c r="AC78" i="13"/>
  <c r="AC198" i="13" s="1"/>
  <c r="H79" i="13"/>
  <c r="H199" i="13" s="1"/>
  <c r="P79" i="13"/>
  <c r="P199" i="13" s="1"/>
  <c r="X79" i="13"/>
  <c r="AF79" i="13"/>
  <c r="AF199" i="13" s="1"/>
  <c r="K80" i="13"/>
  <c r="K200" i="13" s="1"/>
  <c r="S80" i="13"/>
  <c r="S200" i="13" s="1"/>
  <c r="AA80" i="13"/>
  <c r="AA200" i="13" s="1"/>
  <c r="D107" i="13"/>
  <c r="AB107" i="13"/>
  <c r="T107" i="13"/>
  <c r="L107" i="13"/>
  <c r="AG106" i="13"/>
  <c r="Y106" i="13"/>
  <c r="Q106" i="13"/>
  <c r="I106" i="13"/>
  <c r="AD105" i="13"/>
  <c r="V105" i="13"/>
  <c r="N105" i="13"/>
  <c r="F105" i="13"/>
  <c r="Z98" i="13"/>
  <c r="Z218" i="13" s="1"/>
  <c r="R98" i="13"/>
  <c r="R218" i="13" s="1"/>
  <c r="J98" i="13"/>
  <c r="J218" i="13" s="1"/>
  <c r="AE97" i="13"/>
  <c r="AE217" i="13" s="1"/>
  <c r="W97" i="13"/>
  <c r="W217" i="13" s="1"/>
  <c r="O97" i="13"/>
  <c r="O217" i="13" s="1"/>
  <c r="G97" i="13"/>
  <c r="G217" i="13" s="1"/>
  <c r="AB96" i="13"/>
  <c r="T96" i="13"/>
  <c r="L96" i="13"/>
  <c r="F235" i="13"/>
  <c r="N235" i="13"/>
  <c r="V235" i="13"/>
  <c r="AD235" i="13"/>
  <c r="S15" i="13"/>
  <c r="F97" i="13"/>
  <c r="F217" i="13" s="1"/>
  <c r="AA96" i="13"/>
  <c r="S96" i="13"/>
  <c r="K96" i="13"/>
  <c r="E117" i="13"/>
  <c r="AA81" i="15"/>
  <c r="AA35" i="13" s="1"/>
  <c r="AA155" i="13" s="1"/>
  <c r="S81" i="15"/>
  <c r="S35" i="13" s="1"/>
  <c r="S155" i="13" s="1"/>
  <c r="K81" i="15"/>
  <c r="K35" i="13" s="1"/>
  <c r="K155" i="13" s="1"/>
  <c r="AD75" i="15"/>
  <c r="AD34" i="13" s="1"/>
  <c r="AD154" i="13" s="1"/>
  <c r="V75" i="15"/>
  <c r="V34" i="13" s="1"/>
  <c r="V154" i="13" s="1"/>
  <c r="N75" i="15"/>
  <c r="N34" i="13" s="1"/>
  <c r="N154" i="13" s="1"/>
  <c r="F75" i="15"/>
  <c r="F34" i="13" s="1"/>
  <c r="F154" i="13" s="1"/>
  <c r="AA75" i="15"/>
  <c r="AA34" i="13" s="1"/>
  <c r="AA154" i="13" s="1"/>
  <c r="S75" i="15"/>
  <c r="S34" i="13" s="1"/>
  <c r="S154" i="13" s="1"/>
  <c r="K75" i="15"/>
  <c r="K34" i="13" s="1"/>
  <c r="K154" i="13" s="1"/>
  <c r="AF75" i="15"/>
  <c r="AF34" i="13" s="1"/>
  <c r="AF154" i="13" s="1"/>
  <c r="X75" i="15"/>
  <c r="X34" i="13" s="1"/>
  <c r="X154" i="13" s="1"/>
  <c r="P75" i="15"/>
  <c r="P34" i="13" s="1"/>
  <c r="P154" i="13" s="1"/>
  <c r="H75" i="15"/>
  <c r="H34" i="13" s="1"/>
  <c r="H154" i="13" s="1"/>
  <c r="AC69" i="15"/>
  <c r="AC33" i="13" s="1"/>
  <c r="U69" i="15"/>
  <c r="U33" i="13" s="1"/>
  <c r="M69" i="15"/>
  <c r="M33" i="13" s="1"/>
  <c r="E69" i="15"/>
  <c r="E33" i="13" s="1"/>
  <c r="AG112" i="15"/>
  <c r="AG44" i="13" s="1"/>
  <c r="Y112" i="15"/>
  <c r="Y44" i="13" s="1"/>
  <c r="Y164" i="13" s="1"/>
  <c r="Q112" i="15"/>
  <c r="Q44" i="13" s="1"/>
  <c r="Q164" i="13" s="1"/>
  <c r="I112" i="15"/>
  <c r="I44" i="13" s="1"/>
  <c r="I164" i="13" s="1"/>
  <c r="AD106" i="15"/>
  <c r="AD43" i="13" s="1"/>
  <c r="AD163" i="13" s="1"/>
  <c r="V106" i="15"/>
  <c r="V43" i="13" s="1"/>
  <c r="V163" i="13" s="1"/>
  <c r="N106" i="15"/>
  <c r="N43" i="13" s="1"/>
  <c r="N163" i="13" s="1"/>
  <c r="F106" i="15"/>
  <c r="F43" i="13" s="1"/>
  <c r="F163" i="13" s="1"/>
  <c r="AG81" i="15"/>
  <c r="AG35" i="13" s="1"/>
  <c r="AG155" i="13" s="1"/>
  <c r="Y81" i="15"/>
  <c r="Y35" i="13" s="1"/>
  <c r="Y155" i="13" s="1"/>
  <c r="Q81" i="15"/>
  <c r="Q35" i="13" s="1"/>
  <c r="Q155" i="13" s="1"/>
  <c r="I81" i="15"/>
  <c r="I35" i="13" s="1"/>
  <c r="I155" i="13" s="1"/>
  <c r="AG100" i="15"/>
  <c r="AG42" i="13" s="1"/>
  <c r="Y100" i="15"/>
  <c r="Y42" i="13" s="1"/>
  <c r="Q100" i="15"/>
  <c r="Q42" i="13" s="1"/>
  <c r="I100" i="15"/>
  <c r="I42" i="13" s="1"/>
  <c r="AF100" i="15"/>
  <c r="AF42" i="13" s="1"/>
  <c r="X100" i="15"/>
  <c r="X42" i="13" s="1"/>
  <c r="F254" i="13" s="1"/>
  <c r="P100" i="15"/>
  <c r="P42" i="13" s="1"/>
  <c r="H100" i="15"/>
  <c r="H42" i="13" s="1"/>
  <c r="AB69" i="15"/>
  <c r="AB33" i="13" s="1"/>
  <c r="T69" i="15"/>
  <c r="T33" i="13" s="1"/>
  <c r="L69" i="15"/>
  <c r="L33" i="13" s="1"/>
  <c r="AG69" i="15"/>
  <c r="AG33" i="13" s="1"/>
  <c r="Y69" i="15"/>
  <c r="Y33" i="13" s="1"/>
  <c r="Q69" i="15"/>
  <c r="Q33" i="13" s="1"/>
  <c r="I69" i="15"/>
  <c r="I33" i="13" s="1"/>
  <c r="AC112" i="15"/>
  <c r="AC44" i="13" s="1"/>
  <c r="AC164" i="13" s="1"/>
  <c r="U112" i="15"/>
  <c r="U44" i="13" s="1"/>
  <c r="U164" i="13" s="1"/>
  <c r="M112" i="15"/>
  <c r="M44" i="13" s="1"/>
  <c r="M164" i="13" s="1"/>
  <c r="E112" i="15"/>
  <c r="E44" i="13" s="1"/>
  <c r="E164" i="13" s="1"/>
  <c r="Z106" i="15"/>
  <c r="Z43" i="13" s="1"/>
  <c r="Z163" i="13" s="1"/>
  <c r="R106" i="15"/>
  <c r="R43" i="13" s="1"/>
  <c r="R163" i="13" s="1"/>
  <c r="J106" i="15"/>
  <c r="J43" i="13" s="1"/>
  <c r="J163" i="13" s="1"/>
  <c r="AF69" i="15"/>
  <c r="AF33" i="13" s="1"/>
  <c r="X69" i="15"/>
  <c r="X33" i="13" s="1"/>
  <c r="P69" i="15"/>
  <c r="P33" i="13" s="1"/>
  <c r="H69" i="15"/>
  <c r="H33" i="13" s="1"/>
  <c r="AB112" i="15"/>
  <c r="AB44" i="13" s="1"/>
  <c r="AB164" i="13" s="1"/>
  <c r="T112" i="15"/>
  <c r="T44" i="13" s="1"/>
  <c r="T164" i="13" s="1"/>
  <c r="L112" i="15"/>
  <c r="L44" i="13" s="1"/>
  <c r="L164" i="13" s="1"/>
  <c r="Z100" i="15"/>
  <c r="Z42" i="13" s="1"/>
  <c r="R100" i="15"/>
  <c r="R42" i="13" s="1"/>
  <c r="J100" i="15"/>
  <c r="J42" i="13" s="1"/>
  <c r="AE100" i="15"/>
  <c r="AE42" i="13" s="1"/>
  <c r="W100" i="15"/>
  <c r="W42" i="13" s="1"/>
  <c r="O100" i="15"/>
  <c r="O42" i="13" s="1"/>
  <c r="G100" i="15"/>
  <c r="G42" i="13" s="1"/>
  <c r="AD100" i="15"/>
  <c r="AD42" i="13" s="1"/>
  <c r="V100" i="15"/>
  <c r="V42" i="13" s="1"/>
  <c r="N100" i="15"/>
  <c r="N42" i="13" s="1"/>
  <c r="F100" i="15"/>
  <c r="F42" i="13" s="1"/>
  <c r="Z75" i="15"/>
  <c r="Z34" i="13" s="1"/>
  <c r="Z154" i="13" s="1"/>
  <c r="R75" i="15"/>
  <c r="R34" i="13" s="1"/>
  <c r="R154" i="13" s="1"/>
  <c r="J75" i="15"/>
  <c r="J34" i="13" s="1"/>
  <c r="J154" i="13" s="1"/>
  <c r="AE69" i="15"/>
  <c r="AE33" i="13" s="1"/>
  <c r="W69" i="15"/>
  <c r="W33" i="13" s="1"/>
  <c r="O69" i="15"/>
  <c r="O33" i="13" s="1"/>
  <c r="G69" i="15"/>
  <c r="G33" i="13" s="1"/>
  <c r="AG106" i="15"/>
  <c r="AG43" i="13" s="1"/>
  <c r="Y106" i="15"/>
  <c r="Y43" i="13" s="1"/>
  <c r="Y163" i="13" s="1"/>
  <c r="Q106" i="15"/>
  <c r="Q43" i="13" s="1"/>
  <c r="Q163" i="13" s="1"/>
  <c r="I106" i="15"/>
  <c r="I43" i="13" s="1"/>
  <c r="I163" i="13" s="1"/>
  <c r="AA106" i="15"/>
  <c r="AA43" i="13" s="1"/>
  <c r="AA163" i="13" s="1"/>
  <c r="S106" i="15"/>
  <c r="S43" i="13" s="1"/>
  <c r="S163" i="13" s="1"/>
  <c r="K106" i="15"/>
  <c r="K43" i="13" s="1"/>
  <c r="K163" i="13" s="1"/>
  <c r="AF106" i="15"/>
  <c r="AF43" i="13" s="1"/>
  <c r="AF163" i="13" s="1"/>
  <c r="X106" i="15"/>
  <c r="X43" i="13" s="1"/>
  <c r="P106" i="15"/>
  <c r="P43" i="13" s="1"/>
  <c r="P163" i="13" s="1"/>
  <c r="H106" i="15"/>
  <c r="H43" i="13" s="1"/>
  <c r="H163" i="13" s="1"/>
  <c r="AC100" i="15"/>
  <c r="AC42" i="13" s="1"/>
  <c r="U100" i="15"/>
  <c r="U42" i="13" s="1"/>
  <c r="M100" i="15"/>
  <c r="M42" i="13" s="1"/>
  <c r="E100" i="15"/>
  <c r="E42" i="13" s="1"/>
  <c r="AB81" i="15"/>
  <c r="AB35" i="13" s="1"/>
  <c r="AB155" i="13" s="1"/>
  <c r="T81" i="15"/>
  <c r="T35" i="13" s="1"/>
  <c r="T155" i="13" s="1"/>
  <c r="L81" i="15"/>
  <c r="L35" i="13" s="1"/>
  <c r="L155" i="13" s="1"/>
  <c r="AG75" i="15"/>
  <c r="AG34" i="13" s="1"/>
  <c r="AG154" i="13" s="1"/>
  <c r="Y75" i="15"/>
  <c r="Y34" i="13" s="1"/>
  <c r="Y154" i="13" s="1"/>
  <c r="Q75" i="15"/>
  <c r="Q34" i="13" s="1"/>
  <c r="Q154" i="13" s="1"/>
  <c r="I75" i="15"/>
  <c r="I34" i="13" s="1"/>
  <c r="I154" i="13" s="1"/>
  <c r="Z69" i="15"/>
  <c r="Z33" i="13" s="1"/>
  <c r="R69" i="15"/>
  <c r="R33" i="13" s="1"/>
  <c r="J69" i="15"/>
  <c r="J33" i="13" s="1"/>
  <c r="AD69" i="15"/>
  <c r="AD33" i="13" s="1"/>
  <c r="V69" i="15"/>
  <c r="V33" i="13" s="1"/>
  <c r="N69" i="15"/>
  <c r="N33" i="13" s="1"/>
  <c r="F69" i="15"/>
  <c r="F33" i="13" s="1"/>
  <c r="AD112" i="15"/>
  <c r="AD44" i="13" s="1"/>
  <c r="AD164" i="13" s="1"/>
  <c r="V112" i="15"/>
  <c r="V44" i="13" s="1"/>
  <c r="V164" i="13" s="1"/>
  <c r="N112" i="15"/>
  <c r="N44" i="13" s="1"/>
  <c r="N164" i="13" s="1"/>
  <c r="F112" i="15"/>
  <c r="F44" i="13" s="1"/>
  <c r="F164" i="13" s="1"/>
  <c r="AA112" i="15"/>
  <c r="AA44" i="13" s="1"/>
  <c r="AA164" i="13" s="1"/>
  <c r="S112" i="15"/>
  <c r="S44" i="13" s="1"/>
  <c r="S164" i="13" s="1"/>
  <c r="K112" i="15"/>
  <c r="K44" i="13" s="1"/>
  <c r="K164" i="13" s="1"/>
  <c r="Z112" i="15"/>
  <c r="Z44" i="13" s="1"/>
  <c r="Z164" i="13" s="1"/>
  <c r="R112" i="15"/>
  <c r="R44" i="13" s="1"/>
  <c r="R164" i="13" s="1"/>
  <c r="J112" i="15"/>
  <c r="J44" i="13" s="1"/>
  <c r="J164" i="13" s="1"/>
  <c r="AE106" i="15"/>
  <c r="AE43" i="13" s="1"/>
  <c r="AE163" i="13" s="1"/>
  <c r="W106" i="15"/>
  <c r="W43" i="13" s="1"/>
  <c r="W163" i="13" s="1"/>
  <c r="O106" i="15"/>
  <c r="O43" i="13" s="1"/>
  <c r="O163" i="13" s="1"/>
  <c r="G106" i="15"/>
  <c r="G43" i="13" s="1"/>
  <c r="G163" i="13" s="1"/>
  <c r="AB100" i="15"/>
  <c r="AB42" i="13" s="1"/>
  <c r="T100" i="15"/>
  <c r="T42" i="13" s="1"/>
  <c r="L100" i="15"/>
  <c r="L42" i="13" s="1"/>
  <c r="D61" i="15"/>
  <c r="D155" i="15"/>
  <c r="D14" i="15"/>
  <c r="D14" i="13"/>
  <c r="D219" i="15"/>
  <c r="D171" i="15"/>
  <c r="D123" i="15"/>
  <c r="D226" i="15"/>
  <c r="D178" i="15"/>
  <c r="D130" i="15"/>
  <c r="D37" i="15"/>
  <c r="D68" i="15"/>
  <c r="D210" i="15"/>
  <c r="D162" i="15"/>
  <c r="D92" i="15"/>
  <c r="D21" i="15"/>
  <c r="D99" i="15"/>
  <c r="D203" i="15"/>
  <c r="D30" i="15"/>
  <c r="D112" i="15"/>
  <c r="D44" i="13" s="1"/>
  <c r="D164" i="13" s="1"/>
  <c r="D100" i="15"/>
  <c r="D42" i="13" s="1"/>
  <c r="D106" i="15"/>
  <c r="D43" i="13" s="1"/>
  <c r="D163" i="13" s="1"/>
  <c r="D81" i="15"/>
  <c r="D35" i="13" s="1"/>
  <c r="D155" i="13" s="1"/>
  <c r="D69" i="15"/>
  <c r="D33" i="13" s="1"/>
  <c r="D75" i="15"/>
  <c r="D34" i="13" s="1"/>
  <c r="D154" i="13" s="1"/>
  <c r="AC44" i="15"/>
  <c r="AC25" i="13" s="1"/>
  <c r="AC145" i="13" s="1"/>
  <c r="U44" i="15"/>
  <c r="U25" i="13" s="1"/>
  <c r="U145" i="13" s="1"/>
  <c r="M44" i="15"/>
  <c r="M25" i="13" s="1"/>
  <c r="M145" i="13" s="1"/>
  <c r="E44" i="15"/>
  <c r="E25" i="13" s="1"/>
  <c r="E145" i="13" s="1"/>
  <c r="AF38" i="15"/>
  <c r="AF24" i="13" s="1"/>
  <c r="X38" i="15"/>
  <c r="X24" i="13" s="1"/>
  <c r="E254" i="13" s="1"/>
  <c r="P38" i="15"/>
  <c r="P24" i="13" s="1"/>
  <c r="H38" i="15"/>
  <c r="H24" i="13" s="1"/>
  <c r="AD44" i="15"/>
  <c r="AD25" i="13" s="1"/>
  <c r="AD145" i="13" s="1"/>
  <c r="V44" i="15"/>
  <c r="V25" i="13" s="1"/>
  <c r="V145" i="13" s="1"/>
  <c r="AA44" i="15"/>
  <c r="AA25" i="13" s="1"/>
  <c r="AA145" i="13" s="1"/>
  <c r="S44" i="15"/>
  <c r="S25" i="13" s="1"/>
  <c r="S145" i="13" s="1"/>
  <c r="K44" i="15"/>
  <c r="K25" i="13" s="1"/>
  <c r="K145" i="13" s="1"/>
  <c r="G50" i="15"/>
  <c r="G26" i="13" s="1"/>
  <c r="G146" i="13" s="1"/>
  <c r="AG50" i="15"/>
  <c r="AG26" i="13" s="1"/>
  <c r="Y50" i="15"/>
  <c r="Y26" i="13" s="1"/>
  <c r="Y146" i="13" s="1"/>
  <c r="Q50" i="15"/>
  <c r="Q26" i="13" s="1"/>
  <c r="Q146" i="13" s="1"/>
  <c r="I50" i="15"/>
  <c r="I26" i="13" s="1"/>
  <c r="I146" i="13" s="1"/>
  <c r="AF50" i="15"/>
  <c r="AF26" i="13" s="1"/>
  <c r="AF146" i="13" s="1"/>
  <c r="X50" i="15"/>
  <c r="X26" i="13" s="1"/>
  <c r="P50" i="15"/>
  <c r="P26" i="13" s="1"/>
  <c r="P146" i="13" s="1"/>
  <c r="AA38" i="15"/>
  <c r="AA24" i="13" s="1"/>
  <c r="S38" i="15"/>
  <c r="S24" i="13" s="1"/>
  <c r="K38" i="15"/>
  <c r="K24" i="13" s="1"/>
  <c r="AE50" i="15"/>
  <c r="AE26" i="13" s="1"/>
  <c r="AE146" i="13" s="1"/>
  <c r="W50" i="15"/>
  <c r="W26" i="13" s="1"/>
  <c r="W146" i="13" s="1"/>
  <c r="O50" i="15"/>
  <c r="O26" i="13" s="1"/>
  <c r="O146" i="13" s="1"/>
  <c r="AG38" i="15"/>
  <c r="AG24" i="13" s="1"/>
  <c r="Y38" i="15"/>
  <c r="Y24" i="13" s="1"/>
  <c r="Q38" i="15"/>
  <c r="Q24" i="13" s="1"/>
  <c r="I38" i="15"/>
  <c r="I24" i="13" s="1"/>
  <c r="N44" i="15"/>
  <c r="N25" i="13" s="1"/>
  <c r="N145" i="13" s="1"/>
  <c r="F44" i="15"/>
  <c r="F25" i="13" s="1"/>
  <c r="F145" i="13" s="1"/>
  <c r="H50" i="15"/>
  <c r="H26" i="13" s="1"/>
  <c r="H146" i="13" s="1"/>
  <c r="AC50" i="15"/>
  <c r="AC26" i="13" s="1"/>
  <c r="AC146" i="13" s="1"/>
  <c r="U50" i="15"/>
  <c r="U26" i="13" s="1"/>
  <c r="U146" i="13" s="1"/>
  <c r="M50" i="15"/>
  <c r="M26" i="13" s="1"/>
  <c r="M146" i="13" s="1"/>
  <c r="E50" i="15"/>
  <c r="E26" i="13" s="1"/>
  <c r="E146" i="13" s="1"/>
  <c r="Z44" i="15"/>
  <c r="Z25" i="13" s="1"/>
  <c r="Z145" i="13" s="1"/>
  <c r="R44" i="15"/>
  <c r="R25" i="13" s="1"/>
  <c r="R145" i="13" s="1"/>
  <c r="J44" i="15"/>
  <c r="J25" i="13" s="1"/>
  <c r="J145" i="13" s="1"/>
  <c r="AE38" i="15"/>
  <c r="AE24" i="13" s="1"/>
  <c r="W38" i="15"/>
  <c r="W24" i="13" s="1"/>
  <c r="O38" i="15"/>
  <c r="O24" i="13" s="1"/>
  <c r="G38" i="15"/>
  <c r="G24" i="13" s="1"/>
  <c r="AB50" i="15"/>
  <c r="AB26" i="13" s="1"/>
  <c r="AB146" i="13" s="1"/>
  <c r="T50" i="15"/>
  <c r="T26" i="13" s="1"/>
  <c r="T146" i="13" s="1"/>
  <c r="L50" i="15"/>
  <c r="L26" i="13" s="1"/>
  <c r="L146" i="13" s="1"/>
  <c r="AG44" i="15"/>
  <c r="AG25" i="13" s="1"/>
  <c r="Y44" i="15"/>
  <c r="Y25" i="13" s="1"/>
  <c r="Y145" i="13" s="1"/>
  <c r="Q44" i="15"/>
  <c r="Q25" i="13" s="1"/>
  <c r="Q145" i="13" s="1"/>
  <c r="I44" i="15"/>
  <c r="I25" i="13" s="1"/>
  <c r="I145" i="13" s="1"/>
  <c r="Z38" i="15"/>
  <c r="Z24" i="13" s="1"/>
  <c r="R38" i="15"/>
  <c r="R24" i="13" s="1"/>
  <c r="J38" i="15"/>
  <c r="J24" i="13" s="1"/>
  <c r="AD38" i="15"/>
  <c r="AD24" i="13" s="1"/>
  <c r="V38" i="15"/>
  <c r="V24" i="13" s="1"/>
  <c r="N38" i="15"/>
  <c r="N24" i="13" s="1"/>
  <c r="F38" i="15"/>
  <c r="F24" i="13" s="1"/>
  <c r="AA50" i="15"/>
  <c r="AA26" i="13" s="1"/>
  <c r="AA146" i="13" s="1"/>
  <c r="S50" i="15"/>
  <c r="S26" i="13" s="1"/>
  <c r="S146" i="13" s="1"/>
  <c r="K50" i="15"/>
  <c r="K26" i="13" s="1"/>
  <c r="K146" i="13" s="1"/>
  <c r="AB44" i="15"/>
  <c r="AB25" i="13" s="1"/>
  <c r="AB145" i="13" s="1"/>
  <c r="T44" i="15"/>
  <c r="T25" i="13" s="1"/>
  <c r="T145" i="13" s="1"/>
  <c r="L44" i="15"/>
  <c r="L25" i="13" s="1"/>
  <c r="L145" i="13" s="1"/>
  <c r="AF44" i="15"/>
  <c r="AF25" i="13" s="1"/>
  <c r="AF145" i="13" s="1"/>
  <c r="X44" i="15"/>
  <c r="X25" i="13" s="1"/>
  <c r="P44" i="15"/>
  <c r="P25" i="13" s="1"/>
  <c r="P145" i="13" s="1"/>
  <c r="H44" i="15"/>
  <c r="H25" i="13" s="1"/>
  <c r="H145" i="13" s="1"/>
  <c r="AC38" i="15"/>
  <c r="AC24" i="13" s="1"/>
  <c r="U38" i="15"/>
  <c r="U24" i="13" s="1"/>
  <c r="M38" i="15"/>
  <c r="M24" i="13" s="1"/>
  <c r="E38" i="15"/>
  <c r="E24" i="13" s="1"/>
  <c r="AD50" i="15"/>
  <c r="AD26" i="13" s="1"/>
  <c r="AD146" i="13" s="1"/>
  <c r="V50" i="15"/>
  <c r="V26" i="13" s="1"/>
  <c r="V146" i="13" s="1"/>
  <c r="N50" i="15"/>
  <c r="N26" i="13" s="1"/>
  <c r="N146" i="13" s="1"/>
  <c r="F50" i="15"/>
  <c r="F26" i="13" s="1"/>
  <c r="F146" i="13" s="1"/>
  <c r="Z50" i="15"/>
  <c r="Z26" i="13" s="1"/>
  <c r="Z146" i="13" s="1"/>
  <c r="R50" i="15"/>
  <c r="R26" i="13" s="1"/>
  <c r="R146" i="13" s="1"/>
  <c r="J50" i="15"/>
  <c r="J26" i="13" s="1"/>
  <c r="J146" i="13" s="1"/>
  <c r="AE44" i="15"/>
  <c r="AE25" i="13" s="1"/>
  <c r="AE145" i="13" s="1"/>
  <c r="W44" i="15"/>
  <c r="W25" i="13" s="1"/>
  <c r="W145" i="13" s="1"/>
  <c r="O44" i="15"/>
  <c r="O25" i="13" s="1"/>
  <c r="O145" i="13" s="1"/>
  <c r="G44" i="15"/>
  <c r="G25" i="13" s="1"/>
  <c r="G145" i="13" s="1"/>
  <c r="AB38" i="15"/>
  <c r="AB24" i="13" s="1"/>
  <c r="T38" i="15"/>
  <c r="T24" i="13" s="1"/>
  <c r="L38" i="15"/>
  <c r="L24" i="13" s="1"/>
  <c r="D50" i="15"/>
  <c r="D26" i="13" s="1"/>
  <c r="D146" i="13" s="1"/>
  <c r="D38" i="15"/>
  <c r="D24" i="13" s="1"/>
  <c r="D44" i="15"/>
  <c r="D25" i="13" s="1"/>
  <c r="D145" i="13" s="1"/>
  <c r="L256" i="13" l="1"/>
  <c r="L263" i="13" s="1"/>
  <c r="L276" i="13" s="1"/>
  <c r="I256" i="13"/>
  <c r="I263" i="13" s="1"/>
  <c r="E36" i="13"/>
  <c r="P108" i="13"/>
  <c r="AG72" i="13"/>
  <c r="D182" i="13"/>
  <c r="AH182" i="13" s="1"/>
  <c r="AH62" i="13"/>
  <c r="D209" i="13"/>
  <c r="AH89" i="13"/>
  <c r="X245" i="13"/>
  <c r="AH245" i="13" s="1"/>
  <c r="P256" i="13"/>
  <c r="X199" i="13"/>
  <c r="K255" i="13" s="1"/>
  <c r="J255" i="13"/>
  <c r="X200" i="13"/>
  <c r="K256" i="13" s="1"/>
  <c r="J256" i="13"/>
  <c r="X146" i="13"/>
  <c r="E256" i="13"/>
  <c r="X136" i="13"/>
  <c r="D255" i="13"/>
  <c r="D295" i="13" s="1"/>
  <c r="D302" i="13" s="1"/>
  <c r="X218" i="13"/>
  <c r="M256" i="13"/>
  <c r="X164" i="13"/>
  <c r="G256" i="13" s="1"/>
  <c r="F256" i="13"/>
  <c r="X173" i="13"/>
  <c r="H256" i="13"/>
  <c r="G296" i="13" s="1"/>
  <c r="G303" i="13" s="1"/>
  <c r="X172" i="13"/>
  <c r="H255" i="13"/>
  <c r="G295" i="13" s="1"/>
  <c r="G302" i="13" s="1"/>
  <c r="X145" i="13"/>
  <c r="E255" i="13"/>
  <c r="E295" i="13" s="1"/>
  <c r="E302" i="13" s="1"/>
  <c r="X217" i="13"/>
  <c r="M255" i="13"/>
  <c r="K295" i="13" s="1"/>
  <c r="K302" i="13" s="1"/>
  <c r="X137" i="13"/>
  <c r="D256" i="13"/>
  <c r="D296" i="13" s="1"/>
  <c r="D303" i="13" s="1"/>
  <c r="X163" i="13"/>
  <c r="G255" i="13" s="1"/>
  <c r="F255" i="13"/>
  <c r="X198" i="13"/>
  <c r="K254" i="13" s="1"/>
  <c r="J254" i="13"/>
  <c r="G294" i="13"/>
  <c r="G301" i="13" s="1"/>
  <c r="AC72" i="13"/>
  <c r="T45" i="13"/>
  <c r="U45" i="13"/>
  <c r="AE36" i="13"/>
  <c r="Y72" i="13"/>
  <c r="W36" i="13"/>
  <c r="AD99" i="13"/>
  <c r="Q72" i="13"/>
  <c r="U72" i="13"/>
  <c r="H308" i="13"/>
  <c r="H316" i="13" s="1"/>
  <c r="I282" i="13"/>
  <c r="M308" i="13"/>
  <c r="M316" i="13" s="1"/>
  <c r="P282" i="13"/>
  <c r="L282" i="13"/>
  <c r="J308" i="13"/>
  <c r="J316" i="13" s="1"/>
  <c r="G36" i="13"/>
  <c r="P285" i="13"/>
  <c r="M311" i="13"/>
  <c r="M319" i="13" s="1"/>
  <c r="O36" i="13"/>
  <c r="V99" i="13"/>
  <c r="E72" i="13"/>
  <c r="I72" i="13"/>
  <c r="AA18" i="13"/>
  <c r="S18" i="13"/>
  <c r="M72" i="13"/>
  <c r="L264" i="13"/>
  <c r="J297" i="13"/>
  <c r="J304" i="13" s="1"/>
  <c r="H311" i="13"/>
  <c r="H319" i="13" s="1"/>
  <c r="I285" i="13"/>
  <c r="J309" i="13"/>
  <c r="J317" i="13" s="1"/>
  <c r="L283" i="13"/>
  <c r="G72" i="13"/>
  <c r="AA99" i="13"/>
  <c r="V108" i="13"/>
  <c r="N99" i="13"/>
  <c r="G117" i="13"/>
  <c r="M81" i="13"/>
  <c r="M198" i="13"/>
  <c r="M201" i="13" s="1"/>
  <c r="E81" i="13"/>
  <c r="E198" i="13"/>
  <c r="E201" i="13" s="1"/>
  <c r="U81" i="13"/>
  <c r="U198" i="13"/>
  <c r="U201" i="13" s="1"/>
  <c r="W108" i="13"/>
  <c r="R99" i="13"/>
  <c r="Q18" i="13"/>
  <c r="T99" i="13"/>
  <c r="K72" i="13"/>
  <c r="T36" i="13"/>
  <c r="E99" i="13"/>
  <c r="T108" i="13"/>
  <c r="K18" i="13"/>
  <c r="E27" i="13"/>
  <c r="J36" i="13"/>
  <c r="AC81" i="13"/>
  <c r="AC18" i="13"/>
  <c r="O81" i="13"/>
  <c r="E18" i="13"/>
  <c r="AD36" i="13"/>
  <c r="L45" i="13"/>
  <c r="M45" i="13"/>
  <c r="AA117" i="13"/>
  <c r="AF108" i="13"/>
  <c r="N108" i="13"/>
  <c r="AA72" i="13"/>
  <c r="AC36" i="13"/>
  <c r="U117" i="13"/>
  <c r="AE72" i="13"/>
  <c r="O108" i="13"/>
  <c r="J99" i="13"/>
  <c r="L99" i="13"/>
  <c r="AB27" i="13"/>
  <c r="Z27" i="13"/>
  <c r="L36" i="13"/>
  <c r="V36" i="13"/>
  <c r="K81" i="13"/>
  <c r="T27" i="13"/>
  <c r="R27" i="13"/>
  <c r="N27" i="13"/>
  <c r="P36" i="13"/>
  <c r="AE117" i="13"/>
  <c r="X36" i="13"/>
  <c r="M117" i="13"/>
  <c r="AD108" i="13"/>
  <c r="H108" i="13"/>
  <c r="Y36" i="13"/>
  <c r="S99" i="13"/>
  <c r="AE108" i="13"/>
  <c r="Z99" i="13"/>
  <c r="Y18" i="13"/>
  <c r="S72" i="13"/>
  <c r="H54" i="13"/>
  <c r="M18" i="13"/>
  <c r="AE81" i="13"/>
  <c r="D72" i="13"/>
  <c r="G27" i="13"/>
  <c r="I45" i="13"/>
  <c r="AC54" i="13"/>
  <c r="J45" i="13"/>
  <c r="AF54" i="13"/>
  <c r="AC27" i="13"/>
  <c r="I81" i="13"/>
  <c r="AA81" i="13"/>
  <c r="I117" i="13"/>
  <c r="P54" i="13"/>
  <c r="S81" i="13"/>
  <c r="F27" i="13"/>
  <c r="W27" i="13"/>
  <c r="H36" i="13"/>
  <c r="U36" i="13"/>
  <c r="AC117" i="13"/>
  <c r="W72" i="13"/>
  <c r="X72" i="13"/>
  <c r="Y81" i="13"/>
  <c r="O54" i="13"/>
  <c r="D36" i="13"/>
  <c r="R54" i="13"/>
  <c r="L27" i="13"/>
  <c r="U27" i="13"/>
  <c r="Z36" i="13"/>
  <c r="K54" i="13"/>
  <c r="Q27" i="13"/>
  <c r="AA27" i="13"/>
  <c r="X27" i="13"/>
  <c r="E257" i="13" s="1"/>
  <c r="AD45" i="13"/>
  <c r="X81" i="13"/>
  <c r="J257" i="13" s="1"/>
  <c r="Q117" i="13"/>
  <c r="F72" i="13"/>
  <c r="P117" i="13"/>
  <c r="AE54" i="13"/>
  <c r="Y27" i="13"/>
  <c r="AF27" i="13"/>
  <c r="Z108" i="13"/>
  <c r="N72" i="13"/>
  <c r="J72" i="13"/>
  <c r="AB72" i="13"/>
  <c r="H117" i="13"/>
  <c r="J81" i="13"/>
  <c r="L54" i="13"/>
  <c r="F36" i="13"/>
  <c r="N36" i="13"/>
  <c r="J54" i="13"/>
  <c r="E54" i="13"/>
  <c r="O99" i="13"/>
  <c r="AD72" i="13"/>
  <c r="Q99" i="13"/>
  <c r="D108" i="13"/>
  <c r="Z72" i="13"/>
  <c r="AD81" i="13"/>
  <c r="AB117" i="13"/>
  <c r="U99" i="13"/>
  <c r="F54" i="13"/>
  <c r="D27" i="13"/>
  <c r="V27" i="13"/>
  <c r="AD54" i="13"/>
  <c r="Q54" i="13"/>
  <c r="N54" i="13"/>
  <c r="AE27" i="13"/>
  <c r="AB36" i="13"/>
  <c r="M99" i="13"/>
  <c r="U18" i="13"/>
  <c r="H99" i="13"/>
  <c r="AB108" i="13"/>
  <c r="AG18" i="13"/>
  <c r="W81" i="13"/>
  <c r="W99" i="13"/>
  <c r="U108" i="13"/>
  <c r="S36" i="13"/>
  <c r="Y99" i="13"/>
  <c r="D117" i="13"/>
  <c r="AB81" i="13"/>
  <c r="T117" i="13"/>
  <c r="AF72" i="13"/>
  <c r="AB54" i="13"/>
  <c r="Y54" i="13"/>
  <c r="W54" i="13"/>
  <c r="F45" i="13"/>
  <c r="P99" i="13"/>
  <c r="AG81" i="13"/>
  <c r="K45" i="13"/>
  <c r="AE99" i="13"/>
  <c r="I108" i="13"/>
  <c r="AC108" i="13"/>
  <c r="AG99" i="13"/>
  <c r="K108" i="13"/>
  <c r="T81" i="13"/>
  <c r="W117" i="13"/>
  <c r="L117" i="13"/>
  <c r="V117" i="13"/>
  <c r="Z54" i="13"/>
  <c r="F81" i="13"/>
  <c r="H45" i="13"/>
  <c r="M27" i="13"/>
  <c r="AD27" i="13"/>
  <c r="K27" i="13"/>
  <c r="H27" i="13"/>
  <c r="R36" i="13"/>
  <c r="N45" i="13"/>
  <c r="R45" i="13"/>
  <c r="AF36" i="13"/>
  <c r="I36" i="13"/>
  <c r="AC99" i="13"/>
  <c r="G108" i="13"/>
  <c r="X99" i="13"/>
  <c r="M257" i="13" s="1"/>
  <c r="X18" i="13"/>
  <c r="D257" i="13" s="1"/>
  <c r="G81" i="13"/>
  <c r="K36" i="13"/>
  <c r="AG117" i="13"/>
  <c r="Q108" i="13"/>
  <c r="S108" i="13"/>
  <c r="T18" i="13"/>
  <c r="AE18" i="13"/>
  <c r="L81" i="13"/>
  <c r="AF117" i="13"/>
  <c r="N81" i="13"/>
  <c r="X54" i="13"/>
  <c r="H257" i="13" s="1"/>
  <c r="J117" i="13"/>
  <c r="R117" i="13"/>
  <c r="T54" i="13"/>
  <c r="M54" i="13"/>
  <c r="G54" i="13"/>
  <c r="M108" i="13"/>
  <c r="J27" i="13"/>
  <c r="I27" i="13"/>
  <c r="S27" i="13"/>
  <c r="P27" i="13"/>
  <c r="E45" i="13"/>
  <c r="V45" i="13"/>
  <c r="Q36" i="13"/>
  <c r="K99" i="13"/>
  <c r="X108" i="13"/>
  <c r="AF99" i="13"/>
  <c r="J108" i="13"/>
  <c r="Q81" i="13"/>
  <c r="D81" i="13"/>
  <c r="AF81" i="13"/>
  <c r="Y117" i="13"/>
  <c r="Y108" i="13"/>
  <c r="AA108" i="13"/>
  <c r="L72" i="13"/>
  <c r="X117" i="13"/>
  <c r="N257" i="13" s="1"/>
  <c r="Z81" i="13"/>
  <c r="H72" i="13"/>
  <c r="S174" i="13"/>
  <c r="S340" i="13" s="1"/>
  <c r="I54" i="13"/>
  <c r="AD117" i="13"/>
  <c r="V54" i="13"/>
  <c r="N117" i="13"/>
  <c r="R108" i="13"/>
  <c r="AG108" i="13"/>
  <c r="T72" i="13"/>
  <c r="R81" i="13"/>
  <c r="S54" i="13"/>
  <c r="F117" i="13"/>
  <c r="G45" i="13"/>
  <c r="AG36" i="13"/>
  <c r="P81" i="13"/>
  <c r="AA36" i="13"/>
  <c r="U54" i="13"/>
  <c r="O27" i="13"/>
  <c r="AG27" i="13"/>
  <c r="AB45" i="13"/>
  <c r="AC45" i="13"/>
  <c r="M36" i="13"/>
  <c r="AB99" i="13"/>
  <c r="F108" i="13"/>
  <c r="K117" i="13"/>
  <c r="F99" i="13"/>
  <c r="O72" i="13"/>
  <c r="L108" i="13"/>
  <c r="H81" i="13"/>
  <c r="G99" i="13"/>
  <c r="V72" i="13"/>
  <c r="E108" i="13"/>
  <c r="I99" i="13"/>
  <c r="R72" i="13"/>
  <c r="V81" i="13"/>
  <c r="Z117" i="13"/>
  <c r="P72" i="13"/>
  <c r="D99" i="13"/>
  <c r="AA54" i="13"/>
  <c r="U174" i="13"/>
  <c r="U340" i="13" s="1"/>
  <c r="P45" i="13"/>
  <c r="Z45" i="13"/>
  <c r="X45" i="13"/>
  <c r="F257" i="13" s="1"/>
  <c r="AF45" i="13"/>
  <c r="D45" i="13"/>
  <c r="O45" i="13"/>
  <c r="Q45" i="13"/>
  <c r="W45" i="13"/>
  <c r="Y45" i="13"/>
  <c r="AE45" i="13"/>
  <c r="AG45" i="13"/>
  <c r="S45" i="13"/>
  <c r="AA45" i="13"/>
  <c r="AF18" i="13"/>
  <c r="AB18" i="13"/>
  <c r="J18" i="13"/>
  <c r="R18" i="13"/>
  <c r="I18" i="13"/>
  <c r="D18" i="13"/>
  <c r="N18" i="13"/>
  <c r="G18" i="13"/>
  <c r="H18" i="13"/>
  <c r="V18" i="13"/>
  <c r="O18" i="13"/>
  <c r="AD18" i="13"/>
  <c r="P18" i="13"/>
  <c r="F18" i="13"/>
  <c r="L18" i="13"/>
  <c r="W18" i="13"/>
  <c r="Z18" i="13"/>
  <c r="Z174" i="13"/>
  <c r="Z340" i="13" s="1"/>
  <c r="L174" i="13"/>
  <c r="L340" i="13" s="1"/>
  <c r="AD174" i="13"/>
  <c r="AD340" i="13" s="1"/>
  <c r="F174" i="13"/>
  <c r="F340" i="13" s="1"/>
  <c r="Y174" i="13"/>
  <c r="Y340" i="13" s="1"/>
  <c r="AD237" i="13"/>
  <c r="AD341" i="13" s="1"/>
  <c r="Q174" i="13"/>
  <c r="Q340" i="13" s="1"/>
  <c r="K174" i="13"/>
  <c r="K340" i="13" s="1"/>
  <c r="I174" i="13"/>
  <c r="I340" i="13" s="1"/>
  <c r="V237" i="13"/>
  <c r="V341" i="13" s="1"/>
  <c r="O174" i="13"/>
  <c r="O340" i="13" s="1"/>
  <c r="F237" i="13"/>
  <c r="F341" i="13" s="1"/>
  <c r="M174" i="13"/>
  <c r="M340" i="13" s="1"/>
  <c r="N237" i="13"/>
  <c r="N341" i="13" s="1"/>
  <c r="V174" i="13"/>
  <c r="V340" i="13" s="1"/>
  <c r="AA174" i="13"/>
  <c r="AA340" i="13" s="1"/>
  <c r="R237" i="13"/>
  <c r="R341" i="13" s="1"/>
  <c r="T174" i="13"/>
  <c r="T340" i="13" s="1"/>
  <c r="G174" i="13"/>
  <c r="G340" i="13" s="1"/>
  <c r="R174" i="13"/>
  <c r="R340" i="13" s="1"/>
  <c r="AE174" i="13"/>
  <c r="AE340" i="13" s="1"/>
  <c r="N174" i="13"/>
  <c r="N340" i="13" s="1"/>
  <c r="AB174" i="13"/>
  <c r="AB340" i="13" s="1"/>
  <c r="E174" i="13"/>
  <c r="E340" i="13" s="1"/>
  <c r="W174" i="13"/>
  <c r="W340" i="13" s="1"/>
  <c r="D219" i="13"/>
  <c r="M227" i="13"/>
  <c r="W227" i="13"/>
  <c r="S227" i="13"/>
  <c r="Y226" i="13"/>
  <c r="AC227" i="13"/>
  <c r="X227" i="13"/>
  <c r="AE226" i="13"/>
  <c r="X226" i="13"/>
  <c r="F226" i="13"/>
  <c r="Q227" i="13"/>
  <c r="AA227" i="13"/>
  <c r="I226" i="13"/>
  <c r="V227" i="13"/>
  <c r="AD227" i="13"/>
  <c r="P227" i="13"/>
  <c r="AE227" i="13"/>
  <c r="I227" i="13"/>
  <c r="AG226" i="13"/>
  <c r="AG211" i="13"/>
  <c r="D226" i="13"/>
  <c r="K226" i="13"/>
  <c r="AF227" i="13"/>
  <c r="J227" i="13"/>
  <c r="L226" i="13"/>
  <c r="AF226" i="13"/>
  <c r="N226" i="13"/>
  <c r="Y227" i="13"/>
  <c r="L227" i="13"/>
  <c r="J226" i="13"/>
  <c r="S226" i="13"/>
  <c r="E226" i="13"/>
  <c r="R227" i="13"/>
  <c r="T226" i="13"/>
  <c r="K227" i="13"/>
  <c r="V226" i="13"/>
  <c r="AG227" i="13"/>
  <c r="O226" i="13"/>
  <c r="W226" i="13"/>
  <c r="P226" i="13"/>
  <c r="T227" i="13"/>
  <c r="R226" i="13"/>
  <c r="AA226" i="13"/>
  <c r="M226" i="13"/>
  <c r="Z227" i="13"/>
  <c r="AB226" i="13"/>
  <c r="AH207" i="13"/>
  <c r="F227" i="13"/>
  <c r="U226" i="13"/>
  <c r="G227" i="13"/>
  <c r="H227" i="13"/>
  <c r="H226" i="13"/>
  <c r="AD226" i="13"/>
  <c r="Q226" i="13"/>
  <c r="U227" i="13"/>
  <c r="AB227" i="13"/>
  <c r="Z226" i="13"/>
  <c r="D227" i="13"/>
  <c r="E227" i="13"/>
  <c r="N227" i="13"/>
  <c r="AC226" i="13"/>
  <c r="G226" i="13"/>
  <c r="O227" i="13"/>
  <c r="AG184" i="13"/>
  <c r="AH180" i="13"/>
  <c r="AH184" i="13" s="1"/>
  <c r="Y190" i="13"/>
  <c r="V190" i="13"/>
  <c r="X190" i="13"/>
  <c r="U190" i="13"/>
  <c r="Z190" i="13"/>
  <c r="AF190" i="13"/>
  <c r="AC190" i="13"/>
  <c r="R191" i="13"/>
  <c r="L190" i="13"/>
  <c r="K191" i="13"/>
  <c r="AE191" i="13"/>
  <c r="K190" i="13"/>
  <c r="D190" i="13"/>
  <c r="S191" i="13"/>
  <c r="U191" i="13"/>
  <c r="AB190" i="13"/>
  <c r="AB191" i="13"/>
  <c r="AA191" i="13"/>
  <c r="X191" i="13"/>
  <c r="G190" i="13"/>
  <c r="J191" i="13"/>
  <c r="AD191" i="13"/>
  <c r="AA190" i="13"/>
  <c r="AC191" i="13"/>
  <c r="AF191" i="13"/>
  <c r="O190" i="13"/>
  <c r="F191" i="13"/>
  <c r="R190" i="13"/>
  <c r="E191" i="13"/>
  <c r="L191" i="13"/>
  <c r="H191" i="13"/>
  <c r="Z191" i="13"/>
  <c r="M191" i="13"/>
  <c r="T190" i="13"/>
  <c r="G191" i="13"/>
  <c r="I191" i="13"/>
  <c r="F190" i="13"/>
  <c r="O191" i="13"/>
  <c r="Q191" i="13"/>
  <c r="I190" i="13"/>
  <c r="H190" i="13"/>
  <c r="E190" i="13"/>
  <c r="W190" i="13"/>
  <c r="N191" i="13"/>
  <c r="AG191" i="13"/>
  <c r="AD190" i="13"/>
  <c r="AG190" i="13"/>
  <c r="D191" i="13"/>
  <c r="S190" i="13"/>
  <c r="T191" i="13"/>
  <c r="P191" i="13"/>
  <c r="N190" i="13"/>
  <c r="J190" i="13"/>
  <c r="W191" i="13"/>
  <c r="Y191" i="13"/>
  <c r="Q190" i="13"/>
  <c r="P190" i="13"/>
  <c r="M190" i="13"/>
  <c r="AE190" i="13"/>
  <c r="V191" i="13"/>
  <c r="S234" i="13"/>
  <c r="S237" i="13" s="1"/>
  <c r="S341" i="13" s="1"/>
  <c r="Q234" i="13"/>
  <c r="Q237" i="13" s="1"/>
  <c r="Q341" i="13" s="1"/>
  <c r="P234" i="13"/>
  <c r="P237" i="13" s="1"/>
  <c r="P341" i="13" s="1"/>
  <c r="AC234" i="13"/>
  <c r="AC237" i="13" s="1"/>
  <c r="AC341" i="13" s="1"/>
  <c r="Z234" i="13"/>
  <c r="Z237" i="13" s="1"/>
  <c r="Z341" i="13" s="1"/>
  <c r="U234" i="13"/>
  <c r="U237" i="13" s="1"/>
  <c r="U341" i="13" s="1"/>
  <c r="AB234" i="13"/>
  <c r="AB237" i="13" s="1"/>
  <c r="AB341" i="13" s="1"/>
  <c r="M234" i="13"/>
  <c r="M237" i="13" s="1"/>
  <c r="M341" i="13" s="1"/>
  <c r="D234" i="13"/>
  <c r="D237" i="13" s="1"/>
  <c r="D341" i="13" s="1"/>
  <c r="AE234" i="13"/>
  <c r="AE237" i="13" s="1"/>
  <c r="AE341" i="13" s="1"/>
  <c r="T234" i="13"/>
  <c r="T237" i="13" s="1"/>
  <c r="T341" i="13" s="1"/>
  <c r="I234" i="13"/>
  <c r="I237" i="13" s="1"/>
  <c r="I341" i="13" s="1"/>
  <c r="H234" i="13"/>
  <c r="H237" i="13" s="1"/>
  <c r="H341" i="13" s="1"/>
  <c r="E234" i="13"/>
  <c r="E237" i="13" s="1"/>
  <c r="E341" i="13" s="1"/>
  <c r="W234" i="13"/>
  <c r="W237" i="13" s="1"/>
  <c r="W341" i="13" s="1"/>
  <c r="L234" i="13"/>
  <c r="L237" i="13" s="1"/>
  <c r="L341" i="13" s="1"/>
  <c r="AF234" i="13"/>
  <c r="AF237" i="13" s="1"/>
  <c r="AF341" i="13" s="1"/>
  <c r="O234" i="13"/>
  <c r="O237" i="13" s="1"/>
  <c r="O341" i="13" s="1"/>
  <c r="J234" i="13"/>
  <c r="J237" i="13" s="1"/>
  <c r="J341" i="13" s="1"/>
  <c r="K234" i="13"/>
  <c r="K237" i="13" s="1"/>
  <c r="K341" i="13" s="1"/>
  <c r="AA234" i="13"/>
  <c r="AA237" i="13" s="1"/>
  <c r="AA341" i="13" s="1"/>
  <c r="Y234" i="13"/>
  <c r="Y237" i="13" s="1"/>
  <c r="Y341" i="13" s="1"/>
  <c r="X234" i="13"/>
  <c r="G234" i="13"/>
  <c r="G237" i="13" s="1"/>
  <c r="G341" i="13" s="1"/>
  <c r="G225" i="13"/>
  <c r="O225" i="13"/>
  <c r="X225" i="13"/>
  <c r="J225" i="13"/>
  <c r="Q225" i="13"/>
  <c r="S225" i="13"/>
  <c r="AF225" i="13"/>
  <c r="AE225" i="13"/>
  <c r="Z225" i="13"/>
  <c r="AA225" i="13"/>
  <c r="F225" i="13"/>
  <c r="L225" i="13"/>
  <c r="N225" i="13"/>
  <c r="T225" i="13"/>
  <c r="E225" i="13"/>
  <c r="W225" i="13"/>
  <c r="R225" i="13"/>
  <c r="Y225" i="13"/>
  <c r="V225" i="13"/>
  <c r="AB225" i="13"/>
  <c r="M225" i="13"/>
  <c r="D225" i="13"/>
  <c r="AD225" i="13"/>
  <c r="H225" i="13"/>
  <c r="U225" i="13"/>
  <c r="P225" i="13"/>
  <c r="I225" i="13"/>
  <c r="AC225" i="13"/>
  <c r="K225" i="13"/>
  <c r="S216" i="13"/>
  <c r="S219" i="13" s="1"/>
  <c r="L216" i="13"/>
  <c r="L219" i="13" s="1"/>
  <c r="R216" i="13"/>
  <c r="R219" i="13" s="1"/>
  <c r="AA216" i="13"/>
  <c r="AA219" i="13" s="1"/>
  <c r="T216" i="13"/>
  <c r="T219" i="13" s="1"/>
  <c r="Z216" i="13"/>
  <c r="Z219" i="13" s="1"/>
  <c r="AB216" i="13"/>
  <c r="AB219" i="13" s="1"/>
  <c r="F216" i="13"/>
  <c r="F219" i="13" s="1"/>
  <c r="E216" i="13"/>
  <c r="E219" i="13" s="1"/>
  <c r="N216" i="13"/>
  <c r="N219" i="13" s="1"/>
  <c r="G216" i="13"/>
  <c r="G219" i="13" s="1"/>
  <c r="I216" i="13"/>
  <c r="I219" i="13" s="1"/>
  <c r="M216" i="13"/>
  <c r="M219" i="13" s="1"/>
  <c r="V216" i="13"/>
  <c r="V219" i="13" s="1"/>
  <c r="H216" i="13"/>
  <c r="H219" i="13" s="1"/>
  <c r="O216" i="13"/>
  <c r="O219" i="13" s="1"/>
  <c r="Q216" i="13"/>
  <c r="Q219" i="13" s="1"/>
  <c r="U216" i="13"/>
  <c r="U219" i="13" s="1"/>
  <c r="AD216" i="13"/>
  <c r="AD219" i="13" s="1"/>
  <c r="P216" i="13"/>
  <c r="P219" i="13" s="1"/>
  <c r="W216" i="13"/>
  <c r="W219" i="13" s="1"/>
  <c r="Y216" i="13"/>
  <c r="Y219" i="13" s="1"/>
  <c r="AC216" i="13"/>
  <c r="AC219" i="13" s="1"/>
  <c r="X216" i="13"/>
  <c r="AE216" i="13"/>
  <c r="AE219" i="13" s="1"/>
  <c r="K216" i="13"/>
  <c r="K219" i="13" s="1"/>
  <c r="AF216" i="13"/>
  <c r="AF219" i="13" s="1"/>
  <c r="J216" i="13"/>
  <c r="J219" i="13" s="1"/>
  <c r="Q201" i="13"/>
  <c r="G201" i="13"/>
  <c r="L201" i="13"/>
  <c r="N201" i="13"/>
  <c r="I201" i="13"/>
  <c r="D201" i="13"/>
  <c r="AF201" i="13"/>
  <c r="Z201" i="13"/>
  <c r="AA201" i="13"/>
  <c r="R201" i="13"/>
  <c r="S201" i="13"/>
  <c r="P201" i="13"/>
  <c r="J201" i="13"/>
  <c r="K201" i="13"/>
  <c r="H201" i="13"/>
  <c r="V201" i="13"/>
  <c r="AE201" i="13"/>
  <c r="AD201" i="13"/>
  <c r="F201" i="13"/>
  <c r="AC201" i="13"/>
  <c r="W201" i="13"/>
  <c r="AB201" i="13"/>
  <c r="Y201" i="13"/>
  <c r="O201" i="13"/>
  <c r="T201" i="13"/>
  <c r="S189" i="13"/>
  <c r="O189" i="13"/>
  <c r="N189" i="13"/>
  <c r="J189" i="13"/>
  <c r="AB189" i="13"/>
  <c r="AA189" i="13"/>
  <c r="W189" i="13"/>
  <c r="V189" i="13"/>
  <c r="R189" i="13"/>
  <c r="P189" i="13"/>
  <c r="E189" i="13"/>
  <c r="AE189" i="13"/>
  <c r="I189" i="13"/>
  <c r="AD189" i="13"/>
  <c r="Z189" i="13"/>
  <c r="D189" i="13"/>
  <c r="X189" i="13"/>
  <c r="M189" i="13"/>
  <c r="Q189" i="13"/>
  <c r="AF189" i="13"/>
  <c r="U189" i="13"/>
  <c r="Y189" i="13"/>
  <c r="AC189" i="13"/>
  <c r="H261" i="13"/>
  <c r="H274" i="13" s="1"/>
  <c r="L189" i="13"/>
  <c r="H189" i="13"/>
  <c r="K189" i="13"/>
  <c r="G189" i="13"/>
  <c r="F189" i="13"/>
  <c r="T189" i="13"/>
  <c r="AF171" i="13"/>
  <c r="AF174" i="13" s="1"/>
  <c r="AF340" i="13" s="1"/>
  <c r="X171" i="13"/>
  <c r="D171" i="13"/>
  <c r="D174" i="13" s="1"/>
  <c r="D340" i="13" s="1"/>
  <c r="P171" i="13"/>
  <c r="P174" i="13" s="1"/>
  <c r="P340" i="13" s="1"/>
  <c r="H171" i="13"/>
  <c r="H174" i="13" s="1"/>
  <c r="H340" i="13" s="1"/>
  <c r="J171" i="13"/>
  <c r="J174" i="13" s="1"/>
  <c r="J340" i="13" s="1"/>
  <c r="AC171" i="13"/>
  <c r="AC174" i="13" s="1"/>
  <c r="AC340" i="13" s="1"/>
  <c r="W162" i="13"/>
  <c r="W165" i="13" s="1"/>
  <c r="AE162" i="13"/>
  <c r="AE165" i="13" s="1"/>
  <c r="I162" i="13"/>
  <c r="I165" i="13" s="1"/>
  <c r="F162" i="13"/>
  <c r="F165" i="13" s="1"/>
  <c r="J162" i="13"/>
  <c r="J165" i="13" s="1"/>
  <c r="H162" i="13"/>
  <c r="H165" i="13" s="1"/>
  <c r="Q162" i="13"/>
  <c r="Q165" i="13" s="1"/>
  <c r="N162" i="13"/>
  <c r="N165" i="13" s="1"/>
  <c r="R162" i="13"/>
  <c r="R165" i="13" s="1"/>
  <c r="P162" i="13"/>
  <c r="P165" i="13" s="1"/>
  <c r="Y162" i="13"/>
  <c r="Y165" i="13" s="1"/>
  <c r="E162" i="13"/>
  <c r="E165" i="13" s="1"/>
  <c r="V162" i="13"/>
  <c r="V165" i="13" s="1"/>
  <c r="Z162" i="13"/>
  <c r="Z165" i="13" s="1"/>
  <c r="X162" i="13"/>
  <c r="L162" i="13"/>
  <c r="L165" i="13" s="1"/>
  <c r="M162" i="13"/>
  <c r="M165" i="13" s="1"/>
  <c r="AD162" i="13"/>
  <c r="AD165" i="13" s="1"/>
  <c r="AF162" i="13"/>
  <c r="AF165" i="13" s="1"/>
  <c r="K162" i="13"/>
  <c r="K165" i="13" s="1"/>
  <c r="S162" i="13"/>
  <c r="S165" i="13" s="1"/>
  <c r="T162" i="13"/>
  <c r="T165" i="13" s="1"/>
  <c r="U162" i="13"/>
  <c r="U165" i="13" s="1"/>
  <c r="G162" i="13"/>
  <c r="G165" i="13" s="1"/>
  <c r="AA162" i="13"/>
  <c r="AA165" i="13" s="1"/>
  <c r="D162" i="13"/>
  <c r="D165" i="13" s="1"/>
  <c r="AB162" i="13"/>
  <c r="AB165" i="13" s="1"/>
  <c r="AC162" i="13"/>
  <c r="AC165" i="13" s="1"/>
  <c r="O162" i="13"/>
  <c r="O165" i="13" s="1"/>
  <c r="V153" i="13"/>
  <c r="V156" i="13" s="1"/>
  <c r="H153" i="13"/>
  <c r="H156" i="13" s="1"/>
  <c r="T153" i="13"/>
  <c r="T156" i="13" s="1"/>
  <c r="AD153" i="13"/>
  <c r="AD156" i="13" s="1"/>
  <c r="P153" i="13"/>
  <c r="P156" i="13" s="1"/>
  <c r="AB153" i="13"/>
  <c r="AB156" i="13" s="1"/>
  <c r="E153" i="13"/>
  <c r="E156" i="13" s="1"/>
  <c r="J153" i="13"/>
  <c r="J156" i="13" s="1"/>
  <c r="X153" i="13"/>
  <c r="X156" i="13" s="1"/>
  <c r="M153" i="13"/>
  <c r="M156" i="13" s="1"/>
  <c r="AA153" i="13"/>
  <c r="AA156" i="13" s="1"/>
  <c r="R153" i="13"/>
  <c r="R156" i="13" s="1"/>
  <c r="G153" i="13"/>
  <c r="G156" i="13" s="1"/>
  <c r="AF153" i="13"/>
  <c r="AF156" i="13" s="1"/>
  <c r="I153" i="13"/>
  <c r="I156" i="13" s="1"/>
  <c r="U153" i="13"/>
  <c r="U156" i="13" s="1"/>
  <c r="D153" i="13"/>
  <c r="D156" i="13" s="1"/>
  <c r="Z153" i="13"/>
  <c r="Z156" i="13" s="1"/>
  <c r="O153" i="13"/>
  <c r="O156" i="13" s="1"/>
  <c r="Q153" i="13"/>
  <c r="Q156" i="13" s="1"/>
  <c r="AC153" i="13"/>
  <c r="AC156" i="13" s="1"/>
  <c r="W153" i="13"/>
  <c r="W156" i="13" s="1"/>
  <c r="Y153" i="13"/>
  <c r="Y156" i="13" s="1"/>
  <c r="S153" i="13"/>
  <c r="S156" i="13" s="1"/>
  <c r="F153" i="13"/>
  <c r="F156" i="13" s="1"/>
  <c r="AE153" i="13"/>
  <c r="AE156" i="13" s="1"/>
  <c r="N153" i="13"/>
  <c r="N156" i="13" s="1"/>
  <c r="L153" i="13"/>
  <c r="L156" i="13" s="1"/>
  <c r="K153" i="13"/>
  <c r="K156" i="13" s="1"/>
  <c r="F144" i="13"/>
  <c r="F147" i="13" s="1"/>
  <c r="AF135" i="13"/>
  <c r="AF138" i="13" s="1"/>
  <c r="AB135" i="13"/>
  <c r="AB138" i="13" s="1"/>
  <c r="W144" i="13"/>
  <c r="W147" i="13" s="1"/>
  <c r="N144" i="13"/>
  <c r="N147" i="13" s="1"/>
  <c r="AE144" i="13"/>
  <c r="AE147" i="13" s="1"/>
  <c r="Q135" i="13"/>
  <c r="Q138" i="13" s="1"/>
  <c r="J135" i="13"/>
  <c r="J138" i="13" s="1"/>
  <c r="D144" i="13"/>
  <c r="D147" i="13" s="1"/>
  <c r="E135" i="13"/>
  <c r="E138" i="13" s="1"/>
  <c r="Y135" i="13"/>
  <c r="Y138" i="13" s="1"/>
  <c r="R135" i="13"/>
  <c r="R138" i="13" s="1"/>
  <c r="E144" i="13"/>
  <c r="E147" i="13" s="1"/>
  <c r="V144" i="13"/>
  <c r="V147" i="13" s="1"/>
  <c r="M144" i="13"/>
  <c r="M147" i="13" s="1"/>
  <c r="AD144" i="13"/>
  <c r="AD147" i="13" s="1"/>
  <c r="K144" i="13"/>
  <c r="K147" i="13" s="1"/>
  <c r="H144" i="13"/>
  <c r="H147" i="13" s="1"/>
  <c r="S135" i="13"/>
  <c r="S138" i="13" s="1"/>
  <c r="M135" i="13"/>
  <c r="M138" i="13" s="1"/>
  <c r="K135" i="13"/>
  <c r="K138" i="13" s="1"/>
  <c r="L144" i="13"/>
  <c r="L147" i="13" s="1"/>
  <c r="J144" i="13"/>
  <c r="J147" i="13" s="1"/>
  <c r="I144" i="13"/>
  <c r="I147" i="13" s="1"/>
  <c r="S144" i="13"/>
  <c r="S147" i="13" s="1"/>
  <c r="P144" i="13"/>
  <c r="P147" i="13" s="1"/>
  <c r="U135" i="13"/>
  <c r="U138" i="13" s="1"/>
  <c r="AA135" i="13"/>
  <c r="AA138" i="13" s="1"/>
  <c r="I135" i="13"/>
  <c r="I138" i="13" s="1"/>
  <c r="D135" i="13"/>
  <c r="D138" i="13" s="1"/>
  <c r="N135" i="13"/>
  <c r="N138" i="13" s="1"/>
  <c r="G135" i="13"/>
  <c r="G138" i="13" s="1"/>
  <c r="T144" i="13"/>
  <c r="T147" i="13" s="1"/>
  <c r="AC144" i="13"/>
  <c r="AC147" i="13" s="1"/>
  <c r="R144" i="13"/>
  <c r="R147" i="13" s="1"/>
  <c r="Q144" i="13"/>
  <c r="Q147" i="13" s="1"/>
  <c r="AA144" i="13"/>
  <c r="AA147" i="13" s="1"/>
  <c r="X144" i="13"/>
  <c r="AC135" i="13"/>
  <c r="AC138" i="13" s="1"/>
  <c r="H135" i="13"/>
  <c r="H138" i="13" s="1"/>
  <c r="D294" i="13"/>
  <c r="D301" i="13" s="1"/>
  <c r="V135" i="13"/>
  <c r="V138" i="13" s="1"/>
  <c r="O135" i="13"/>
  <c r="O138" i="13" s="1"/>
  <c r="U144" i="13"/>
  <c r="U147" i="13" s="1"/>
  <c r="P135" i="13"/>
  <c r="P138" i="13" s="1"/>
  <c r="F135" i="13"/>
  <c r="F138" i="13" s="1"/>
  <c r="L135" i="13"/>
  <c r="L138" i="13" s="1"/>
  <c r="W135" i="13"/>
  <c r="W138" i="13" s="1"/>
  <c r="Z135" i="13"/>
  <c r="Z138" i="13" s="1"/>
  <c r="AB144" i="13"/>
  <c r="AB147" i="13" s="1"/>
  <c r="Z144" i="13"/>
  <c r="Z147" i="13" s="1"/>
  <c r="G144" i="13"/>
  <c r="G147" i="13" s="1"/>
  <c r="Y144" i="13"/>
  <c r="Y147" i="13" s="1"/>
  <c r="AF144" i="13"/>
  <c r="AF147" i="13" s="1"/>
  <c r="O144" i="13"/>
  <c r="O147" i="13" s="1"/>
  <c r="E294" i="13"/>
  <c r="E301" i="13" s="1"/>
  <c r="X135" i="13"/>
  <c r="X138" i="13" s="1"/>
  <c r="AD135" i="13"/>
  <c r="AD138" i="13" s="1"/>
  <c r="T135" i="13"/>
  <c r="T138" i="13" s="1"/>
  <c r="AE135" i="13"/>
  <c r="AE138" i="13" s="1"/>
  <c r="AG137" i="13"/>
  <c r="AG217" i="13"/>
  <c r="AG200" i="13"/>
  <c r="AG145" i="13"/>
  <c r="AG163" i="13"/>
  <c r="AG235" i="13"/>
  <c r="L295" i="13" s="1"/>
  <c r="L302" i="13" s="1"/>
  <c r="AG173" i="13"/>
  <c r="AG164" i="13"/>
  <c r="AG146" i="13"/>
  <c r="E296" i="13"/>
  <c r="E303" i="13" s="1"/>
  <c r="AG172" i="13"/>
  <c r="AG236" i="13"/>
  <c r="AG218" i="13"/>
  <c r="AG199" i="13"/>
  <c r="AG136" i="13"/>
  <c r="AG225" i="13"/>
  <c r="AG109" i="13"/>
  <c r="AH154" i="13"/>
  <c r="AG82" i="13"/>
  <c r="AG19" i="13"/>
  <c r="AG135" i="13"/>
  <c r="AG153" i="13"/>
  <c r="AG156" i="13" s="1"/>
  <c r="AG37" i="13"/>
  <c r="AG100" i="13"/>
  <c r="AG216" i="13"/>
  <c r="AH155" i="13"/>
  <c r="AG28" i="13"/>
  <c r="AG144" i="13"/>
  <c r="AG73" i="13"/>
  <c r="AG189" i="13"/>
  <c r="AG234" i="13"/>
  <c r="AG118" i="13"/>
  <c r="AG55" i="13"/>
  <c r="AG162" i="13"/>
  <c r="AG46" i="13"/>
  <c r="AH116" i="13"/>
  <c r="AH96" i="13"/>
  <c r="AH71" i="13"/>
  <c r="AH17" i="13"/>
  <c r="AH53" i="13"/>
  <c r="AH26" i="13"/>
  <c r="AH98" i="13"/>
  <c r="AH44" i="13"/>
  <c r="AH107" i="13"/>
  <c r="AH80" i="13"/>
  <c r="AH35" i="13"/>
  <c r="AH15" i="13"/>
  <c r="AH114" i="13"/>
  <c r="AH105" i="13"/>
  <c r="AH78" i="13"/>
  <c r="AH69" i="13"/>
  <c r="AH42" i="13"/>
  <c r="AH33" i="13"/>
  <c r="AH24" i="13"/>
  <c r="AH51" i="13"/>
  <c r="AH70" i="13"/>
  <c r="AH43" i="13"/>
  <c r="AH106" i="13"/>
  <c r="AH115" i="13"/>
  <c r="AH25" i="13"/>
  <c r="AH52" i="13"/>
  <c r="AH16" i="13"/>
  <c r="AH97" i="13"/>
  <c r="AH34" i="13"/>
  <c r="AH79" i="13"/>
  <c r="E99" i="15"/>
  <c r="E219" i="15"/>
  <c r="E171" i="15"/>
  <c r="E123" i="15"/>
  <c r="E30" i="15"/>
  <c r="E226" i="15"/>
  <c r="E178" i="15"/>
  <c r="E130" i="15"/>
  <c r="E37" i="15"/>
  <c r="E14" i="13"/>
  <c r="E68" i="15"/>
  <c r="E203" i="15"/>
  <c r="E155" i="15"/>
  <c r="E61" i="15"/>
  <c r="E92" i="15"/>
  <c r="E162" i="15"/>
  <c r="E210" i="15"/>
  <c r="E14" i="15"/>
  <c r="E21" i="15"/>
  <c r="F295" i="13" l="1"/>
  <c r="F302" i="13" s="1"/>
  <c r="J296" i="13"/>
  <c r="J303" i="13" s="1"/>
  <c r="J327" i="13" s="1"/>
  <c r="H296" i="13"/>
  <c r="H303" i="13" s="1"/>
  <c r="H327" i="13" s="1"/>
  <c r="X174" i="13"/>
  <c r="X340" i="13" s="1"/>
  <c r="X201" i="13"/>
  <c r="K257" i="13" s="1"/>
  <c r="X147" i="13"/>
  <c r="I295" i="13"/>
  <c r="I302" i="13" s="1"/>
  <c r="I326" i="13" s="1"/>
  <c r="F296" i="13"/>
  <c r="F303" i="13" s="1"/>
  <c r="F327" i="13" s="1"/>
  <c r="X219" i="13"/>
  <c r="I276" i="13"/>
  <c r="H310" i="13" s="1"/>
  <c r="H318" i="13" s="1"/>
  <c r="H321" i="13" s="1"/>
  <c r="I265" i="13"/>
  <c r="I278" i="13" s="1"/>
  <c r="H312" i="13" s="1"/>
  <c r="AG138" i="13"/>
  <c r="AH138" i="13" s="1"/>
  <c r="M296" i="13"/>
  <c r="M303" i="13" s="1"/>
  <c r="M327" i="13" s="1"/>
  <c r="P263" i="13"/>
  <c r="AG201" i="13"/>
  <c r="J310" i="13"/>
  <c r="J318" i="13" s="1"/>
  <c r="L284" i="13"/>
  <c r="X165" i="13"/>
  <c r="G257" i="13" s="1"/>
  <c r="G254" i="13"/>
  <c r="G261" i="13" s="1"/>
  <c r="X237" i="13"/>
  <c r="O254" i="13"/>
  <c r="O261" i="13" s="1"/>
  <c r="L277" i="13"/>
  <c r="L265" i="13"/>
  <c r="L278" i="13" s="1"/>
  <c r="J312" i="13" s="1"/>
  <c r="K294" i="13"/>
  <c r="K301" i="13" s="1"/>
  <c r="K325" i="13" s="1"/>
  <c r="AH191" i="13"/>
  <c r="AH190" i="13"/>
  <c r="M228" i="13"/>
  <c r="M263" i="13"/>
  <c r="M276" i="13" s="1"/>
  <c r="K296" i="13"/>
  <c r="K303" i="13" s="1"/>
  <c r="K327" i="13" s="1"/>
  <c r="J263" i="13"/>
  <c r="J276" i="13" s="1"/>
  <c r="O263" i="13"/>
  <c r="O276" i="13" s="1"/>
  <c r="L296" i="13"/>
  <c r="L303" i="13" s="1"/>
  <c r="L327" i="13" s="1"/>
  <c r="K263" i="13"/>
  <c r="K276" i="13" s="1"/>
  <c r="I296" i="13"/>
  <c r="I303" i="13" s="1"/>
  <c r="I327" i="13" s="1"/>
  <c r="N263" i="13"/>
  <c r="N276" i="13" s="1"/>
  <c r="H282" i="13"/>
  <c r="G308" i="13"/>
  <c r="G316" i="13" s="1"/>
  <c r="W228" i="13"/>
  <c r="F228" i="13"/>
  <c r="Z192" i="13"/>
  <c r="J262" i="13"/>
  <c r="J275" i="13" s="1"/>
  <c r="J261" i="13"/>
  <c r="N261" i="13"/>
  <c r="N262" i="13"/>
  <c r="N275" i="13" s="1"/>
  <c r="M262" i="13"/>
  <c r="M275" i="13" s="1"/>
  <c r="L326" i="13"/>
  <c r="O262" i="13"/>
  <c r="O275" i="13" s="1"/>
  <c r="M261" i="13"/>
  <c r="K262" i="13"/>
  <c r="K275" i="13" s="1"/>
  <c r="D228" i="13"/>
  <c r="G326" i="13"/>
  <c r="E325" i="13"/>
  <c r="M325" i="13"/>
  <c r="J325" i="13"/>
  <c r="H325" i="13"/>
  <c r="H326" i="13"/>
  <c r="J326" i="13"/>
  <c r="M326" i="13"/>
  <c r="K326" i="13"/>
  <c r="F326" i="13"/>
  <c r="E326" i="13"/>
  <c r="G325" i="13"/>
  <c r="D325" i="13"/>
  <c r="L192" i="13"/>
  <c r="S192" i="13"/>
  <c r="R228" i="13"/>
  <c r="D326" i="13"/>
  <c r="D327" i="13"/>
  <c r="Y192" i="13"/>
  <c r="G192" i="13"/>
  <c r="AC228" i="13"/>
  <c r="K192" i="13"/>
  <c r="N192" i="13"/>
  <c r="I228" i="13"/>
  <c r="R192" i="13"/>
  <c r="AD228" i="13"/>
  <c r="U192" i="13"/>
  <c r="H192" i="13"/>
  <c r="P192" i="13"/>
  <c r="Y228" i="13"/>
  <c r="AG228" i="13"/>
  <c r="U228" i="13"/>
  <c r="V192" i="13"/>
  <c r="N228" i="13"/>
  <c r="Z228" i="13"/>
  <c r="AF192" i="13"/>
  <c r="Q192" i="13"/>
  <c r="X228" i="13"/>
  <c r="AG237" i="13"/>
  <c r="D192" i="13"/>
  <c r="F192" i="13"/>
  <c r="K228" i="13"/>
  <c r="Q228" i="13"/>
  <c r="J192" i="13"/>
  <c r="AB228" i="13"/>
  <c r="J228" i="13"/>
  <c r="AG219" i="13"/>
  <c r="O228" i="13"/>
  <c r="AG192" i="13"/>
  <c r="AE228" i="13"/>
  <c r="AC192" i="13"/>
  <c r="E228" i="13"/>
  <c r="AF228" i="13"/>
  <c r="AG147" i="13"/>
  <c r="AA192" i="13"/>
  <c r="T228" i="13"/>
  <c r="I192" i="13"/>
  <c r="AB192" i="13"/>
  <c r="L228" i="13"/>
  <c r="P228" i="13"/>
  <c r="W192" i="13"/>
  <c r="AG174" i="13"/>
  <c r="T192" i="13"/>
  <c r="AD192" i="13"/>
  <c r="S228" i="13"/>
  <c r="AG165" i="13"/>
  <c r="AE192" i="13"/>
  <c r="E192" i="13"/>
  <c r="V228" i="13"/>
  <c r="M192" i="13"/>
  <c r="O192" i="13"/>
  <c r="AA228" i="13"/>
  <c r="X192" i="13"/>
  <c r="G228" i="13"/>
  <c r="H228" i="13"/>
  <c r="AH183" i="13"/>
  <c r="AH209" i="13"/>
  <c r="AH227" i="13"/>
  <c r="AH226" i="13"/>
  <c r="AH210" i="13"/>
  <c r="AH208" i="13"/>
  <c r="AH211" i="13" s="1"/>
  <c r="AH146" i="13"/>
  <c r="F261" i="13"/>
  <c r="F274" i="13" s="1"/>
  <c r="AG229" i="13"/>
  <c r="AG193" i="13"/>
  <c r="AG157" i="13"/>
  <c r="AH156" i="13"/>
  <c r="AH117" i="13"/>
  <c r="AH108" i="13"/>
  <c r="AH171" i="13"/>
  <c r="AH99" i="13"/>
  <c r="AH81" i="13"/>
  <c r="AH162" i="13"/>
  <c r="AH72" i="13"/>
  <c r="AH54" i="13"/>
  <c r="AH45" i="13"/>
  <c r="E261" i="13"/>
  <c r="E274" i="13" s="1"/>
  <c r="D261" i="13"/>
  <c r="D274" i="13" s="1"/>
  <c r="D282" i="13" s="1"/>
  <c r="AH36" i="13"/>
  <c r="AH135" i="13"/>
  <c r="AH18" i="13"/>
  <c r="AH27" i="13"/>
  <c r="H263" i="13"/>
  <c r="H276" i="13" s="1"/>
  <c r="G327" i="13"/>
  <c r="E263" i="13"/>
  <c r="E276" i="13" s="1"/>
  <c r="E327" i="13"/>
  <c r="G263" i="13"/>
  <c r="G276" i="13" s="1"/>
  <c r="F263" i="13"/>
  <c r="F276" i="13" s="1"/>
  <c r="D263" i="13"/>
  <c r="D262" i="13"/>
  <c r="D275" i="13" s="1"/>
  <c r="D309" i="13" s="1"/>
  <c r="G262" i="13"/>
  <c r="G275" i="13" s="1"/>
  <c r="E262" i="13"/>
  <c r="AH164" i="13"/>
  <c r="AH225" i="13"/>
  <c r="AH199" i="13"/>
  <c r="F262" i="13"/>
  <c r="E297" i="13"/>
  <c r="E304" i="13" s="1"/>
  <c r="G297" i="13"/>
  <c r="G304" i="13" s="1"/>
  <c r="H262" i="13"/>
  <c r="AH173" i="13"/>
  <c r="AH109" i="13"/>
  <c r="D297" i="13"/>
  <c r="D304" i="13" s="1"/>
  <c r="AH118" i="13"/>
  <c r="AH172" i="13"/>
  <c r="AG175" i="13"/>
  <c r="AG220" i="13"/>
  <c r="AH55" i="13"/>
  <c r="AH189" i="13"/>
  <c r="AH28" i="13"/>
  <c r="AH200" i="13"/>
  <c r="AH137" i="13"/>
  <c r="AG238" i="13"/>
  <c r="AG148" i="13"/>
  <c r="AH236" i="13"/>
  <c r="AH46" i="13"/>
  <c r="AG166" i="13"/>
  <c r="AH163" i="13"/>
  <c r="AH218" i="13"/>
  <c r="AH235" i="13"/>
  <c r="AG202" i="13"/>
  <c r="I294" i="13"/>
  <c r="I301" i="13" s="1"/>
  <c r="AH153" i="13"/>
  <c r="AH157" i="13" s="1"/>
  <c r="AG139" i="13"/>
  <c r="AH217" i="13"/>
  <c r="AH145" i="13"/>
  <c r="AH136" i="13"/>
  <c r="AH73" i="13"/>
  <c r="AH82" i="13"/>
  <c r="AH234" i="13"/>
  <c r="AH144" i="13"/>
  <c r="AH198" i="13"/>
  <c r="AH19" i="13"/>
  <c r="AH37" i="13"/>
  <c r="AH100" i="13"/>
  <c r="AH216" i="13"/>
  <c r="F68" i="15"/>
  <c r="F14" i="13"/>
  <c r="F14" i="15"/>
  <c r="F226" i="15"/>
  <c r="F178" i="15"/>
  <c r="F130" i="15"/>
  <c r="F37" i="15"/>
  <c r="F203" i="15"/>
  <c r="F155" i="15"/>
  <c r="F61" i="15"/>
  <c r="F99" i="15"/>
  <c r="F219" i="15"/>
  <c r="F171" i="15"/>
  <c r="F123" i="15"/>
  <c r="F30" i="15"/>
  <c r="F21" i="15"/>
  <c r="F210" i="15"/>
  <c r="F162" i="15"/>
  <c r="F92" i="15"/>
  <c r="AH147" i="13" l="1"/>
  <c r="AH201" i="13"/>
  <c r="AH219" i="13"/>
  <c r="I284" i="13"/>
  <c r="I287" i="13" s="1"/>
  <c r="AH165" i="13"/>
  <c r="P276" i="13"/>
  <c r="P265" i="13"/>
  <c r="P278" i="13" s="1"/>
  <c r="M312" i="13" s="1"/>
  <c r="X341" i="13"/>
  <c r="O257" i="13"/>
  <c r="AH237" i="13"/>
  <c r="AH341" i="13" s="1"/>
  <c r="AG341" i="13"/>
  <c r="AH174" i="13"/>
  <c r="AH340" i="13" s="1"/>
  <c r="AG340" i="13"/>
  <c r="J311" i="13"/>
  <c r="J319" i="13" s="1"/>
  <c r="J321" i="13" s="1"/>
  <c r="L285" i="13"/>
  <c r="L287" i="13" s="1"/>
  <c r="L294" i="13"/>
  <c r="L301" i="13" s="1"/>
  <c r="L325" i="13" s="1"/>
  <c r="AH193" i="13"/>
  <c r="F284" i="13"/>
  <c r="O283" i="13"/>
  <c r="L309" i="13"/>
  <c r="L317" i="13" s="1"/>
  <c r="J283" i="13"/>
  <c r="H284" i="13"/>
  <c r="G310" i="13"/>
  <c r="G318" i="13" s="1"/>
  <c r="E308" i="13"/>
  <c r="E316" i="13" s="1"/>
  <c r="E282" i="13"/>
  <c r="F282" i="13"/>
  <c r="K284" i="13"/>
  <c r="I310" i="13"/>
  <c r="I318" i="13" s="1"/>
  <c r="N264" i="13"/>
  <c r="N277" i="13" s="1"/>
  <c r="N283" i="13"/>
  <c r="O284" i="13"/>
  <c r="L310" i="13"/>
  <c r="L318" i="13" s="1"/>
  <c r="G283" i="13"/>
  <c r="F309" i="13"/>
  <c r="F317" i="13" s="1"/>
  <c r="G284" i="13"/>
  <c r="F310" i="13"/>
  <c r="F318" i="13" s="1"/>
  <c r="K283" i="13"/>
  <c r="I309" i="13"/>
  <c r="I317" i="13" s="1"/>
  <c r="K309" i="13"/>
  <c r="K317" i="13" s="1"/>
  <c r="M283" i="13"/>
  <c r="J284" i="13"/>
  <c r="F294" i="13"/>
  <c r="F301" i="13" s="1"/>
  <c r="F325" i="13" s="1"/>
  <c r="J264" i="13"/>
  <c r="J277" i="13" s="1"/>
  <c r="E310" i="13"/>
  <c r="E318" i="13" s="1"/>
  <c r="E284" i="13"/>
  <c r="M264" i="13"/>
  <c r="M277" i="13" s="1"/>
  <c r="K297" i="13"/>
  <c r="K304" i="13" s="1"/>
  <c r="N284" i="13"/>
  <c r="K310" i="13"/>
  <c r="K318" i="13" s="1"/>
  <c r="M284" i="13"/>
  <c r="I325" i="13"/>
  <c r="K261" i="13"/>
  <c r="J274" i="13"/>
  <c r="M274" i="13"/>
  <c r="N274" i="13"/>
  <c r="AH202" i="13"/>
  <c r="H328" i="13"/>
  <c r="J328" i="13"/>
  <c r="M328" i="13"/>
  <c r="D328" i="13"/>
  <c r="AH229" i="13"/>
  <c r="AH192" i="13"/>
  <c r="AH228" i="13"/>
  <c r="AH175" i="13"/>
  <c r="AH166" i="13"/>
  <c r="AH139" i="13"/>
  <c r="D317" i="13"/>
  <c r="D283" i="13"/>
  <c r="H264" i="13"/>
  <c r="H265" i="13" s="1"/>
  <c r="H278" i="13" s="1"/>
  <c r="G312" i="13" s="1"/>
  <c r="G328" i="13"/>
  <c r="E264" i="13"/>
  <c r="E265" i="13" s="1"/>
  <c r="E278" i="13" s="1"/>
  <c r="E312" i="13" s="1"/>
  <c r="E328" i="13"/>
  <c r="F264" i="13"/>
  <c r="F277" i="13" s="1"/>
  <c r="D276" i="13"/>
  <c r="D310" i="13" s="1"/>
  <c r="D308" i="13"/>
  <c r="D316" i="13" s="1"/>
  <c r="E275" i="13"/>
  <c r="D264" i="13"/>
  <c r="D265" i="13" s="1"/>
  <c r="D278" i="13" s="1"/>
  <c r="D312" i="13" s="1"/>
  <c r="G274" i="13"/>
  <c r="F275" i="13"/>
  <c r="H275" i="13"/>
  <c r="F297" i="13"/>
  <c r="F304" i="13" s="1"/>
  <c r="AH148" i="13"/>
  <c r="AH238" i="13"/>
  <c r="AH220" i="13"/>
  <c r="G68" i="15"/>
  <c r="G14" i="13"/>
  <c r="G226" i="15"/>
  <c r="G178" i="15"/>
  <c r="G130" i="15"/>
  <c r="G37" i="15"/>
  <c r="G203" i="15"/>
  <c r="G155" i="15"/>
  <c r="G61" i="15"/>
  <c r="G99" i="15"/>
  <c r="G210" i="15"/>
  <c r="G162" i="15"/>
  <c r="G92" i="15"/>
  <c r="G21" i="15"/>
  <c r="G14" i="15"/>
  <c r="G123" i="15"/>
  <c r="G30" i="15"/>
  <c r="G171" i="15"/>
  <c r="G219" i="15"/>
  <c r="K328" i="13" l="1"/>
  <c r="M310" i="13"/>
  <c r="M318" i="13" s="1"/>
  <c r="M321" i="13" s="1"/>
  <c r="P284" i="13"/>
  <c r="P287" i="13" s="1"/>
  <c r="G329" i="13"/>
  <c r="D329" i="13"/>
  <c r="M329" i="13"/>
  <c r="H329" i="13"/>
  <c r="J329" i="13"/>
  <c r="E329" i="13"/>
  <c r="J265" i="13"/>
  <c r="J278" i="13" s="1"/>
  <c r="N285" i="13"/>
  <c r="G282" i="13"/>
  <c r="F308" i="13"/>
  <c r="F316" i="13" s="1"/>
  <c r="K264" i="13"/>
  <c r="K277" i="13" s="1"/>
  <c r="I297" i="13"/>
  <c r="I304" i="13" s="1"/>
  <c r="N265" i="13"/>
  <c r="N278" i="13" s="1"/>
  <c r="E309" i="13"/>
  <c r="E317" i="13" s="1"/>
  <c r="E283" i="13"/>
  <c r="O264" i="13"/>
  <c r="O277" i="13" s="1"/>
  <c r="L297" i="13"/>
  <c r="L304" i="13" s="1"/>
  <c r="M265" i="13"/>
  <c r="M278" i="13" s="1"/>
  <c r="K312" i="13" s="1"/>
  <c r="K329" i="13" s="1"/>
  <c r="K311" i="13"/>
  <c r="K319" i="13" s="1"/>
  <c r="M285" i="13"/>
  <c r="H283" i="13"/>
  <c r="G309" i="13"/>
  <c r="G317" i="13" s="1"/>
  <c r="K308" i="13"/>
  <c r="K316" i="13" s="1"/>
  <c r="M282" i="13"/>
  <c r="J285" i="13"/>
  <c r="N282" i="13"/>
  <c r="F283" i="13"/>
  <c r="F285" i="13"/>
  <c r="J282" i="13"/>
  <c r="K274" i="13"/>
  <c r="O274" i="13"/>
  <c r="F265" i="13"/>
  <c r="F278" i="13" s="1"/>
  <c r="H277" i="13"/>
  <c r="D318" i="13"/>
  <c r="D284" i="13"/>
  <c r="E277" i="13"/>
  <c r="G264" i="13"/>
  <c r="G277" i="13" s="1"/>
  <c r="F328" i="13"/>
  <c r="D277" i="13"/>
  <c r="D311" i="13" s="1"/>
  <c r="H14" i="13"/>
  <c r="H99" i="15"/>
  <c r="H203" i="15"/>
  <c r="H155" i="15"/>
  <c r="H61" i="15"/>
  <c r="H68" i="15"/>
  <c r="H210" i="15"/>
  <c r="H162" i="15"/>
  <c r="H92" i="15"/>
  <c r="H21" i="15"/>
  <c r="H226" i="15"/>
  <c r="H178" i="15"/>
  <c r="H130" i="15"/>
  <c r="H37" i="15"/>
  <c r="H30" i="15"/>
  <c r="H219" i="15"/>
  <c r="H123" i="15"/>
  <c r="H171" i="15"/>
  <c r="H14" i="15"/>
  <c r="I328" i="13" l="1"/>
  <c r="L328" i="13"/>
  <c r="N287" i="13"/>
  <c r="J287" i="13"/>
  <c r="K265" i="13"/>
  <c r="K278" i="13" s="1"/>
  <c r="I312" i="13" s="1"/>
  <c r="I329" i="13" s="1"/>
  <c r="F287" i="13"/>
  <c r="K285" i="13"/>
  <c r="I311" i="13"/>
  <c r="I319" i="13" s="1"/>
  <c r="H285" i="13"/>
  <c r="H287" i="13" s="1"/>
  <c r="G311" i="13"/>
  <c r="G319" i="13" s="1"/>
  <c r="G321" i="13" s="1"/>
  <c r="O282" i="13"/>
  <c r="L308" i="13"/>
  <c r="L316" i="13" s="1"/>
  <c r="M287" i="13"/>
  <c r="G285" i="13"/>
  <c r="G287" i="13" s="1"/>
  <c r="F311" i="13"/>
  <c r="F319" i="13" s="1"/>
  <c r="F321" i="13" s="1"/>
  <c r="O285" i="13"/>
  <c r="L311" i="13"/>
  <c r="L319" i="13" s="1"/>
  <c r="O265" i="13"/>
  <c r="O278" i="13" s="1"/>
  <c r="L312" i="13" s="1"/>
  <c r="L329" i="13" s="1"/>
  <c r="E311" i="13"/>
  <c r="E319" i="13" s="1"/>
  <c r="E321" i="13" s="1"/>
  <c r="E285" i="13"/>
  <c r="E287" i="13" s="1"/>
  <c r="K282" i="13"/>
  <c r="I308" i="13"/>
  <c r="I316" i="13" s="1"/>
  <c r="K321" i="13"/>
  <c r="D319" i="13"/>
  <c r="D321" i="13" s="1"/>
  <c r="D285" i="13"/>
  <c r="D287" i="13" s="1"/>
  <c r="G265" i="13"/>
  <c r="G278" i="13" s="1"/>
  <c r="F312" i="13" s="1"/>
  <c r="F329" i="13" s="1"/>
  <c r="I68" i="15"/>
  <c r="I99" i="15"/>
  <c r="I203" i="15"/>
  <c r="I155" i="15"/>
  <c r="I61" i="15"/>
  <c r="I14" i="13"/>
  <c r="I210" i="15"/>
  <c r="I162" i="15"/>
  <c r="I92" i="15"/>
  <c r="I219" i="15"/>
  <c r="I171" i="15"/>
  <c r="I123" i="15"/>
  <c r="I30" i="15"/>
  <c r="I130" i="15"/>
  <c r="I14" i="15"/>
  <c r="I37" i="15"/>
  <c r="I178" i="15"/>
  <c r="I226" i="15"/>
  <c r="I21" i="15"/>
  <c r="K287" i="13" l="1"/>
  <c r="I321" i="13"/>
  <c r="I330" i="13" s="1"/>
  <c r="O287" i="13"/>
  <c r="E330" i="13"/>
  <c r="F330" i="13"/>
  <c r="G330" i="13"/>
  <c r="K330" i="13"/>
  <c r="M330" i="13"/>
  <c r="H330" i="13"/>
  <c r="J330" i="13"/>
  <c r="L321" i="13"/>
  <c r="L330" i="13" s="1"/>
  <c r="D330" i="13"/>
  <c r="J14" i="13"/>
  <c r="J68" i="15"/>
  <c r="J210" i="15"/>
  <c r="J162" i="15"/>
  <c r="J92" i="15"/>
  <c r="J99" i="15"/>
  <c r="J219" i="15"/>
  <c r="J171" i="15"/>
  <c r="J123" i="15"/>
  <c r="J30" i="15"/>
  <c r="J14" i="15"/>
  <c r="J203" i="15"/>
  <c r="J155" i="15"/>
  <c r="J61" i="15"/>
  <c r="J226" i="15"/>
  <c r="J37" i="15"/>
  <c r="J130" i="15"/>
  <c r="J178" i="15"/>
  <c r="J21" i="15"/>
  <c r="K99" i="15" l="1"/>
  <c r="K68" i="15"/>
  <c r="K210" i="15"/>
  <c r="K162" i="15"/>
  <c r="K92" i="15"/>
  <c r="K21" i="15"/>
  <c r="K14" i="13"/>
  <c r="K219" i="15"/>
  <c r="K171" i="15"/>
  <c r="K123" i="15"/>
  <c r="K14" i="15"/>
  <c r="K226" i="15"/>
  <c r="K178" i="15"/>
  <c r="K130" i="15"/>
  <c r="K37" i="15"/>
  <c r="K155" i="15"/>
  <c r="K30" i="15"/>
  <c r="K61" i="15"/>
  <c r="K203" i="15"/>
  <c r="L14" i="13" l="1"/>
  <c r="L68" i="15"/>
  <c r="L99" i="15"/>
  <c r="L219" i="15"/>
  <c r="L171" i="15"/>
  <c r="L123" i="15"/>
  <c r="L226" i="15"/>
  <c r="L178" i="15"/>
  <c r="L130" i="15"/>
  <c r="L37" i="15"/>
  <c r="L210" i="15"/>
  <c r="L162" i="15"/>
  <c r="L92" i="15"/>
  <c r="L21" i="15"/>
  <c r="L61" i="15"/>
  <c r="L14" i="15"/>
  <c r="L155" i="15"/>
  <c r="L30" i="15"/>
  <c r="L203" i="15"/>
  <c r="M99" i="15" l="1"/>
  <c r="M14" i="13"/>
  <c r="M219" i="15"/>
  <c r="M171" i="15"/>
  <c r="M123" i="15"/>
  <c r="M30" i="15"/>
  <c r="M226" i="15"/>
  <c r="M178" i="15"/>
  <c r="M130" i="15"/>
  <c r="M37" i="15"/>
  <c r="M203" i="15"/>
  <c r="M155" i="15"/>
  <c r="M61" i="15"/>
  <c r="M68" i="15"/>
  <c r="M162" i="15"/>
  <c r="M210" i="15"/>
  <c r="M21" i="15"/>
  <c r="M14" i="15"/>
  <c r="M92" i="15"/>
  <c r="N68" i="15" l="1"/>
  <c r="N14" i="13"/>
  <c r="N99" i="15"/>
  <c r="N14" i="15"/>
  <c r="N226" i="15"/>
  <c r="N178" i="15"/>
  <c r="N130" i="15"/>
  <c r="N37" i="15"/>
  <c r="N203" i="15"/>
  <c r="N155" i="15"/>
  <c r="N61" i="15"/>
  <c r="N219" i="15"/>
  <c r="N171" i="15"/>
  <c r="N123" i="15"/>
  <c r="N30" i="15"/>
  <c r="N21" i="15"/>
  <c r="N92" i="15"/>
  <c r="N210" i="15"/>
  <c r="N162" i="15"/>
  <c r="O68" i="15" l="1"/>
  <c r="O14" i="13"/>
  <c r="O226" i="15"/>
  <c r="O178" i="15"/>
  <c r="O130" i="15"/>
  <c r="O37" i="15"/>
  <c r="O203" i="15"/>
  <c r="O155" i="15"/>
  <c r="O61" i="15"/>
  <c r="O210" i="15"/>
  <c r="O162" i="15"/>
  <c r="O92" i="15"/>
  <c r="O21" i="15"/>
  <c r="O99" i="15"/>
  <c r="O14" i="15"/>
  <c r="O171" i="15"/>
  <c r="O219" i="15"/>
  <c r="O123" i="15"/>
  <c r="O30" i="15"/>
  <c r="P14" i="13" l="1"/>
  <c r="P99" i="15"/>
  <c r="P203" i="15"/>
  <c r="P155" i="15"/>
  <c r="P61" i="15"/>
  <c r="P210" i="15"/>
  <c r="P162" i="15"/>
  <c r="P92" i="15"/>
  <c r="P21" i="15"/>
  <c r="P226" i="15"/>
  <c r="P178" i="15"/>
  <c r="P130" i="15"/>
  <c r="P37" i="15"/>
  <c r="P14" i="15"/>
  <c r="P171" i="15"/>
  <c r="P219" i="15"/>
  <c r="P68" i="15"/>
  <c r="P123" i="15"/>
  <c r="P30" i="15"/>
  <c r="Q68" i="15" l="1"/>
  <c r="Q99" i="15"/>
  <c r="Q203" i="15"/>
  <c r="Q155" i="15"/>
  <c r="Q61" i="15"/>
  <c r="Q210" i="15"/>
  <c r="Q162" i="15"/>
  <c r="Q92" i="15"/>
  <c r="Q219" i="15"/>
  <c r="Q171" i="15"/>
  <c r="Q123" i="15"/>
  <c r="Q30" i="15"/>
  <c r="Q14" i="13"/>
  <c r="Q178" i="15"/>
  <c r="Q21" i="15"/>
  <c r="Q130" i="15"/>
  <c r="Q14" i="15"/>
  <c r="Q226" i="15"/>
  <c r="Q37" i="15"/>
  <c r="R14" i="13" l="1"/>
  <c r="R210" i="15"/>
  <c r="R162" i="15"/>
  <c r="R92" i="15"/>
  <c r="R219" i="15"/>
  <c r="R171" i="15"/>
  <c r="R123" i="15"/>
  <c r="R30" i="15"/>
  <c r="R14" i="15"/>
  <c r="R203" i="15"/>
  <c r="R155" i="15"/>
  <c r="R61" i="15"/>
  <c r="R99" i="15"/>
  <c r="R68" i="15"/>
  <c r="R37" i="15"/>
  <c r="R130" i="15"/>
  <c r="R178" i="15"/>
  <c r="R226" i="15"/>
  <c r="R21" i="15"/>
  <c r="S99" i="15" l="1"/>
  <c r="S68" i="15"/>
  <c r="S210" i="15"/>
  <c r="S162" i="15"/>
  <c r="S92" i="15"/>
  <c r="S21" i="15"/>
  <c r="S219" i="15"/>
  <c r="S171" i="15"/>
  <c r="S123" i="15"/>
  <c r="S14" i="15"/>
  <c r="S226" i="15"/>
  <c r="S178" i="15"/>
  <c r="S130" i="15"/>
  <c r="S37" i="15"/>
  <c r="S203" i="15"/>
  <c r="S30" i="15"/>
  <c r="S61" i="15"/>
  <c r="S155" i="15"/>
  <c r="S14" i="13"/>
  <c r="T14" i="13" l="1"/>
  <c r="T219" i="15"/>
  <c r="T171" i="15"/>
  <c r="T123" i="15"/>
  <c r="T30" i="15"/>
  <c r="T226" i="15"/>
  <c r="T178" i="15"/>
  <c r="T130" i="15"/>
  <c r="T37" i="15"/>
  <c r="T68" i="15"/>
  <c r="T210" i="15"/>
  <c r="T162" i="15"/>
  <c r="T92" i="15"/>
  <c r="T21" i="15"/>
  <c r="T99" i="15"/>
  <c r="T61" i="15"/>
  <c r="T155" i="15"/>
  <c r="T203" i="15"/>
  <c r="T14" i="15"/>
  <c r="U99" i="15" l="1"/>
  <c r="U219" i="15"/>
  <c r="U171" i="15"/>
  <c r="U123" i="15"/>
  <c r="U30" i="15"/>
  <c r="U226" i="15"/>
  <c r="U178" i="15"/>
  <c r="U130" i="15"/>
  <c r="U37" i="15"/>
  <c r="U68" i="15"/>
  <c r="U203" i="15"/>
  <c r="U155" i="15"/>
  <c r="U61" i="15"/>
  <c r="U14" i="13"/>
  <c r="U210" i="15"/>
  <c r="U92" i="15"/>
  <c r="U21" i="15"/>
  <c r="U14" i="15"/>
  <c r="U162" i="15"/>
  <c r="V68" i="15" l="1"/>
  <c r="V14" i="13"/>
  <c r="V14" i="15"/>
  <c r="V226" i="15"/>
  <c r="V178" i="15"/>
  <c r="V130" i="15"/>
  <c r="V37" i="15"/>
  <c r="V203" i="15"/>
  <c r="V155" i="15"/>
  <c r="V61" i="15"/>
  <c r="V99" i="15"/>
  <c r="V219" i="15"/>
  <c r="V171" i="15"/>
  <c r="V123" i="15"/>
  <c r="V30" i="15"/>
  <c r="V21" i="15"/>
  <c r="V92" i="15"/>
  <c r="V162" i="15"/>
  <c r="V210" i="15"/>
  <c r="W68" i="15" l="1"/>
  <c r="W14" i="13"/>
  <c r="W226" i="15"/>
  <c r="W178" i="15"/>
  <c r="W130" i="15"/>
  <c r="W37" i="15"/>
  <c r="W203" i="15"/>
  <c r="W155" i="15"/>
  <c r="W61" i="15"/>
  <c r="W99" i="15"/>
  <c r="W210" i="15"/>
  <c r="W162" i="15"/>
  <c r="W92" i="15"/>
  <c r="W21" i="15"/>
  <c r="W14" i="15"/>
  <c r="W219" i="15"/>
  <c r="W30" i="15"/>
  <c r="W171" i="15"/>
  <c r="W123" i="15"/>
  <c r="X14" i="13" l="1"/>
  <c r="X99" i="15"/>
  <c r="X203" i="15"/>
  <c r="X155" i="15"/>
  <c r="X61" i="15"/>
  <c r="X68" i="15"/>
  <c r="X210" i="15"/>
  <c r="X162" i="15"/>
  <c r="X92" i="15"/>
  <c r="X21" i="15"/>
  <c r="X226" i="15"/>
  <c r="X178" i="15"/>
  <c r="X130" i="15"/>
  <c r="X37" i="15"/>
  <c r="X123" i="15"/>
  <c r="X219" i="15"/>
  <c r="X30" i="15"/>
  <c r="X171" i="15"/>
  <c r="X14" i="15"/>
  <c r="Y68" i="15" l="1"/>
  <c r="Y99" i="15"/>
  <c r="Y203" i="15"/>
  <c r="Y155" i="15"/>
  <c r="Y61" i="15"/>
  <c r="Y210" i="15"/>
  <c r="Y162" i="15"/>
  <c r="Y92" i="15"/>
  <c r="Y14" i="13"/>
  <c r="Y219" i="15"/>
  <c r="Y171" i="15"/>
  <c r="Y123" i="15"/>
  <c r="Y30" i="15"/>
  <c r="Y226" i="15"/>
  <c r="Y14" i="15"/>
  <c r="Y178" i="15"/>
  <c r="Y130" i="15"/>
  <c r="Y21" i="15"/>
  <c r="Y37" i="15"/>
  <c r="Z14" i="13" l="1"/>
  <c r="Z68" i="15"/>
  <c r="Z210" i="15"/>
  <c r="Z162" i="15"/>
  <c r="Z92" i="15"/>
  <c r="Z99" i="15"/>
  <c r="Z219" i="15"/>
  <c r="Z171" i="15"/>
  <c r="Z123" i="15"/>
  <c r="Z30" i="15"/>
  <c r="Z14" i="15"/>
  <c r="Z203" i="15"/>
  <c r="Z155" i="15"/>
  <c r="Z61" i="15"/>
  <c r="Z130" i="15"/>
  <c r="Z178" i="15"/>
  <c r="Z226" i="15"/>
  <c r="Z21" i="15"/>
  <c r="Z37" i="15"/>
  <c r="AA99" i="15" l="1"/>
  <c r="AA68" i="15"/>
  <c r="AA210" i="15"/>
  <c r="AA162" i="15"/>
  <c r="AA92" i="15"/>
  <c r="AA21" i="15"/>
  <c r="AA219" i="15"/>
  <c r="AA171" i="15"/>
  <c r="AA123" i="15"/>
  <c r="AA30" i="15"/>
  <c r="AA14" i="13"/>
  <c r="AA14" i="15"/>
  <c r="AA226" i="15"/>
  <c r="AA178" i="15"/>
  <c r="AA130" i="15"/>
  <c r="AA37" i="15"/>
  <c r="AA61" i="15"/>
  <c r="AA155" i="15"/>
  <c r="AA203" i="15"/>
  <c r="AB14" i="13" l="1"/>
  <c r="AB68" i="15"/>
  <c r="AB99" i="15"/>
  <c r="AB219" i="15"/>
  <c r="AB171" i="15"/>
  <c r="AB123" i="15"/>
  <c r="AB30" i="15"/>
  <c r="AB226" i="15"/>
  <c r="AB178" i="15"/>
  <c r="AB130" i="15"/>
  <c r="AB37" i="15"/>
  <c r="AB210" i="15"/>
  <c r="AB162" i="15"/>
  <c r="AB92" i="15"/>
  <c r="AB21" i="15"/>
  <c r="AB155" i="15"/>
  <c r="AB203" i="15"/>
  <c r="AB61" i="15"/>
  <c r="AB14" i="15"/>
  <c r="AC99" i="15" l="1"/>
  <c r="AC219" i="15"/>
  <c r="AC171" i="15"/>
  <c r="AC123" i="15"/>
  <c r="AC30" i="15"/>
  <c r="AC14" i="13"/>
  <c r="AC226" i="15"/>
  <c r="AC178" i="15"/>
  <c r="AC130" i="15"/>
  <c r="AC37" i="15"/>
  <c r="AC203" i="15"/>
  <c r="AC155" i="15"/>
  <c r="AC61" i="15"/>
  <c r="AC68" i="15"/>
  <c r="AC92" i="15"/>
  <c r="AC162" i="15"/>
  <c r="AC21" i="15"/>
  <c r="AC14" i="15"/>
  <c r="AC210" i="15"/>
  <c r="AD68" i="15" l="1"/>
  <c r="AD14" i="13"/>
  <c r="AD99" i="15"/>
  <c r="AD14" i="15"/>
  <c r="AD226" i="15"/>
  <c r="AD178" i="15"/>
  <c r="AD130" i="15"/>
  <c r="AD37" i="15"/>
  <c r="AD203" i="15"/>
  <c r="AD155" i="15"/>
  <c r="AD61" i="15"/>
  <c r="AD219" i="15"/>
  <c r="AD171" i="15"/>
  <c r="AD123" i="15"/>
  <c r="AD30" i="15"/>
  <c r="AD162" i="15"/>
  <c r="AD92" i="15"/>
  <c r="AD21" i="15"/>
  <c r="AD210" i="15"/>
  <c r="AE68" i="15" l="1"/>
  <c r="AE14" i="13"/>
  <c r="AE226" i="15"/>
  <c r="AE178" i="15"/>
  <c r="AE130" i="15"/>
  <c r="AE37" i="15"/>
  <c r="AE203" i="15"/>
  <c r="AE155" i="15"/>
  <c r="AE61" i="15"/>
  <c r="AE210" i="15"/>
  <c r="AE162" i="15"/>
  <c r="AE92" i="15"/>
  <c r="AE21" i="15"/>
  <c r="AE99" i="15"/>
  <c r="AE14" i="15"/>
  <c r="AE30" i="15"/>
  <c r="AE123" i="15"/>
  <c r="AE219" i="15"/>
  <c r="AE171" i="15"/>
  <c r="AF14" i="13" l="1"/>
  <c r="AF99" i="15"/>
  <c r="AF203" i="15"/>
  <c r="AF155" i="15"/>
  <c r="AF61" i="15"/>
  <c r="AF210" i="15"/>
  <c r="AF162" i="15"/>
  <c r="AF92" i="15"/>
  <c r="AF21" i="15"/>
  <c r="AF226" i="15"/>
  <c r="AF178" i="15"/>
  <c r="AF130" i="15"/>
  <c r="AF37" i="15"/>
  <c r="AF68" i="15"/>
  <c r="AF14" i="15"/>
  <c r="AF171" i="15"/>
  <c r="AF30" i="15"/>
  <c r="AF123" i="15"/>
  <c r="AF219" i="15"/>
  <c r="AG68" i="15" l="1"/>
  <c r="AG99" i="15"/>
  <c r="AG235" i="15"/>
  <c r="AG203" i="15"/>
  <c r="AG155" i="15"/>
  <c r="AG61" i="15"/>
  <c r="AG14" i="13"/>
  <c r="AH125" i="13" s="1"/>
  <c r="AG210" i="15"/>
  <c r="AG162" i="15"/>
  <c r="AG92" i="15"/>
  <c r="AG242" i="15"/>
  <c r="AG219" i="15"/>
  <c r="AG171" i="15"/>
  <c r="AG123" i="15"/>
  <c r="AG30" i="15"/>
  <c r="AG37" i="15"/>
  <c r="AG21" i="15"/>
  <c r="AG226" i="15"/>
  <c r="AG14" i="15"/>
  <c r="AG178" i="15"/>
  <c r="AG130" i="15"/>
  <c r="AG246" i="11" l="1"/>
  <c r="AF246" i="11"/>
  <c r="AE246" i="11"/>
  <c r="AD246" i="11"/>
  <c r="AC246" i="11"/>
  <c r="AB246" i="11"/>
  <c r="AA246" i="11"/>
  <c r="Z246" i="11"/>
  <c r="Y246" i="11"/>
  <c r="X246" i="11"/>
  <c r="W246" i="11"/>
  <c r="V246" i="11"/>
  <c r="U246" i="11"/>
  <c r="T246" i="11"/>
  <c r="S246" i="11"/>
  <c r="R246" i="11"/>
  <c r="Q246" i="11"/>
  <c r="P246" i="11"/>
  <c r="O246" i="11"/>
  <c r="N246" i="11"/>
  <c r="M246" i="11"/>
  <c r="L246" i="11"/>
  <c r="K246" i="11"/>
  <c r="J246" i="11"/>
  <c r="I246" i="11"/>
  <c r="H246" i="11"/>
  <c r="G246" i="11"/>
  <c r="F246" i="11"/>
  <c r="E246" i="11"/>
  <c r="D246" i="11"/>
  <c r="AG245" i="11"/>
  <c r="AF245" i="11"/>
  <c r="AE245" i="11"/>
  <c r="AD245" i="11"/>
  <c r="AC245" i="11"/>
  <c r="AB245" i="11"/>
  <c r="AA245" i="11"/>
  <c r="Z245" i="11"/>
  <c r="Y245" i="11"/>
  <c r="X245" i="11"/>
  <c r="W245" i="11"/>
  <c r="V245" i="11"/>
  <c r="U245" i="11"/>
  <c r="T245" i="11"/>
  <c r="S245" i="11"/>
  <c r="R245" i="11"/>
  <c r="Q245" i="11"/>
  <c r="P245" i="11"/>
  <c r="O245" i="11"/>
  <c r="N245" i="11"/>
  <c r="M245" i="11"/>
  <c r="L245" i="11"/>
  <c r="K245" i="11"/>
  <c r="J245" i="11"/>
  <c r="I245" i="11"/>
  <c r="H245" i="11"/>
  <c r="G245" i="11"/>
  <c r="F245" i="11"/>
  <c r="E245" i="11"/>
  <c r="D245" i="11"/>
  <c r="AG244" i="11"/>
  <c r="AF244" i="11"/>
  <c r="AE244" i="11"/>
  <c r="AD244" i="11"/>
  <c r="AC244" i="11"/>
  <c r="AB244" i="11"/>
  <c r="AA244" i="11"/>
  <c r="Z244" i="11"/>
  <c r="Y244" i="11"/>
  <c r="X244" i="11"/>
  <c r="W244" i="11"/>
  <c r="V244" i="11"/>
  <c r="U244" i="11"/>
  <c r="T244" i="11"/>
  <c r="S244" i="11"/>
  <c r="R244" i="11"/>
  <c r="Q244" i="11"/>
  <c r="P244" i="11"/>
  <c r="O244" i="11"/>
  <c r="N244" i="11"/>
  <c r="M244" i="11"/>
  <c r="L244" i="11"/>
  <c r="K244" i="11"/>
  <c r="J244" i="11"/>
  <c r="I244" i="11"/>
  <c r="H244" i="11"/>
  <c r="G244" i="11"/>
  <c r="F244" i="11"/>
  <c r="E244" i="11"/>
  <c r="D244" i="11"/>
  <c r="AG202" i="11"/>
  <c r="AF202" i="11"/>
  <c r="AE202" i="11"/>
  <c r="AD202" i="11"/>
  <c r="AC202" i="11"/>
  <c r="AB202" i="11"/>
  <c r="AA202" i="11"/>
  <c r="Z202" i="11"/>
  <c r="Y202" i="11"/>
  <c r="X202" i="11"/>
  <c r="W202" i="11"/>
  <c r="V202" i="11"/>
  <c r="U202" i="11"/>
  <c r="T202" i="11"/>
  <c r="S202" i="11"/>
  <c r="R202" i="11"/>
  <c r="Q202" i="11"/>
  <c r="P202" i="11"/>
  <c r="O202" i="11"/>
  <c r="N202" i="11"/>
  <c r="M202" i="11"/>
  <c r="L202" i="11"/>
  <c r="K202" i="11"/>
  <c r="J202" i="11"/>
  <c r="I202" i="11"/>
  <c r="H202" i="11"/>
  <c r="G202" i="11"/>
  <c r="F202" i="11"/>
  <c r="E202" i="11"/>
  <c r="D202" i="11"/>
  <c r="AG201" i="11"/>
  <c r="AF201" i="11"/>
  <c r="AE201" i="11"/>
  <c r="AD201" i="11"/>
  <c r="AC201" i="11"/>
  <c r="AB201" i="11"/>
  <c r="AA201" i="11"/>
  <c r="Z201" i="11"/>
  <c r="Y201" i="11"/>
  <c r="X201" i="11"/>
  <c r="W201" i="11"/>
  <c r="V201" i="11"/>
  <c r="U201" i="11"/>
  <c r="T201" i="11"/>
  <c r="S201" i="11"/>
  <c r="R201" i="11"/>
  <c r="Q201" i="11"/>
  <c r="P201" i="11"/>
  <c r="O201" i="11"/>
  <c r="N201" i="11"/>
  <c r="M201" i="11"/>
  <c r="L201" i="11"/>
  <c r="K201" i="11"/>
  <c r="J201" i="11"/>
  <c r="I201" i="11"/>
  <c r="H201" i="11"/>
  <c r="G201" i="11"/>
  <c r="F201" i="11"/>
  <c r="E201" i="11"/>
  <c r="D201" i="11"/>
  <c r="AG200" i="11"/>
  <c r="AF200" i="11"/>
  <c r="AE200" i="11"/>
  <c r="AD200" i="11"/>
  <c r="AC200" i="11"/>
  <c r="AB200" i="11"/>
  <c r="AA200" i="11"/>
  <c r="Z200" i="11"/>
  <c r="Y200" i="11"/>
  <c r="X200" i="11"/>
  <c r="W200" i="11"/>
  <c r="V200" i="11"/>
  <c r="U200" i="11"/>
  <c r="T200" i="11"/>
  <c r="S200" i="11"/>
  <c r="R200" i="11"/>
  <c r="Q200" i="11"/>
  <c r="P200" i="11"/>
  <c r="O200" i="11"/>
  <c r="N200" i="11"/>
  <c r="M200" i="11"/>
  <c r="L200" i="11"/>
  <c r="K200" i="11"/>
  <c r="J200" i="11"/>
  <c r="I200" i="11"/>
  <c r="H200" i="11"/>
  <c r="G200" i="11"/>
  <c r="F200" i="11"/>
  <c r="E200" i="11"/>
  <c r="D200"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Erica Levine</author>
  </authors>
  <commentList>
    <comment ref="C69" authorId="0" shapeId="0" xr:uid="{37B59BDE-5E50-4931-9A49-7B66FA29887F}">
      <text>
        <r>
          <rPr>
            <b/>
            <sz val="9"/>
            <color indexed="81"/>
            <rFont val="Tahoma"/>
            <charset val="1"/>
          </rPr>
          <t>Erica Levine:</t>
        </r>
        <r>
          <rPr>
            <sz val="9"/>
            <color indexed="81"/>
            <rFont val="Tahoma"/>
            <charset val="1"/>
          </rPr>
          <t xml:space="preserve">
From electrical calculations tab. Assumes 4 stores, 70% of roof area usable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tc={C00F1148-C299-43F5-A880-CBFEA59CD84B}</author>
    <author>tc={80812B8D-03D1-40DD-A289-ABCD6B17405D}</author>
  </authors>
  <commentList>
    <comment ref="B331" authorId="0" shapeId="0" xr:uid="{C00F1148-C299-43F5-A880-CBFEA59CD84B}">
      <text>
        <t>[线程批注]
你的Excel版本可读取此线程批注; 但如果在更新版本的Excel中打开文件，则对批注所作的任何改动都将被删除。了解详细信息: https://go.microsoft.com/fwlink/?linkid=870924
注释:
    From cost estimate</t>
      </text>
    </comment>
    <comment ref="B332" authorId="1" shapeId="0" xr:uid="{80812B8D-03D1-40DD-A289-ABCD6B17405D}">
      <text>
        <t>[线程批注]
你的Excel版本可读取此线程批注; 但如果在更新版本的Excel中打开文件，则对批注所作的任何改动都将被删除。了解详细信息: https://go.microsoft.com/fwlink/?linkid=870924
注释:
    From cost estimate</t>
      </text>
    </comment>
  </commentList>
</comments>
</file>

<file path=xl/sharedStrings.xml><?xml version="1.0" encoding="utf-8"?>
<sst xmlns="http://schemas.openxmlformats.org/spreadsheetml/2006/main" count="5056" uniqueCount="357">
  <si>
    <t>Client</t>
  </si>
  <si>
    <t>UC Berkeley</t>
  </si>
  <si>
    <t>Input</t>
  </si>
  <si>
    <t>Project</t>
  </si>
  <si>
    <t>Campus energy study update</t>
  </si>
  <si>
    <t>Lookup</t>
  </si>
  <si>
    <t>Job Number</t>
  </si>
  <si>
    <t>Calculation</t>
  </si>
  <si>
    <t>Output</t>
  </si>
  <si>
    <t>Check</t>
  </si>
  <si>
    <t>Inputs - General</t>
  </si>
  <si>
    <t>Constants and Conversions</t>
  </si>
  <si>
    <t>Parameter</t>
  </si>
  <si>
    <t>Unit</t>
  </si>
  <si>
    <t>Value</t>
  </si>
  <si>
    <t>Source</t>
  </si>
  <si>
    <t>Start year</t>
  </si>
  <si>
    <t>Year</t>
  </si>
  <si>
    <t>Absorption chiller split</t>
  </si>
  <si>
    <t>%</t>
  </si>
  <si>
    <t>Installed chiller capacity; ratio of absorption to total</t>
  </si>
  <si>
    <t>Absorption chiller load</t>
  </si>
  <si>
    <t>ton-hrs/y</t>
  </si>
  <si>
    <t>Year 1 (assume no new absorption chillers added)</t>
  </si>
  <si>
    <t>Btu per therm</t>
  </si>
  <si>
    <t>Btu/therm</t>
  </si>
  <si>
    <t>Btu per kBtu</t>
  </si>
  <si>
    <t>Btu/kBtu</t>
  </si>
  <si>
    <t>Btuh per W</t>
  </si>
  <si>
    <t>Btuh/W</t>
  </si>
  <si>
    <t>Btuh per ton</t>
  </si>
  <si>
    <t>Btuh/ton</t>
  </si>
  <si>
    <t>Enthalpy</t>
  </si>
  <si>
    <t>Btu/lb</t>
  </si>
  <si>
    <t>2015 study</t>
  </si>
  <si>
    <t>Gallon per CCF</t>
  </si>
  <si>
    <t>Gal/CCF</t>
  </si>
  <si>
    <t>Minutes per hour</t>
  </si>
  <si>
    <t>Min/hr</t>
  </si>
  <si>
    <t>Ft3 per CCF</t>
  </si>
  <si>
    <t>ft3/CCF</t>
  </si>
  <si>
    <t>Steam density</t>
  </si>
  <si>
    <t>lb/ft3</t>
  </si>
  <si>
    <t>https://sciencing.com/convert-gravity-pounds-per-gallon-6367099.html</t>
  </si>
  <si>
    <t>Water flow</t>
  </si>
  <si>
    <t>Btuh/F-gpm</t>
  </si>
  <si>
    <t>Pounds per ton</t>
  </si>
  <si>
    <t>lb/ton</t>
  </si>
  <si>
    <t>Constant</t>
  </si>
  <si>
    <t>Assumptions</t>
  </si>
  <si>
    <t>Equipment</t>
  </si>
  <si>
    <t>Existing</t>
  </si>
  <si>
    <t>New</t>
  </si>
  <si>
    <t>Losses</t>
  </si>
  <si>
    <t>Building-level steam</t>
  </si>
  <si>
    <t>Assumption to convert from steam usage to heating, cooling and process loads. Accounts for steam losses through leaky traps, pipes, etc. From 2015 study</t>
  </si>
  <si>
    <t>Assumption</t>
  </si>
  <si>
    <t>Steam distribution (enthalpy)</t>
  </si>
  <si>
    <t>Steam data analysis and Integral report. % of overall system loss. From 2015 study</t>
  </si>
  <si>
    <t>Hot water distribution</t>
  </si>
  <si>
    <t>N/A</t>
  </si>
  <si>
    <t>New pre-insulated system with leak detection. Integral report used 2%-7%. 2015 study</t>
  </si>
  <si>
    <t>Chilled water distribution</t>
  </si>
  <si>
    <t>Assumption for new pre-insulated system with leak detection. 2015 study</t>
  </si>
  <si>
    <t>Transformers</t>
  </si>
  <si>
    <t>Efficiencies</t>
  </si>
  <si>
    <t>Building heating system</t>
  </si>
  <si>
    <t>Assume same as existing</t>
  </si>
  <si>
    <t>Cogen turbine</t>
  </si>
  <si>
    <t>Expected from conversion to DLE per data received from Gilbert.</t>
  </si>
  <si>
    <t>Absorption chiller</t>
  </si>
  <si>
    <t>COP</t>
  </si>
  <si>
    <t>Assumption due to lack of sub-metered data. Based on average chiller age and discussion with Mike Stone. 2015 study</t>
  </si>
  <si>
    <t>Electric chiller</t>
  </si>
  <si>
    <t>kW/ton</t>
  </si>
  <si>
    <t>Based on past projects with high efficiency chilled water plants in similar climate. 2015 study. Chiller + balance of plant (pumps, cooling towers, etc.)</t>
  </si>
  <si>
    <t>Heat recovery chiller</t>
  </si>
  <si>
    <t>Natural gas steam boiler</t>
  </si>
  <si>
    <t>Industry standard for new steam boiler plants</t>
  </si>
  <si>
    <t>Natural HHW gas boiler</t>
  </si>
  <si>
    <t>Industry standard for new condensing boiler plants</t>
  </si>
  <si>
    <t>Electric HHW boiler</t>
  </si>
  <si>
    <t>Cleaverbrooks instantaneous electric resistance boiler</t>
  </si>
  <si>
    <t>Heat pump</t>
  </si>
  <si>
    <t>EER (Btu out/W in)</t>
  </si>
  <si>
    <t xml:space="preserve">Clima cool ASHP </t>
  </si>
  <si>
    <t>Natural gas point steam generator</t>
  </si>
  <si>
    <t>Cleaverbrooks boiler efficiency guide</t>
  </si>
  <si>
    <t>Electric point steam generator</t>
  </si>
  <si>
    <t>Heat recovery chiller heating offset</t>
  </si>
  <si>
    <t>DEF tool, scaled to match calculated consumption</t>
  </si>
  <si>
    <t>Heat recovery chiller cooling fraction</t>
  </si>
  <si>
    <t>Water Use</t>
  </si>
  <si>
    <t>Cooling tower flow rate</t>
  </si>
  <si>
    <t>gpm/ton</t>
  </si>
  <si>
    <t>Rule of thumb (from Rob's spreadsheet)</t>
  </si>
  <si>
    <t>Cooling tower evaporation, blowdown, and drift</t>
  </si>
  <si>
    <t>Assume 50% higher than new due to less efficient equipment, leaks, etc.</t>
  </si>
  <si>
    <t>Based on 10F delta T, 3 cooling tower cycles (from Rob's spreadsheet)</t>
  </si>
  <si>
    <t>Steam distribution loss (water)</t>
  </si>
  <si>
    <t>Heating loop delta T</t>
  </si>
  <si>
    <t>F</t>
  </si>
  <si>
    <t>Assumption; usually 40-50F</t>
  </si>
  <si>
    <t>Heating makeup water</t>
  </si>
  <si>
    <t>Cogen plant loss</t>
  </si>
  <si>
    <t>Covered by steam distribution loss</t>
  </si>
  <si>
    <t>Assumption, plant-level losses only</t>
  </si>
  <si>
    <t>Energy Use</t>
  </si>
  <si>
    <t>Cogen electricity production</t>
  </si>
  <si>
    <t>kWh/y</t>
  </si>
  <si>
    <t>2018 measured cogen output</t>
  </si>
  <si>
    <t>Turbine sized to cover 100% of electricity needs</t>
  </si>
  <si>
    <t>Cogen steam production</t>
  </si>
  <si>
    <t>lbs/y</t>
  </si>
  <si>
    <t>MMBtu/y</t>
  </si>
  <si>
    <t>Costs</t>
  </si>
  <si>
    <t>CO2: natural gas</t>
  </si>
  <si>
    <t>tons CO2/therm</t>
  </si>
  <si>
    <t>Source: https://www.pge.com/includes/docs/pdfs/about/environment/calculator/assumptions.pdf</t>
  </si>
  <si>
    <t>CO2: electricity</t>
  </si>
  <si>
    <t>tons CO2/kWh</t>
  </si>
  <si>
    <t>CA RPS</t>
  </si>
  <si>
    <t>Carbon cost</t>
  </si>
  <si>
    <t>$/ton CO2</t>
  </si>
  <si>
    <t>Electricity cost</t>
  </si>
  <si>
    <t>$/kWh</t>
  </si>
  <si>
    <t>$0.133 base rate escalated 3.5%/y</t>
  </si>
  <si>
    <t>Natural gas cost</t>
  </si>
  <si>
    <t>$/therm</t>
  </si>
  <si>
    <t>$1.038 base rate escalated 4.0%/y</t>
  </si>
  <si>
    <t>Water cost</t>
  </si>
  <si>
    <t>$/CCF</t>
  </si>
  <si>
    <t>$10.75 base fee escalated 7.97%/y</t>
  </si>
  <si>
    <t>Thermal storage discount</t>
  </si>
  <si>
    <t>Assumption for peak load shedding</t>
  </si>
  <si>
    <t>Carbon Emissions</t>
  </si>
  <si>
    <t>Natural gas</t>
  </si>
  <si>
    <t>tons/therm</t>
  </si>
  <si>
    <t>Electricity (tons/kWh)</t>
  </si>
  <si>
    <t>Gas</t>
  </si>
  <si>
    <t>tons/kBtu</t>
  </si>
  <si>
    <t>Electricity</t>
  </si>
  <si>
    <t>Inputs- Core Options</t>
  </si>
  <si>
    <t>Heating</t>
  </si>
  <si>
    <t>Biosciences</t>
  </si>
  <si>
    <t>Business and Law</t>
  </si>
  <si>
    <t>Engineering, Physics, and Chemistry</t>
  </si>
  <si>
    <t>Libraries</t>
  </si>
  <si>
    <t>Lower Sproul Offices</t>
  </si>
  <si>
    <t>Campus</t>
  </si>
  <si>
    <t>kWh/MMBh</t>
  </si>
  <si>
    <t>No electric heat</t>
  </si>
  <si>
    <t>therms/MMBtu</t>
  </si>
  <si>
    <t>See global inputs</t>
  </si>
  <si>
    <t>Water</t>
  </si>
  <si>
    <t>CCF/MMBtu</t>
  </si>
  <si>
    <t>Vanderweil study (2015)</t>
  </si>
  <si>
    <t>Cooling</t>
  </si>
  <si>
    <t>Existing chillers</t>
  </si>
  <si>
    <t>`</t>
  </si>
  <si>
    <t>therms/ton-hr</t>
  </si>
  <si>
    <t>CCF/ton-hr</t>
  </si>
  <si>
    <t>Process Steam</t>
  </si>
  <si>
    <t>kWh/lb</t>
  </si>
  <si>
    <t>No electric process steam</t>
  </si>
  <si>
    <t>therms/lb</t>
  </si>
  <si>
    <t>CCF/lb</t>
  </si>
  <si>
    <t>kWh/kWh</t>
  </si>
  <si>
    <t>Enhancements</t>
  </si>
  <si>
    <t>therms/y</t>
  </si>
  <si>
    <t>CCF/y</t>
  </si>
  <si>
    <t>Core Option 0</t>
  </si>
  <si>
    <t>Vanderweil study (2015), assume distribution water leakage decreases from 20% to 10%</t>
  </si>
  <si>
    <t>Core Option 1A</t>
  </si>
  <si>
    <t>Htg_0_kWh_per_MMBtu_campus</t>
  </si>
  <si>
    <t>Htg_0_therm_per_MMBtu_campus</t>
  </si>
  <si>
    <t>Htg_0_CCF_per_MMBtu_campus</t>
  </si>
  <si>
    <t>New chillers</t>
  </si>
  <si>
    <t>Clg_0_kWh_per_ton_campus</t>
  </si>
  <si>
    <t>Clg_0_CCF_per_ton_campus</t>
  </si>
  <si>
    <t>Process_0_kWh_per_lb_campus</t>
  </si>
  <si>
    <t>Process_0_therm_per_lb_campus</t>
  </si>
  <si>
    <t>Process_0_CCF_per_lb_campus</t>
  </si>
  <si>
    <t>Elec_0_kWh_per_kWh_campus</t>
  </si>
  <si>
    <t>Core Option 1B</t>
  </si>
  <si>
    <t>No gas heat</t>
  </si>
  <si>
    <t>No gas process steam</t>
  </si>
  <si>
    <t>New transformers have higher efficiency</t>
  </si>
  <si>
    <t>Core Option 1C</t>
  </si>
  <si>
    <t>Htg_1C_kWh_per_MMBtu_libraries</t>
  </si>
  <si>
    <t>Htg_1C_therm_per_MMBtu_libraries</t>
  </si>
  <si>
    <t>Htg_1C_CCF_per_MMBtu_libraries</t>
  </si>
  <si>
    <t>Clg_1C_kWh_per_ton_libraries</t>
  </si>
  <si>
    <t>Clg_1C_CCF_per_ton_libraries</t>
  </si>
  <si>
    <t>Process_1C_kWh_per_lb_libraries</t>
  </si>
  <si>
    <t>Process_1C_therm_per_lb_libraries</t>
  </si>
  <si>
    <t>Process_1C_CCF_per_lb_libraries</t>
  </si>
  <si>
    <t>Elec_1C_kWh_per_kWh_libraries</t>
  </si>
  <si>
    <t>Core Option 2</t>
  </si>
  <si>
    <t>Weighted average of existing and new electric chiller efficiencies (new used for replaced absorbers)</t>
  </si>
  <si>
    <t>Core Option 6</t>
  </si>
  <si>
    <t>No gas process steam- trying to be "ZNE ready"</t>
  </si>
  <si>
    <t>Core Option 8A</t>
  </si>
  <si>
    <t>Core Option 8B</t>
  </si>
  <si>
    <t>Core Option 10A</t>
  </si>
  <si>
    <t>Core Option 11A</t>
  </si>
  <si>
    <t>Core Option 11B</t>
  </si>
  <si>
    <t>Core Option 11C</t>
  </si>
  <si>
    <t>Core Option 12</t>
  </si>
  <si>
    <t>Same as 1c for biosciences &amp; engineering, same as 0 for others</t>
  </si>
  <si>
    <t>Htg_12_kWh_per_MMBtu_libraries</t>
  </si>
  <si>
    <t>Htg_12_therm_per_MMBtu_libraries</t>
  </si>
  <si>
    <t>Htg_12_CCF_per_MMBtu_libraries</t>
  </si>
  <si>
    <t>Clg_12_kWh_per_ton_libraries</t>
  </si>
  <si>
    <t>Clg_12_therm_per_ton_libraries</t>
  </si>
  <si>
    <t>Clg_12_CCF_per_ton_libraries</t>
  </si>
  <si>
    <t>Process_12_kWh_per_lb_libraries</t>
  </si>
  <si>
    <t>Process_12_therm_per_lb_libraries</t>
  </si>
  <si>
    <t>Process_12_CCF_per_lb_libraries</t>
  </si>
  <si>
    <t>Elec_12_kWh_per_kWh_libraries</t>
  </si>
  <si>
    <t>Phasing</t>
  </si>
  <si>
    <t>Core Option Only</t>
  </si>
  <si>
    <t>Core Option</t>
  </si>
  <si>
    <t>Year Implemented</t>
  </si>
  <si>
    <t>Total</t>
  </si>
  <si>
    <t>0</t>
  </si>
  <si>
    <t>1A</t>
  </si>
  <si>
    <t>1B</t>
  </si>
  <si>
    <t>1C</t>
  </si>
  <si>
    <t>2</t>
  </si>
  <si>
    <t>8A</t>
  </si>
  <si>
    <t>8B</t>
  </si>
  <si>
    <t>11A</t>
  </si>
  <si>
    <t>11B</t>
  </si>
  <si>
    <t>11C</t>
  </si>
  <si>
    <t>Battery Storage</t>
  </si>
  <si>
    <t>Thermal Storage</t>
  </si>
  <si>
    <t>Solar Hot Water</t>
  </si>
  <si>
    <t>Carbon Capture &amp; Storage</t>
  </si>
  <si>
    <t>Inputs - Enhancements</t>
  </si>
  <si>
    <t>Node</t>
  </si>
  <si>
    <t>Required Area (sqft)</t>
  </si>
  <si>
    <t>Usable Annual Output (MMBtu/y)</t>
  </si>
  <si>
    <t>1a</t>
  </si>
  <si>
    <t>Engineering, Physics and Chemistry</t>
  </si>
  <si>
    <t>Lower Sproul offices</t>
  </si>
  <si>
    <t>1b</t>
  </si>
  <si>
    <t>1c</t>
  </si>
  <si>
    <t>8a</t>
  </si>
  <si>
    <t>8b</t>
  </si>
  <si>
    <t>10a</t>
  </si>
  <si>
    <t>11a</t>
  </si>
  <si>
    <t>11b</t>
  </si>
  <si>
    <t>11c</t>
  </si>
  <si>
    <t>Solar PV</t>
  </si>
  <si>
    <t>Usable Annual Output (kWh/y)</t>
  </si>
  <si>
    <t>Available Buildings</t>
  </si>
  <si>
    <t>Building</t>
  </si>
  <si>
    <t>Usable Roof Area (sqft)</t>
  </si>
  <si>
    <t>Year Constructed</t>
  </si>
  <si>
    <t>Peoples Park</t>
  </si>
  <si>
    <t>Davis Hall (N)</t>
  </si>
  <si>
    <t>Hesse/O'Brien (N)</t>
  </si>
  <si>
    <t>Oxford Tract</t>
  </si>
  <si>
    <t>Tolman Hall (N) (Climate Science Building)</t>
  </si>
  <si>
    <t>Cory Hall (N)</t>
  </si>
  <si>
    <t>Donner Laboratory (N)</t>
  </si>
  <si>
    <t>Lewis Hall Addition</t>
  </si>
  <si>
    <t>Evans Hall (N)</t>
  </si>
  <si>
    <t>Edwards Stadium / Goldman Field New Quad (N)</t>
  </si>
  <si>
    <t>Lewis Hall (N)</t>
  </si>
  <si>
    <t>Sequencing</t>
  </si>
  <si>
    <t>All Options</t>
  </si>
  <si>
    <t xml:space="preserve"> SHW Output (MMBtu/y)</t>
  </si>
  <si>
    <t>PV Output (kWh/y)</t>
  </si>
  <si>
    <t>Loads - Core Options</t>
  </si>
  <si>
    <t>Option 0</t>
  </si>
  <si>
    <t>Other Electricity Use (kWh/y)</t>
  </si>
  <si>
    <t>Old System</t>
  </si>
  <si>
    <t>Load projections</t>
  </si>
  <si>
    <t>New System</t>
  </si>
  <si>
    <t xml:space="preserve">Other Steam Use (lbs/y) </t>
  </si>
  <si>
    <t>Heating Use (MMBtu/y)</t>
  </si>
  <si>
    <t>Cooling Use (ton-hrs/y)</t>
  </si>
  <si>
    <t>Options 1A, 1B, 1C</t>
  </si>
  <si>
    <t>Option 2</t>
  </si>
  <si>
    <t>Option 6</t>
  </si>
  <si>
    <t>Options 8A, 8B</t>
  </si>
  <si>
    <t>Option 10A</t>
  </si>
  <si>
    <t>Options 11A, 11B, 11C</t>
  </si>
  <si>
    <t>Option 12</t>
  </si>
  <si>
    <t>Commodity Use - Core Options</t>
  </si>
  <si>
    <t>Commodity</t>
  </si>
  <si>
    <t>Utility loads * efficiency inputs</t>
  </si>
  <si>
    <t>Option 1A</t>
  </si>
  <si>
    <t>Sum of nodes</t>
  </si>
  <si>
    <t>Option 1B</t>
  </si>
  <si>
    <t>Option 1C</t>
  </si>
  <si>
    <t>Option 8A</t>
  </si>
  <si>
    <t>Option 8B</t>
  </si>
  <si>
    <t>Option 11A</t>
  </si>
  <si>
    <t>Option 11B</t>
  </si>
  <si>
    <t>Option 11C</t>
  </si>
  <si>
    <t>Enhancement Commodity Use</t>
  </si>
  <si>
    <t>sum of above</t>
  </si>
  <si>
    <t>Outputs for LCCA</t>
  </si>
  <si>
    <t>Core Options</t>
  </si>
  <si>
    <t>Graphs: All Options</t>
  </si>
  <si>
    <t>Graphs: New Phasing</t>
  </si>
  <si>
    <t>Electricity Use</t>
  </si>
  <si>
    <t>Item</t>
  </si>
  <si>
    <t>Core commodity use tab</t>
  </si>
  <si>
    <t>Carbon</t>
  </si>
  <si>
    <t>tons CO2-eq/y</t>
  </si>
  <si>
    <t>Energy</t>
  </si>
  <si>
    <t>(MMBtu/y)</t>
  </si>
  <si>
    <t>Natural Gas Use</t>
  </si>
  <si>
    <t>Enhancement commodity use tab</t>
  </si>
  <si>
    <t>Comparison Charts</t>
  </si>
  <si>
    <t>Final Commodities Usage</t>
  </si>
  <si>
    <t>1c E</t>
  </si>
  <si>
    <t>8b E</t>
  </si>
  <si>
    <t>11c E</t>
  </si>
  <si>
    <t>Tons CO2-eq/y</t>
  </si>
  <si>
    <t>Final Commodities Cost ($/y)</t>
  </si>
  <si>
    <t>$/y, 2045</t>
  </si>
  <si>
    <t>Final O&amp;M Cost</t>
  </si>
  <si>
    <t>O&amp;M</t>
  </si>
  <si>
    <t>USD/y, 2045</t>
  </si>
  <si>
    <t>$M USD/y, 2045</t>
  </si>
  <si>
    <t>Final Commodities Cost ($M USD/y)</t>
  </si>
  <si>
    <t>Final Operating Cost ($M USD/y)</t>
  </si>
  <si>
    <t>Formatted for Report</t>
  </si>
  <si>
    <t>Final Commodities Use</t>
  </si>
  <si>
    <t>MWh/y x1000</t>
  </si>
  <si>
    <t>therms/y x1000</t>
  </si>
  <si>
    <t>CCF/y x1000</t>
  </si>
  <si>
    <t>Tons CO2-eq/y x1000</t>
  </si>
  <si>
    <t>Final Commodities Cost</t>
  </si>
  <si>
    <t>Final Operating Cost</t>
  </si>
  <si>
    <t>Difference vs Baseline</t>
  </si>
  <si>
    <t>Commodities cost</t>
  </si>
  <si>
    <t>Operating cost</t>
  </si>
  <si>
    <t>Capital cost</t>
  </si>
  <si>
    <t>NPV first cost ($M USD)</t>
  </si>
  <si>
    <t>Life cycle cost</t>
  </si>
  <si>
    <t>NPV 30-year life cycle cost ($M USD)</t>
  </si>
  <si>
    <t>Old vs New Phasing</t>
  </si>
  <si>
    <t>Carbon Emsisions (tons CO2-eq/y)</t>
  </si>
  <si>
    <t>Option</t>
  </si>
  <si>
    <t>11c-E</t>
  </si>
  <si>
    <t>Old</t>
  </si>
  <si>
    <t>Base rate, ICIS, per Kira, escalated to 2045</t>
  </si>
  <si>
    <t>Conversion</t>
  </si>
  <si>
    <t>2015 energy delivery options study</t>
  </si>
  <si>
    <t>Calculation Overview</t>
  </si>
  <si>
    <r>
      <t xml:space="preserve">This spreadsheet calculates 30-year utility (natural gas, electricity, water, and carbon) projections for the UC Berkeley campus under different campus energy system options. Commodities are calculated for core options (systems that replace cogeneration, such as central heating and cooling) with and without enhancements (optional add-ons such as solar PV and thermal energy storage).
The </t>
    </r>
    <r>
      <rPr>
        <b/>
        <sz val="11"/>
        <color theme="1"/>
        <rFont val="Times New Roman"/>
        <family val="1"/>
        <scheme val="minor"/>
      </rPr>
      <t>Global Inputs</t>
    </r>
    <r>
      <rPr>
        <sz val="11"/>
        <color theme="1"/>
        <rFont val="Times New Roman"/>
        <family val="2"/>
        <scheme val="minor"/>
      </rPr>
      <t xml:space="preserve"> tab contains system-agnostic inputs and assumptions, such as carbon intensity of the grid, constants, conversions, and distribution efficiencies for steam and hot water systems. These values are derived from a number of sources, including UC Berkeley stakeholders, consultant reports, and measured data. 
These from the Global Inputs tab are used to develop the conversion factors on the</t>
    </r>
    <r>
      <rPr>
        <b/>
        <sz val="11"/>
        <color theme="1"/>
        <rFont val="Times New Roman"/>
        <family val="1"/>
        <scheme val="minor"/>
      </rPr>
      <t xml:space="preserve"> Core Inputs</t>
    </r>
    <r>
      <rPr>
        <sz val="11"/>
        <color theme="1"/>
        <rFont val="Times New Roman"/>
        <family val="2"/>
        <scheme val="minor"/>
      </rPr>
      <t xml:space="preserve"> tab, which are specific to the individual campus energy systems studied. 
The conversion factors from the Core Inputs tab are applied to the load projections on the </t>
    </r>
    <r>
      <rPr>
        <b/>
        <sz val="11"/>
        <color theme="1"/>
        <rFont val="Times New Roman"/>
        <family val="1"/>
        <scheme val="minor"/>
      </rPr>
      <t>Core Loads</t>
    </r>
    <r>
      <rPr>
        <sz val="11"/>
        <color theme="1"/>
        <rFont val="Times New Roman"/>
        <family val="1"/>
        <scheme val="minor"/>
      </rPr>
      <t xml:space="preserve">. Load profiles were calculated by splitting measured and interpolated campus steam, electricity, and gas usage into its component loads: heating, cooling, process steam, and other electricity. The profiles account for demolition, new construction, implementation of building-level energy conservation measures (ECMs), addition of comfort cooling, and phased transition over time from old to new systems. This calculation was completed in the </t>
    </r>
    <r>
      <rPr>
        <b/>
        <i/>
        <sz val="11"/>
        <color theme="1"/>
        <rFont val="Times New Roman"/>
        <family val="1"/>
        <scheme val="minor"/>
      </rPr>
      <t xml:space="preserve">Load Profiles </t>
    </r>
    <r>
      <rPr>
        <sz val="11"/>
        <color theme="1"/>
        <rFont val="Times New Roman"/>
        <family val="1"/>
        <scheme val="minor"/>
      </rPr>
      <t xml:space="preserve">spreadsheet. </t>
    </r>
    <r>
      <rPr>
        <sz val="11"/>
        <color theme="1"/>
        <rFont val="Times New Roman"/>
        <family val="2"/>
        <scheme val="minor"/>
      </rPr>
      <t xml:space="preserve">
Lastly, certain options were evaluated with and without enhancements such as thermal energy storage and solar PV. These enhancements were sized to avoid triggering an upgrade to the Hill Substation. Calculated externally, the amount of energy produced by enhancements is listed in the </t>
    </r>
    <r>
      <rPr>
        <b/>
        <sz val="11"/>
        <color theme="1"/>
        <rFont val="Times New Roman"/>
        <family val="1"/>
        <scheme val="minor"/>
      </rPr>
      <t>Enhancement Inputs</t>
    </r>
    <r>
      <rPr>
        <sz val="11"/>
        <color theme="1"/>
        <rFont val="Times New Roman"/>
        <family val="1"/>
        <scheme val="minor"/>
      </rPr>
      <t xml:space="preserve"> tab.</t>
    </r>
    <r>
      <rPr>
        <sz val="11"/>
        <color theme="1"/>
        <rFont val="Times New Roman"/>
        <family val="2"/>
        <scheme val="minor"/>
      </rPr>
      <t xml:space="preserve">
To convert the load profiles into commodities consumption, the core loads were multipled by the conversion factors on the Core Inputs tab to produce the electricity, natural gas, and water usage on the </t>
    </r>
    <r>
      <rPr>
        <b/>
        <sz val="11"/>
        <color theme="1"/>
        <rFont val="Times New Roman"/>
        <family val="1"/>
        <scheme val="minor"/>
      </rPr>
      <t>Core Commodities Use</t>
    </r>
    <r>
      <rPr>
        <sz val="11"/>
        <color theme="1"/>
        <rFont val="Times New Roman"/>
        <family val="1"/>
        <scheme val="minor"/>
      </rPr>
      <t xml:space="preserve"> tab. Commodities usage is calculated separately for the old and new systems to account for phased transition over time from old to new systems.
Final outputs are shown on the </t>
    </r>
    <r>
      <rPr>
        <b/>
        <sz val="11"/>
        <color theme="1"/>
        <rFont val="Times New Roman"/>
        <family val="1"/>
        <scheme val="minor"/>
      </rPr>
      <t>Outputs</t>
    </r>
    <r>
      <rPr>
        <sz val="11"/>
        <color theme="1"/>
        <rFont val="Times New Roman"/>
        <family val="1"/>
        <scheme val="minor"/>
      </rPr>
      <t xml:space="preserve"> tab. Outputs are shown for both core options alone (top section) and with enhancements (bottom section), which account for the impacts listed on the Enhancement Inputs tab. A few notes on Outputs:
 - Phasing varies by option. Options 1a, b, 1c, 8a, 8b, 11a, and 11b are phased assuming surge space is the limiting factor. Options 0, 2, 6, 10a, 
   11c-E, and 12 have been re-evaluated with "fastest feasible" phasing that assumed ample surge space is construction schedule was the limiting    
   factor. 
 - Costs on the Outputs</t>
    </r>
    <r>
      <rPr>
        <b/>
        <sz val="11"/>
        <color theme="1"/>
        <rFont val="Times New Roman"/>
        <family val="1"/>
        <scheme val="minor"/>
      </rPr>
      <t xml:space="preserve"> </t>
    </r>
    <r>
      <rPr>
        <sz val="11"/>
        <color theme="1"/>
        <rFont val="Times New Roman"/>
        <family val="1"/>
        <scheme val="minor"/>
      </rPr>
      <t xml:space="preserve">tab are </t>
    </r>
    <r>
      <rPr>
        <sz val="11"/>
        <color theme="1"/>
        <rFont val="Times New Roman"/>
        <family val="2"/>
        <scheme val="minor"/>
      </rPr>
      <t xml:space="preserve">sourced from the </t>
    </r>
    <r>
      <rPr>
        <b/>
        <i/>
        <sz val="11"/>
        <color theme="1"/>
        <rFont val="Times New Roman"/>
        <family val="1"/>
        <scheme val="minor"/>
      </rPr>
      <t xml:space="preserve">Cost Estimate </t>
    </r>
    <r>
      <rPr>
        <sz val="11"/>
        <color theme="1"/>
        <rFont val="Times New Roman"/>
        <family val="1"/>
        <scheme val="minor"/>
      </rPr>
      <t>spreadsheet.</t>
    </r>
    <r>
      <rPr>
        <sz val="11"/>
        <color theme="1"/>
        <rFont val="Times New Roman"/>
        <family val="2"/>
        <scheme val="minor"/>
      </rPr>
      <t xml:space="preserve"> 
 - In the comparison tables, the year 2045 is used to show the "after" condition, e.g. system performance after transition from old to new system is 
   complete
 - Some options (1b, 8a, 11b) are not shown in the summary table. These options were deemed unfeasible due to electrical constraints. To 
   implement these options and retain redundancy would require an upgrade to the Hill Substation and another line from PG&amp;E, which was 
   concluded to be prohibitively time consuming and expensive.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</si>
</sst>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0.000"/>
    <numFmt numFmtId="167" formatCode="0.0"/>
    <numFmt numFmtId="168" formatCode="_(&quot;$&quot;* #,##0_);_(&quot;$&quot;* \(#,##0\);_(&quot;$&quot;* &quot;-&quot;??_);_(@_)"/>
  </numFmts>
  <fonts count="23" x14ac:knownFonts="1">
    <font>
      <sz val="11"/>
      <color theme="1"/>
      <name val="Times New Roman"/>
      <family val="2"/>
      <scheme val="minor"/>
    </font>
    <font>
      <sz val="11"/>
      <color theme="1"/>
      <name val="Times New Roman"/>
      <family val="2"/>
      <scheme val="minor"/>
    </font>
    <font>
      <b/>
      <sz val="11"/>
      <color theme="1"/>
      <name val="Times New Roman"/>
      <family val="2"/>
      <scheme val="minor"/>
    </font>
    <font>
      <b/>
      <sz val="13"/>
      <name val="Times New Roman"/>
      <family val="2"/>
      <scheme val="minor"/>
    </font>
    <font>
      <b/>
      <sz val="11"/>
      <name val="Times New Roman"/>
      <family val="2"/>
      <scheme val="minor"/>
    </font>
    <font>
      <b/>
      <sz val="15"/>
      <name val="Times New Roman"/>
      <family val="2"/>
      <scheme val="minor"/>
    </font>
    <font>
      <sz val="18"/>
      <color theme="1"/>
      <name val="Times New Roman"/>
      <family val="2"/>
      <scheme val="major"/>
    </font>
    <font>
      <b/>
      <sz val="11"/>
      <color theme="8"/>
      <name val="Times New Roman"/>
      <family val="2"/>
      <scheme val="minor"/>
    </font>
    <font>
      <i/>
      <sz val="11"/>
      <color theme="2"/>
      <name val="Times New Roman"/>
      <family val="2"/>
      <scheme val="minor"/>
    </font>
    <font>
      <sz val="11"/>
      <color theme="2"/>
      <name val="Times New Roman"/>
      <family val="2"/>
      <scheme val="minor"/>
    </font>
    <font>
      <sz val="11"/>
      <color theme="1"/>
      <name val="Times New Roman"/>
      <family val="2"/>
    </font>
    <font>
      <b/>
      <sz val="13"/>
      <name val="Times New Roman"/>
      <family val="2"/>
    </font>
    <font>
      <b/>
      <sz val="11"/>
      <name val="Times New Roman"/>
      <family val="2"/>
    </font>
    <font>
      <sz val="11"/>
      <name val="Times New Roman"/>
      <family val="2"/>
    </font>
    <font>
      <u/>
      <sz val="11"/>
      <color theme="10"/>
      <name val="Times New Roman"/>
      <family val="2"/>
      <scheme val="minor"/>
    </font>
    <font>
      <sz val="11"/>
      <color theme="0"/>
      <name val="Times New Roman"/>
      <family val="2"/>
      <scheme val="minor"/>
    </font>
    <font>
      <sz val="9"/>
      <color indexed="81"/>
      <name val="Tahoma"/>
      <charset val="1"/>
    </font>
    <font>
      <b/>
      <sz val="9"/>
      <color indexed="81"/>
      <name val="Tahoma"/>
      <charset val="1"/>
    </font>
    <font>
      <sz val="11"/>
      <name val="Times New Roman"/>
      <family val="2"/>
      <scheme val="minor"/>
    </font>
    <font>
      <sz val="18"/>
      <name val="Times New Roman"/>
      <family val="2"/>
      <scheme val="major"/>
    </font>
    <font>
      <b/>
      <sz val="11"/>
      <color theme="1"/>
      <name val="Times New Roman"/>
      <family val="1"/>
      <scheme val="minor"/>
    </font>
    <font>
      <sz val="11"/>
      <color theme="1"/>
      <name val="Times New Roman"/>
      <family val="1"/>
      <scheme val="minor"/>
    </font>
    <font>
      <b/>
      <i/>
      <sz val="11"/>
      <color theme="1"/>
      <name val="Times New Roman"/>
      <family val="1"/>
      <scheme val="minor"/>
    </font>
  </fonts>
  <fills count="8">
    <fill>
      <patternFill patternType="none"/>
    </fill>
    <fill>
      <patternFill patternType="gray125"/>
    </fill>
    <fill>
      <patternFill patternType="solid">
        <fgColor theme="8" tint="0.59996337778862885"/>
        <bgColor indexed="64"/>
      </patternFill>
    </fill>
    <fill>
      <patternFill patternType="solid">
        <fgColor theme="0" tint="-4.9989318521683403E-2"/>
        <bgColor indexed="64"/>
      </patternFill>
    </fill>
    <fill>
      <patternFill patternType="solid">
        <fgColor rgb="FFFFFFFF"/>
        <bgColor rgb="FF000000"/>
      </patternFill>
    </fill>
    <fill>
      <patternFill patternType="solid">
        <fgColor rgb="FFFDD7A4"/>
        <bgColor rgb="FF000000"/>
      </patternFill>
    </fill>
    <fill>
      <patternFill patternType="solid">
        <fgColor theme="3"/>
        <bgColor indexed="64"/>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thick">
        <color rgb="FFE996BD"/>
      </bottom>
      <diagonal/>
    </border>
    <border>
      <left/>
      <right/>
      <top/>
      <bottom style="medium">
        <color rgb="FFE382B0"/>
      </bottom>
      <diagonal/>
    </border>
    <border>
      <left style="thin">
        <color rgb="FF7F7F7F"/>
      </left>
      <right style="thin">
        <color rgb="FF7F7F7F"/>
      </right>
      <top/>
      <bottom/>
      <diagonal/>
    </border>
  </borders>
  <cellStyleXfs count="19">
    <xf numFmtId="0" fontId="0" fillId="0" borderId="0"/>
    <xf numFmtId="0" fontId="6" fillId="0" borderId="0" applyNumberFormat="0" applyFill="0" applyBorder="0" applyAlignment="0" applyProtection="0"/>
    <xf numFmtId="0" fontId="1" fillId="2" borderId="1" applyNumberFormat="0" applyAlignment="0" applyProtection="0"/>
    <xf numFmtId="0" fontId="4" fillId="3" borderId="2" applyNumberFormat="0" applyAlignment="0" applyProtection="0"/>
    <xf numFmtId="0" fontId="7" fillId="3" borderId="1" applyNumberFormat="0" applyAlignment="0" applyProtection="0"/>
    <xf numFmtId="0" fontId="9" fillId="0" borderId="3"/>
    <xf numFmtId="0" fontId="5" fillId="0" borderId="6" applyNumberFormat="0" applyFill="0" applyAlignment="0" applyProtection="0"/>
    <xf numFmtId="0" fontId="3" fillId="0" borderId="7" applyNumberFormat="0" applyFill="0" applyAlignment="0" applyProtection="0"/>
    <xf numFmtId="0" fontId="4" fillId="0" borderId="8" applyNumberFormat="0" applyFill="0" applyAlignment="0" applyProtection="0"/>
    <xf numFmtId="0" fontId="2" fillId="0" borderId="0" applyNumberFormat="0" applyFill="0" applyBorder="0" applyAlignment="0" applyProtection="0"/>
    <xf numFmtId="0" fontId="8" fillId="0" borderId="3"/>
    <xf numFmtId="9" fontId="1" fillId="0" borderId="0" applyFont="0" applyFill="0" applyBorder="0" applyAlignment="0" applyProtection="0"/>
    <xf numFmtId="43" fontId="1" fillId="0" borderId="0" applyFont="0" applyFill="0" applyBorder="0" applyAlignment="0" applyProtection="0"/>
    <xf numFmtId="0" fontId="14" fillId="0" borderId="0" applyNumberFormat="0" applyFill="0" applyBorder="0" applyAlignment="0" applyProtection="0"/>
    <xf numFmtId="0" fontId="15" fillId="6" borderId="1" applyNumberFormat="0">
      <alignment horizontal="center"/>
    </xf>
    <xf numFmtId="0" fontId="4" fillId="0" borderId="0" applyFill="0" applyAlignment="0" applyProtection="0"/>
    <xf numFmtId="44" fontId="1" fillId="0" borderId="0" applyFont="0" applyFill="0" applyBorder="0" applyAlignment="0" applyProtection="0"/>
    <xf numFmtId="0" fontId="18" fillId="2" borderId="1" applyNumberFormat="0" applyAlignment="0" applyProtection="0"/>
    <xf numFmtId="0" fontId="19" fillId="0" borderId="0" applyNumberFormat="0" applyFill="0" applyBorder="0" applyAlignment="0" applyProtection="0"/>
  </cellStyleXfs>
  <cellXfs count="116">
    <xf numFmtId="0" fontId="0" fillId="0" borderId="0" xfId="0"/>
    <xf numFmtId="0" fontId="0" fillId="0" borderId="0" xfId="0" applyAlignment="1">
      <alignment wrapText="1"/>
    </xf>
    <xf numFmtId="0" fontId="6" fillId="0" borderId="0" xfId="1" applyAlignment="1"/>
    <xf numFmtId="0" fontId="0" fillId="0" borderId="0" xfId="0" applyAlignment="1"/>
    <xf numFmtId="0" fontId="4" fillId="3" borderId="2" xfId="3" applyAlignment="1"/>
    <xf numFmtId="0" fontId="6" fillId="0" borderId="0" xfId="1" applyAlignment="1">
      <alignment wrapText="1"/>
    </xf>
    <xf numFmtId="0" fontId="1" fillId="2" borderId="4" xfId="2" applyBorder="1" applyAlignment="1"/>
    <xf numFmtId="0" fontId="7" fillId="3" borderId="5" xfId="4" applyBorder="1" applyAlignment="1"/>
    <xf numFmtId="0" fontId="9" fillId="0" borderId="3" xfId="5"/>
    <xf numFmtId="0" fontId="0" fillId="0" borderId="0" xfId="0" applyNumberFormat="1" applyAlignment="1">
      <alignment wrapText="1"/>
    </xf>
    <xf numFmtId="0" fontId="6" fillId="0" borderId="0" xfId="1" applyNumberFormat="1" applyAlignment="1">
      <alignment wrapText="1"/>
    </xf>
    <xf numFmtId="2" fontId="0" fillId="0" borderId="0" xfId="0" applyNumberFormat="1" applyAlignment="1">
      <alignment wrapText="1"/>
    </xf>
    <xf numFmtId="2" fontId="6" fillId="0" borderId="0" xfId="1" applyNumberFormat="1" applyAlignment="1">
      <alignment wrapText="1"/>
    </xf>
    <xf numFmtId="1" fontId="0" fillId="0" borderId="0" xfId="0" applyNumberFormat="1" applyAlignment="1">
      <alignment wrapText="1"/>
    </xf>
    <xf numFmtId="1" fontId="0" fillId="0" borderId="0" xfId="0" applyNumberFormat="1"/>
    <xf numFmtId="0" fontId="8" fillId="0" borderId="3" xfId="10"/>
    <xf numFmtId="0" fontId="0" fillId="2" borderId="1" xfId="2" applyFont="1" applyAlignment="1"/>
    <xf numFmtId="0" fontId="1" fillId="2" borderId="1" xfId="2"/>
    <xf numFmtId="0" fontId="5" fillId="0" borderId="6" xfId="6"/>
    <xf numFmtId="0" fontId="3" fillId="0" borderId="7" xfId="7"/>
    <xf numFmtId="0" fontId="4" fillId="0" borderId="8" xfId="8"/>
    <xf numFmtId="0" fontId="7" fillId="3" borderId="1" xfId="4"/>
    <xf numFmtId="0" fontId="4" fillId="3" borderId="2" xfId="3"/>
    <xf numFmtId="0" fontId="0" fillId="2" borderId="1" xfId="2" applyFont="1"/>
    <xf numFmtId="0" fontId="0" fillId="0" borderId="0" xfId="0" quotePrefix="1"/>
    <xf numFmtId="1" fontId="5" fillId="0" borderId="6" xfId="6" applyNumberFormat="1"/>
    <xf numFmtId="0" fontId="11" fillId="0" borderId="9" xfId="7" applyFont="1" applyFill="1" applyBorder="1" applyAlignment="1"/>
    <xf numFmtId="0" fontId="11" fillId="4" borderId="9" xfId="7" applyFont="1" applyFill="1" applyBorder="1" applyAlignment="1">
      <alignment wrapText="1"/>
    </xf>
    <xf numFmtId="0" fontId="12" fillId="0" borderId="10" xfId="8" applyFont="1" applyFill="1" applyBorder="1" applyAlignment="1">
      <alignment wrapText="1"/>
    </xf>
    <xf numFmtId="0" fontId="12" fillId="4" borderId="10" xfId="8" applyFont="1" applyFill="1" applyBorder="1" applyAlignment="1">
      <alignment wrapText="1"/>
    </xf>
    <xf numFmtId="0" fontId="10" fillId="4" borderId="0" xfId="0" applyFont="1" applyFill="1" applyBorder="1" applyAlignment="1">
      <alignment wrapText="1"/>
    </xf>
    <xf numFmtId="0" fontId="13" fillId="5" borderId="1" xfId="2" applyFont="1" applyFill="1" applyBorder="1" applyAlignment="1">
      <alignment wrapText="1"/>
    </xf>
    <xf numFmtId="164" fontId="1" fillId="2" borderId="1" xfId="2" applyNumberFormat="1" applyAlignment="1">
      <alignment wrapText="1"/>
    </xf>
    <xf numFmtId="9" fontId="0" fillId="2" borderId="1" xfId="2" applyNumberFormat="1" applyFont="1"/>
    <xf numFmtId="0" fontId="1" fillId="2" borderId="1" xfId="2" applyAlignment="1">
      <alignment vertical="center" wrapText="1"/>
    </xf>
    <xf numFmtId="2" fontId="7" fillId="3" borderId="1" xfId="4" applyNumberFormat="1"/>
    <xf numFmtId="0" fontId="0" fillId="2" borderId="1" xfId="2" applyFont="1" applyAlignment="1">
      <alignment wrapText="1"/>
    </xf>
    <xf numFmtId="9" fontId="0" fillId="2" borderId="1" xfId="2" applyNumberFormat="1" applyFont="1" applyAlignment="1">
      <alignment wrapText="1"/>
    </xf>
    <xf numFmtId="2" fontId="7" fillId="3" borderId="1" xfId="4" applyNumberFormat="1" applyAlignment="1">
      <alignment wrapText="1"/>
    </xf>
    <xf numFmtId="0" fontId="0" fillId="2" borderId="1" xfId="2" applyFont="1" applyAlignment="1">
      <alignment vertical="center" wrapText="1"/>
    </xf>
    <xf numFmtId="2" fontId="0" fillId="2" borderId="1" xfId="2" applyNumberFormat="1" applyFont="1" applyAlignment="1">
      <alignment wrapText="1"/>
    </xf>
    <xf numFmtId="165" fontId="0" fillId="2" borderId="1" xfId="2" applyNumberFormat="1" applyFont="1" applyAlignment="1">
      <alignment wrapText="1"/>
    </xf>
    <xf numFmtId="9" fontId="7" fillId="3" borderId="1" xfId="4" applyNumberFormat="1"/>
    <xf numFmtId="166" fontId="7" fillId="3" borderId="1" xfId="4" applyNumberFormat="1"/>
    <xf numFmtId="0" fontId="1" fillId="2" borderId="1" xfId="2" applyAlignment="1">
      <alignment wrapText="1"/>
    </xf>
    <xf numFmtId="9" fontId="0" fillId="2" borderId="1" xfId="11" applyNumberFormat="1" applyFont="1" applyFill="1" applyBorder="1" applyAlignment="1">
      <alignment wrapText="1"/>
    </xf>
    <xf numFmtId="166" fontId="1" fillId="2" borderId="1" xfId="2" applyNumberFormat="1"/>
    <xf numFmtId="2" fontId="0" fillId="2" borderId="1" xfId="11" applyNumberFormat="1" applyFont="1" applyFill="1" applyBorder="1" applyAlignment="1">
      <alignment wrapText="1"/>
    </xf>
    <xf numFmtId="167" fontId="7" fillId="3" borderId="1" xfId="4" applyNumberFormat="1"/>
    <xf numFmtId="2" fontId="1" fillId="2" borderId="1" xfId="2" applyNumberFormat="1" applyAlignment="1">
      <alignment wrapText="1"/>
    </xf>
    <xf numFmtId="1" fontId="0" fillId="2" borderId="1" xfId="2" applyNumberFormat="1" applyFont="1" applyAlignment="1">
      <alignment wrapText="1"/>
    </xf>
    <xf numFmtId="164" fontId="7" fillId="3" borderId="1" xfId="4" applyNumberFormat="1"/>
    <xf numFmtId="165" fontId="0" fillId="2" borderId="1" xfId="11" applyNumberFormat="1" applyFont="1" applyFill="1" applyBorder="1" applyAlignment="1">
      <alignment wrapText="1"/>
    </xf>
    <xf numFmtId="11" fontId="7" fillId="3" borderId="1" xfId="4" applyNumberFormat="1"/>
    <xf numFmtId="11" fontId="0" fillId="0" borderId="0" xfId="0" applyNumberFormat="1"/>
    <xf numFmtId="11" fontId="3" fillId="0" borderId="7" xfId="7" applyNumberFormat="1"/>
    <xf numFmtId="11" fontId="4" fillId="0" borderId="8" xfId="8" applyNumberFormat="1"/>
    <xf numFmtId="11" fontId="0" fillId="0" borderId="0" xfId="0" applyNumberFormat="1" applyAlignment="1">
      <alignment wrapText="1"/>
    </xf>
    <xf numFmtId="11" fontId="5" fillId="0" borderId="6" xfId="6" applyNumberFormat="1"/>
    <xf numFmtId="164" fontId="0" fillId="2" borderId="1" xfId="12" applyNumberFormat="1" applyFont="1" applyFill="1" applyBorder="1" applyAlignment="1">
      <alignment wrapText="1"/>
    </xf>
    <xf numFmtId="0" fontId="5" fillId="0" borderId="6" xfId="6" applyFill="1"/>
    <xf numFmtId="1" fontId="1" fillId="2" borderId="4" xfId="2" applyNumberFormat="1" applyBorder="1" applyAlignment="1"/>
    <xf numFmtId="1" fontId="9" fillId="0" borderId="3" xfId="5" applyNumberFormat="1"/>
    <xf numFmtId="1" fontId="7" fillId="3" borderId="5" xfId="4" applyNumberFormat="1" applyBorder="1" applyAlignment="1"/>
    <xf numFmtId="1" fontId="4" fillId="3" borderId="2" xfId="3" applyNumberFormat="1" applyAlignment="1"/>
    <xf numFmtId="1" fontId="8" fillId="0" borderId="3" xfId="10" applyNumberFormat="1"/>
    <xf numFmtId="1" fontId="6" fillId="0" borderId="0" xfId="1" applyNumberFormat="1" applyAlignment="1">
      <alignment wrapText="1"/>
    </xf>
    <xf numFmtId="1" fontId="3" fillId="0" borderId="7" xfId="7" applyNumberFormat="1"/>
    <xf numFmtId="1" fontId="4" fillId="0" borderId="8" xfId="8" applyNumberFormat="1"/>
    <xf numFmtId="1" fontId="7" fillId="3" borderId="1" xfId="4" applyNumberFormat="1"/>
    <xf numFmtId="9" fontId="7" fillId="3" borderId="1" xfId="4" applyNumberFormat="1" applyAlignment="1">
      <alignment wrapText="1"/>
    </xf>
    <xf numFmtId="0" fontId="14" fillId="2" borderId="1" xfId="13" applyFill="1" applyBorder="1" applyAlignment="1">
      <alignment wrapText="1"/>
    </xf>
    <xf numFmtId="164" fontId="7" fillId="3" borderId="1" xfId="4" applyNumberFormat="1" applyAlignment="1">
      <alignment wrapText="1"/>
    </xf>
    <xf numFmtId="164" fontId="1" fillId="2" borderId="1" xfId="12" applyNumberFormat="1" applyFill="1" applyBorder="1"/>
    <xf numFmtId="0" fontId="1" fillId="2" borderId="1" xfId="2" applyAlignment="1">
      <alignment horizontal="left"/>
    </xf>
    <xf numFmtId="164" fontId="1" fillId="2" borderId="1" xfId="12" applyNumberFormat="1" applyFill="1" applyBorder="1" applyAlignment="1">
      <alignment horizontal="center"/>
    </xf>
    <xf numFmtId="164" fontId="1" fillId="2" borderId="1" xfId="12" applyNumberFormat="1" applyFill="1" applyBorder="1" applyAlignment="1"/>
    <xf numFmtId="164" fontId="0" fillId="2" borderId="1" xfId="12" applyNumberFormat="1" applyFont="1" applyFill="1" applyBorder="1" applyAlignment="1">
      <alignment horizontal="left"/>
    </xf>
    <xf numFmtId="164" fontId="7" fillId="3" borderId="1" xfId="12" applyNumberFormat="1" applyFont="1" applyFill="1" applyBorder="1"/>
    <xf numFmtId="164" fontId="9" fillId="0" borderId="3" xfId="12" applyNumberFormat="1" applyFont="1" applyBorder="1"/>
    <xf numFmtId="8" fontId="0" fillId="2" borderId="1" xfId="2" applyNumberFormat="1" applyFont="1"/>
    <xf numFmtId="44" fontId="1" fillId="2" borderId="1" xfId="16" applyFill="1" applyBorder="1"/>
    <xf numFmtId="9" fontId="1" fillId="2" borderId="1" xfId="2" applyNumberFormat="1"/>
    <xf numFmtId="11" fontId="1" fillId="2" borderId="1" xfId="2" applyNumberFormat="1"/>
    <xf numFmtId="44" fontId="1" fillId="2" borderId="1" xfId="16" applyNumberFormat="1" applyFill="1" applyBorder="1"/>
    <xf numFmtId="0" fontId="0" fillId="2" borderId="1" xfId="2" applyFont="1" applyAlignment="1">
      <alignment horizontal="left"/>
    </xf>
    <xf numFmtId="0" fontId="0" fillId="0" borderId="0" xfId="0" applyAlignment="1">
      <alignment horizontal="center"/>
    </xf>
    <xf numFmtId="164" fontId="0" fillId="0" borderId="0" xfId="0" applyNumberFormat="1" applyAlignment="1">
      <alignment wrapText="1"/>
    </xf>
    <xf numFmtId="164" fontId="1" fillId="2" borderId="4" xfId="2" applyNumberFormat="1" applyBorder="1" applyAlignment="1"/>
    <xf numFmtId="164" fontId="9" fillId="0" borderId="3" xfId="5" applyNumberFormat="1"/>
    <xf numFmtId="164" fontId="7" fillId="3" borderId="5" xfId="4" applyNumberFormat="1" applyBorder="1" applyAlignment="1"/>
    <xf numFmtId="164" fontId="4" fillId="3" borderId="2" xfId="3" applyNumberFormat="1" applyAlignment="1"/>
    <xf numFmtId="164" fontId="8" fillId="0" borderId="3" xfId="10" applyNumberFormat="1"/>
    <xf numFmtId="164" fontId="6" fillId="0" borderId="0" xfId="1" applyNumberFormat="1" applyAlignment="1">
      <alignment wrapText="1"/>
    </xf>
    <xf numFmtId="164" fontId="0" fillId="0" borderId="0" xfId="0" applyNumberFormat="1"/>
    <xf numFmtId="164" fontId="5" fillId="0" borderId="6" xfId="6" applyNumberFormat="1"/>
    <xf numFmtId="164" fontId="3" fillId="0" borderId="7" xfId="7" applyNumberFormat="1"/>
    <xf numFmtId="164" fontId="4" fillId="0" borderId="8" xfId="8" applyNumberFormat="1"/>
    <xf numFmtId="164" fontId="4" fillId="3" borderId="2" xfId="3" applyNumberFormat="1"/>
    <xf numFmtId="9" fontId="0" fillId="0" borderId="0" xfId="11" applyFont="1"/>
    <xf numFmtId="0" fontId="9" fillId="0" borderId="3" xfId="5" applyNumberFormat="1"/>
    <xf numFmtId="0" fontId="4" fillId="0" borderId="8" xfId="8" applyNumberFormat="1" applyAlignment="1">
      <alignment horizontal="center"/>
    </xf>
    <xf numFmtId="164" fontId="4" fillId="0" borderId="8" xfId="8" applyNumberFormat="1" applyAlignment="1">
      <alignment horizontal="center"/>
    </xf>
    <xf numFmtId="168" fontId="7" fillId="3" borderId="1" xfId="16" applyNumberFormat="1" applyFont="1" applyFill="1" applyBorder="1"/>
    <xf numFmtId="168" fontId="1" fillId="2" borderId="1" xfId="16" applyNumberFormat="1" applyFill="1" applyBorder="1"/>
    <xf numFmtId="0" fontId="0" fillId="2" borderId="1" xfId="17" applyFont="1" applyAlignment="1"/>
    <xf numFmtId="0" fontId="18" fillId="2" borderId="4" xfId="17" applyBorder="1" applyAlignment="1"/>
    <xf numFmtId="0" fontId="19" fillId="7" borderId="0" xfId="18" applyFill="1"/>
    <xf numFmtId="0" fontId="0" fillId="7" borderId="0" xfId="0" applyFill="1"/>
    <xf numFmtId="168" fontId="4" fillId="3" borderId="2" xfId="16" applyNumberFormat="1" applyFont="1" applyFill="1" applyBorder="1"/>
    <xf numFmtId="168" fontId="9" fillId="0" borderId="3" xfId="16" applyNumberFormat="1" applyFont="1" applyBorder="1"/>
    <xf numFmtId="0" fontId="0" fillId="7" borderId="0" xfId="0" applyFill="1" applyAlignment="1">
      <alignment horizontal="left" vertical="top" wrapText="1"/>
    </xf>
    <xf numFmtId="0" fontId="1" fillId="2" borderId="4" xfId="2" applyBorder="1" applyAlignment="1">
      <alignment horizontal="left"/>
    </xf>
    <xf numFmtId="0" fontId="1" fillId="2" borderId="11" xfId="2" applyBorder="1" applyAlignment="1">
      <alignment horizontal="left"/>
    </xf>
    <xf numFmtId="0" fontId="1" fillId="2" borderId="5" xfId="2" applyBorder="1" applyAlignment="1">
      <alignment horizontal="left"/>
    </xf>
    <xf numFmtId="0" fontId="0" fillId="2" borderId="4" xfId="2" applyFont="1" applyBorder="1" applyAlignment="1">
      <alignment horizontal="left"/>
    </xf>
  </cellXfs>
  <cellStyles count="19">
    <cellStyle name="Check" xfId="10" xr:uid="{00000000-0005-0000-0000-000001000000}"/>
    <cellStyle name="Heading 4 2" xfId="15" xr:uid="{727A2E87-7FF1-454E-AC1A-327C085EE64A}"/>
    <cellStyle name="Input 2" xfId="17" xr:uid="{F607C892-88D9-403B-8A97-A19B56CE9405}"/>
    <cellStyle name="Lookup" xfId="5" xr:uid="{00000000-0005-0000-0000-000008000000}"/>
    <cellStyle name="N/A" xfId="14" xr:uid="{B2DB799A-E861-4A14-89F7-BBA22D1A3166}"/>
    <cellStyle name="Title 2" xfId="18" xr:uid="{D68FE08D-C416-4344-AB85-01E035C0FCFF}"/>
    <cellStyle name="千位分隔" xfId="12" builtinId="3"/>
    <cellStyle name="常规" xfId="0" builtinId="0"/>
    <cellStyle name="标题" xfId="1" builtinId="15" customBuiltin="1"/>
    <cellStyle name="标题 1" xfId="6" builtinId="16" customBuiltin="1"/>
    <cellStyle name="标题 2" xfId="7" builtinId="17" customBuiltin="1"/>
    <cellStyle name="标题 3" xfId="8" builtinId="18" customBuiltin="1"/>
    <cellStyle name="标题 4" xfId="9" builtinId="19" customBuiltin="1"/>
    <cellStyle name="百分比" xfId="11" builtinId="5"/>
    <cellStyle name="计算" xfId="4" builtinId="22" customBuiltin="1"/>
    <cellStyle name="货币" xfId="16" builtinId="4"/>
    <cellStyle name="超链接" xfId="13" builtinId="8"/>
    <cellStyle name="输入" xfId="2" builtinId="20" customBuiltin="1"/>
    <cellStyle name="输出" xfId="3" builtinId="21" customBuiltin="1"/>
  </cellStyles>
  <dxfs count="1260">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
      <font>
        <color auto="1"/>
      </font>
      <fill>
        <patternFill>
          <bgColor theme="6"/>
        </patternFill>
      </fill>
    </dxf>
    <dxf>
      <font>
        <color auto="1"/>
      </font>
      <fill>
        <patternFill>
          <bgColor theme="9"/>
        </patternFill>
      </fill>
    </dxf>
    <dxf>
      <font>
        <color auto="1"/>
      </font>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Outputs!$B$12</c:f>
              <c:strCache>
                <c:ptCount val="1"/>
                <c:pt idx="0">
                  <c:v>Option 0</c:v>
                </c:pt>
              </c:strCache>
            </c:strRef>
          </c:tx>
          <c:spPr>
            <a:ln w="19050" cap="rnd">
              <a:solidFill>
                <a:schemeClr val="accent1"/>
              </a:solidFill>
              <a:round/>
            </a:ln>
            <a:effectLst/>
          </c:spPr>
          <c:marker>
            <c:symbol val="none"/>
          </c:marker>
          <c:xVal>
            <c:numRef>
              <c:f>Outputs!$D$14:$AG$14</c:f>
            </c:numRef>
          </c:xVal>
          <c:yVal>
            <c:numRef>
              <c:f>Outputs!$D$15:$AG$15</c:f>
            </c:numRef>
          </c:yVal>
          <c:smooth val="0"/>
          <c:extLst>
            <c:ext xmlns:c16="http://schemas.microsoft.com/office/drawing/2014/chart" uri="{C3380CC4-5D6E-409C-BE32-E72D297353CC}">
              <c16:uniqueId val="{00000000-9801-48FB-ADC2-D23831B57D93}"/>
            </c:ext>
          </c:extLst>
        </c:ser>
        <c:ser>
          <c:idx val="1"/>
          <c:order val="1"/>
          <c:tx>
            <c:strRef>
              <c:f>Outputs!$B$21</c:f>
              <c:strCache>
                <c:ptCount val="1"/>
                <c:pt idx="0">
                  <c:v>Option 1A</c:v>
                </c:pt>
              </c:strCache>
            </c:strRef>
          </c:tx>
          <c:spPr>
            <a:ln w="19050" cap="rnd">
              <a:solidFill>
                <a:schemeClr val="accent2"/>
              </a:solidFill>
              <a:round/>
            </a:ln>
            <a:effectLst/>
          </c:spPr>
          <c:marker>
            <c:symbol val="none"/>
          </c:marker>
          <c:xVal>
            <c:numRef>
              <c:f>Outputs!$D$14:$AG$14</c:f>
            </c:numRef>
          </c:xVal>
          <c:yVal>
            <c:numRef>
              <c:f>Outputs!$D$24:$AG$24</c:f>
            </c:numRef>
          </c:yVal>
          <c:smooth val="0"/>
          <c:extLst>
            <c:ext xmlns:c16="http://schemas.microsoft.com/office/drawing/2014/chart" uri="{C3380CC4-5D6E-409C-BE32-E72D297353CC}">
              <c16:uniqueId val="{00000001-9801-48FB-ADC2-D23831B57D93}"/>
            </c:ext>
          </c:extLst>
        </c:ser>
        <c:ser>
          <c:idx val="2"/>
          <c:order val="2"/>
          <c:tx>
            <c:strRef>
              <c:f>Outputs!$B$30</c:f>
              <c:strCache>
                <c:ptCount val="1"/>
                <c:pt idx="0">
                  <c:v>Option 1B</c:v>
                </c:pt>
              </c:strCache>
              <c:extLst xmlns:c15="http://schemas.microsoft.com/office/drawing/2012/chart"/>
            </c:strRef>
          </c:tx>
          <c:spPr>
            <a:ln w="19050" cap="rnd">
              <a:solidFill>
                <a:schemeClr val="accent3"/>
              </a:solidFill>
              <a:round/>
            </a:ln>
            <a:effectLst/>
          </c:spPr>
          <c:marker>
            <c:symbol val="none"/>
          </c:marker>
          <c:xVal>
            <c:numRef>
              <c:f>Outputs!$D$14:$AG$14</c:f>
              <c:extLst xmlns:c15="http://schemas.microsoft.com/office/drawing/2012/chart"/>
            </c:numRef>
          </c:xVal>
          <c:yVal>
            <c:numRef>
              <c:f>Outputs!$D$33:$AG$33</c:f>
              <c:extLst xmlns:c15="http://schemas.microsoft.com/office/drawing/2012/chart"/>
            </c:numRef>
          </c:yVal>
          <c:smooth val="0"/>
          <c:extLst xmlns:c15="http://schemas.microsoft.com/office/drawing/2012/chart">
            <c:ext xmlns:c16="http://schemas.microsoft.com/office/drawing/2014/chart" uri="{C3380CC4-5D6E-409C-BE32-E72D297353CC}">
              <c16:uniqueId val="{00000002-9801-48FB-ADC2-D23831B57D93}"/>
            </c:ext>
          </c:extLst>
        </c:ser>
        <c:ser>
          <c:idx val="3"/>
          <c:order val="3"/>
          <c:tx>
            <c:strRef>
              <c:f>Outputs!$B$39</c:f>
              <c:strCache>
                <c:ptCount val="1"/>
                <c:pt idx="0">
                  <c:v>Option 1C</c:v>
                </c:pt>
              </c:strCache>
            </c:strRef>
          </c:tx>
          <c:spPr>
            <a:ln w="19050" cap="rnd">
              <a:solidFill>
                <a:schemeClr val="accent4"/>
              </a:solidFill>
              <a:round/>
            </a:ln>
            <a:effectLst/>
          </c:spPr>
          <c:marker>
            <c:symbol val="none"/>
          </c:marker>
          <c:xVal>
            <c:numRef>
              <c:f>Outputs!$D$14:$AG$14</c:f>
            </c:numRef>
          </c:xVal>
          <c:yVal>
            <c:numRef>
              <c:f>Outputs!$D$42:$AG$42</c:f>
            </c:numRef>
          </c:yVal>
          <c:smooth val="0"/>
          <c:extLst>
            <c:ext xmlns:c16="http://schemas.microsoft.com/office/drawing/2014/chart" uri="{C3380CC4-5D6E-409C-BE32-E72D297353CC}">
              <c16:uniqueId val="{00000003-9801-48FB-ADC2-D23831B57D93}"/>
            </c:ext>
          </c:extLst>
        </c:ser>
        <c:ser>
          <c:idx val="4"/>
          <c:order val="4"/>
          <c:tx>
            <c:strRef>
              <c:f>Outputs!$B$48</c:f>
              <c:strCache>
                <c:ptCount val="1"/>
                <c:pt idx="0">
                  <c:v>Option 2</c:v>
                </c:pt>
              </c:strCache>
            </c:strRef>
          </c:tx>
          <c:spPr>
            <a:ln w="19050" cap="rnd">
              <a:solidFill>
                <a:schemeClr val="accent5"/>
              </a:solidFill>
              <a:round/>
            </a:ln>
            <a:effectLst/>
          </c:spPr>
          <c:marker>
            <c:symbol val="none"/>
          </c:marker>
          <c:xVal>
            <c:numRef>
              <c:f>Outputs!$D$14:$AG$14</c:f>
            </c:numRef>
          </c:xVal>
          <c:yVal>
            <c:numRef>
              <c:f>Outputs!$D$51:$AG$51</c:f>
            </c:numRef>
          </c:yVal>
          <c:smooth val="0"/>
          <c:extLst>
            <c:ext xmlns:c16="http://schemas.microsoft.com/office/drawing/2014/chart" uri="{C3380CC4-5D6E-409C-BE32-E72D297353CC}">
              <c16:uniqueId val="{00000004-9801-48FB-ADC2-D23831B57D93}"/>
            </c:ext>
          </c:extLst>
        </c:ser>
        <c:ser>
          <c:idx val="10"/>
          <c:order val="5"/>
          <c:tx>
            <c:strRef>
              <c:f>Outputs!$B$57</c:f>
              <c:strCache>
                <c:ptCount val="1"/>
                <c:pt idx="0">
                  <c:v>Option 6</c:v>
                </c:pt>
              </c:strCache>
            </c:strRef>
          </c:tx>
          <c:spPr>
            <a:ln w="19050" cap="rnd">
              <a:solidFill>
                <a:schemeClr val="accent5">
                  <a:lumMod val="60000"/>
                </a:schemeClr>
              </a:solidFill>
              <a:round/>
            </a:ln>
            <a:effectLst/>
          </c:spPr>
          <c:marker>
            <c:symbol val="none"/>
          </c:marker>
          <c:xVal>
            <c:numRef>
              <c:f>Outputs!$D$59:$AG$59</c:f>
            </c:numRef>
          </c:xVal>
          <c:yVal>
            <c:numRef>
              <c:f>Outputs!$D$60:$AG$60</c:f>
            </c:numRef>
          </c:yVal>
          <c:smooth val="0"/>
          <c:extLst>
            <c:ext xmlns:c16="http://schemas.microsoft.com/office/drawing/2014/chart" uri="{C3380CC4-5D6E-409C-BE32-E72D297353CC}">
              <c16:uniqueId val="{00000001-31D2-4B75-9E24-C4B4FB72EBBF}"/>
            </c:ext>
          </c:extLst>
        </c:ser>
        <c:ser>
          <c:idx val="5"/>
          <c:order val="6"/>
          <c:tx>
            <c:strRef>
              <c:f>Outputs!$B$66</c:f>
              <c:strCache>
                <c:ptCount val="1"/>
                <c:pt idx="0">
                  <c:v>Option 8A</c:v>
                </c:pt>
              </c:strCache>
              <c:extLst xmlns:c15="http://schemas.microsoft.com/office/drawing/2012/chart"/>
            </c:strRef>
          </c:tx>
          <c:spPr>
            <a:ln w="19050" cap="rnd">
              <a:solidFill>
                <a:schemeClr val="accent6"/>
              </a:solidFill>
              <a:round/>
            </a:ln>
            <a:effectLst/>
          </c:spPr>
          <c:marker>
            <c:symbol val="none"/>
          </c:marker>
          <c:xVal>
            <c:numRef>
              <c:f>Outputs!$D$14:$AG$14</c:f>
              <c:extLst xmlns:c15="http://schemas.microsoft.com/office/drawing/2012/chart"/>
            </c:numRef>
          </c:xVal>
          <c:yVal>
            <c:numRef>
              <c:f>Outputs!$D$69:$AG$69</c:f>
              <c:extLst xmlns:c15="http://schemas.microsoft.com/office/drawing/2012/chart"/>
            </c:numRef>
          </c:yVal>
          <c:smooth val="0"/>
          <c:extLst xmlns:c15="http://schemas.microsoft.com/office/drawing/2012/chart">
            <c:ext xmlns:c16="http://schemas.microsoft.com/office/drawing/2014/chart" uri="{C3380CC4-5D6E-409C-BE32-E72D297353CC}">
              <c16:uniqueId val="{00000005-9801-48FB-ADC2-D23831B57D93}"/>
            </c:ext>
          </c:extLst>
        </c:ser>
        <c:ser>
          <c:idx val="6"/>
          <c:order val="7"/>
          <c:tx>
            <c:strRef>
              <c:f>Outputs!$B$75</c:f>
              <c:strCache>
                <c:ptCount val="1"/>
                <c:pt idx="0">
                  <c:v>Option 8B</c:v>
                </c:pt>
              </c:strCache>
            </c:strRef>
          </c:tx>
          <c:spPr>
            <a:ln w="19050" cap="rnd">
              <a:solidFill>
                <a:schemeClr val="accent1">
                  <a:lumMod val="60000"/>
                </a:schemeClr>
              </a:solidFill>
              <a:round/>
            </a:ln>
            <a:effectLst/>
          </c:spPr>
          <c:marker>
            <c:symbol val="none"/>
          </c:marker>
          <c:xVal>
            <c:numRef>
              <c:f>Outputs!$D$14:$AG$14</c:f>
            </c:numRef>
          </c:xVal>
          <c:yVal>
            <c:numRef>
              <c:f>Outputs!$D$78:$AG$78</c:f>
            </c:numRef>
          </c:yVal>
          <c:smooth val="0"/>
          <c:extLst>
            <c:ext xmlns:c16="http://schemas.microsoft.com/office/drawing/2014/chart" uri="{C3380CC4-5D6E-409C-BE32-E72D297353CC}">
              <c16:uniqueId val="{00000006-9801-48FB-ADC2-D23831B57D93}"/>
            </c:ext>
          </c:extLst>
        </c:ser>
        <c:ser>
          <c:idx val="11"/>
          <c:order val="8"/>
          <c:tx>
            <c:strRef>
              <c:f>Outputs!$B$84</c:f>
              <c:strCache>
                <c:ptCount val="1"/>
                <c:pt idx="0">
                  <c:v>Option 10A</c:v>
                </c:pt>
              </c:strCache>
            </c:strRef>
          </c:tx>
          <c:spPr>
            <a:ln w="19050" cap="rnd">
              <a:solidFill>
                <a:schemeClr val="accent6">
                  <a:lumMod val="60000"/>
                </a:schemeClr>
              </a:solidFill>
              <a:round/>
            </a:ln>
            <a:effectLst/>
          </c:spPr>
          <c:marker>
            <c:symbol val="none"/>
          </c:marker>
          <c:xVal>
            <c:numRef>
              <c:f>Outputs!$D$86:$AG$86</c:f>
            </c:numRef>
          </c:xVal>
          <c:yVal>
            <c:numRef>
              <c:f>Outputs!$D$87:$AG$87</c:f>
            </c:numRef>
          </c:yVal>
          <c:smooth val="0"/>
          <c:extLst>
            <c:ext xmlns:c16="http://schemas.microsoft.com/office/drawing/2014/chart" uri="{C3380CC4-5D6E-409C-BE32-E72D297353CC}">
              <c16:uniqueId val="{00000002-31D2-4B75-9E24-C4B4FB72EBBF}"/>
            </c:ext>
          </c:extLst>
        </c:ser>
        <c:ser>
          <c:idx val="7"/>
          <c:order val="9"/>
          <c:tx>
            <c:strRef>
              <c:f>Outputs!$B$93</c:f>
              <c:strCache>
                <c:ptCount val="1"/>
                <c:pt idx="0">
                  <c:v>Option 11A</c:v>
                </c:pt>
              </c:strCache>
            </c:strRef>
          </c:tx>
          <c:spPr>
            <a:ln w="19050" cap="rnd">
              <a:solidFill>
                <a:schemeClr val="accent2">
                  <a:lumMod val="60000"/>
                </a:schemeClr>
              </a:solidFill>
              <a:round/>
            </a:ln>
            <a:effectLst/>
          </c:spPr>
          <c:marker>
            <c:symbol val="none"/>
          </c:marker>
          <c:xVal>
            <c:numRef>
              <c:f>Outputs!$D$14:$AG$14</c:f>
            </c:numRef>
          </c:xVal>
          <c:yVal>
            <c:numRef>
              <c:f>Outputs!$D$96:$AG$96</c:f>
            </c:numRef>
          </c:yVal>
          <c:smooth val="0"/>
          <c:extLst>
            <c:ext xmlns:c16="http://schemas.microsoft.com/office/drawing/2014/chart" uri="{C3380CC4-5D6E-409C-BE32-E72D297353CC}">
              <c16:uniqueId val="{00000007-9801-48FB-ADC2-D23831B57D93}"/>
            </c:ext>
          </c:extLst>
        </c:ser>
        <c:ser>
          <c:idx val="8"/>
          <c:order val="10"/>
          <c:tx>
            <c:strRef>
              <c:f>Outputs!$B$102</c:f>
              <c:strCache>
                <c:ptCount val="1"/>
                <c:pt idx="0">
                  <c:v>Option 11B</c:v>
                </c:pt>
              </c:strCache>
              <c:extLst xmlns:c15="http://schemas.microsoft.com/office/drawing/2012/chart"/>
            </c:strRef>
          </c:tx>
          <c:spPr>
            <a:ln w="19050" cap="rnd">
              <a:solidFill>
                <a:schemeClr val="accent3">
                  <a:lumMod val="60000"/>
                </a:schemeClr>
              </a:solidFill>
              <a:round/>
            </a:ln>
            <a:effectLst/>
          </c:spPr>
          <c:marker>
            <c:symbol val="none"/>
          </c:marker>
          <c:xVal>
            <c:numRef>
              <c:f>Outputs!$D$14:$AG$14</c:f>
              <c:extLst xmlns:c15="http://schemas.microsoft.com/office/drawing/2012/chart"/>
            </c:numRef>
          </c:xVal>
          <c:yVal>
            <c:numRef>
              <c:f>Outputs!$D$105:$AG$105</c:f>
              <c:extLst xmlns:c15="http://schemas.microsoft.com/office/drawing/2012/chart"/>
            </c:numRef>
          </c:yVal>
          <c:smooth val="0"/>
          <c:extLst xmlns:c15="http://schemas.microsoft.com/office/drawing/2012/chart">
            <c:ext xmlns:c16="http://schemas.microsoft.com/office/drawing/2014/chart" uri="{C3380CC4-5D6E-409C-BE32-E72D297353CC}">
              <c16:uniqueId val="{00000008-9801-48FB-ADC2-D23831B57D93}"/>
            </c:ext>
          </c:extLst>
        </c:ser>
        <c:ser>
          <c:idx val="9"/>
          <c:order val="11"/>
          <c:tx>
            <c:strRef>
              <c:f>Outputs!$B$111</c:f>
              <c:strCache>
                <c:ptCount val="1"/>
                <c:pt idx="0">
                  <c:v>Option 11C</c:v>
                </c:pt>
              </c:strCache>
            </c:strRef>
          </c:tx>
          <c:spPr>
            <a:ln w="19050" cap="rnd">
              <a:solidFill>
                <a:schemeClr val="accent4">
                  <a:lumMod val="60000"/>
                </a:schemeClr>
              </a:solidFill>
              <a:round/>
            </a:ln>
            <a:effectLst/>
          </c:spPr>
          <c:marker>
            <c:symbol val="none"/>
          </c:marker>
          <c:xVal>
            <c:numRef>
              <c:f>Outputs!$D$14:$AG$14</c:f>
            </c:numRef>
          </c:xVal>
          <c:yVal>
            <c:numRef>
              <c:f>Outputs!$D$114:$AG$114</c:f>
            </c:numRef>
          </c:yVal>
          <c:smooth val="0"/>
          <c:extLst>
            <c:ext xmlns:c16="http://schemas.microsoft.com/office/drawing/2014/chart" uri="{C3380CC4-5D6E-409C-BE32-E72D297353CC}">
              <c16:uniqueId val="{00000009-9801-48FB-ADC2-D23831B57D93}"/>
            </c:ext>
          </c:extLst>
        </c:ser>
        <c:ser>
          <c:idx val="12"/>
          <c:order val="12"/>
          <c:tx>
            <c:strRef>
              <c:f>Outputs!$B$120</c:f>
              <c:strCache>
                <c:ptCount val="1"/>
                <c:pt idx="0">
                  <c:v>Option 12</c:v>
                </c:pt>
              </c:strCache>
            </c:strRef>
          </c:tx>
          <c:spPr>
            <a:ln w="19050" cap="rnd">
              <a:solidFill>
                <a:schemeClr val="accent1">
                  <a:lumMod val="80000"/>
                  <a:lumOff val="20000"/>
                </a:schemeClr>
              </a:solidFill>
              <a:round/>
            </a:ln>
            <a:effectLst/>
          </c:spPr>
          <c:marker>
            <c:symbol val="none"/>
          </c:marker>
          <c:xVal>
            <c:numRef>
              <c:f>Outputs!$D$122:$AG$122</c:f>
            </c:numRef>
          </c:xVal>
          <c:yVal>
            <c:numRef>
              <c:f>Outputs!$D$123:$AH$123</c:f>
            </c:numRef>
          </c:yVal>
          <c:smooth val="0"/>
          <c:extLst>
            <c:ext xmlns:c16="http://schemas.microsoft.com/office/drawing/2014/chart" uri="{C3380CC4-5D6E-409C-BE32-E72D297353CC}">
              <c16:uniqueId val="{00000003-31D2-4B75-9E24-C4B4FB72EBBF}"/>
            </c:ext>
          </c:extLst>
        </c:ser>
        <c:dLbls>
          <c:showLegendKey val="0"/>
          <c:showVal val="0"/>
          <c:showCatName val="0"/>
          <c:showSerName val="0"/>
          <c:showPercent val="0"/>
          <c:showBubbleSize val="0"/>
        </c:dLbls>
        <c:axId val="535284864"/>
        <c:axId val="535276336"/>
        <c:extLst/>
      </c:scatterChart>
      <c:valAx>
        <c:axId val="535284864"/>
        <c:scaling>
          <c:orientation val="minMax"/>
          <c:max val="2055"/>
          <c:min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76336"/>
        <c:crosses val="autoZero"/>
        <c:crossBetween val="midCat"/>
      </c:valAx>
      <c:valAx>
        <c:axId val="53527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Electricity Use (kWh/y)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84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stacked"/>
        <c:varyColors val="0"/>
        <c:ser>
          <c:idx val="0"/>
          <c:order val="0"/>
          <c:tx>
            <c:strRef>
              <c:f>Outputs!$B$282</c:f>
              <c:strCache>
                <c:ptCount val="1"/>
                <c:pt idx="0">
                  <c:v>Electricity</c:v>
                </c:pt>
              </c:strCache>
            </c:strRef>
          </c:tx>
          <c:spPr>
            <a:solidFill>
              <a:schemeClr val="accent4">
                <a:shade val="53000"/>
              </a:schemeClr>
            </a:solidFill>
            <a:ln>
              <a:noFill/>
            </a:ln>
            <a:effectLst/>
          </c:spPr>
          <c:invertIfNegative val="0"/>
          <c:cat>
            <c:strRef>
              <c:f>Outputs!$D$273:$P$273</c:f>
              <c:strCache>
                <c:ptCount val="13"/>
                <c:pt idx="0">
                  <c:v>0</c:v>
                </c:pt>
                <c:pt idx="1">
                  <c:v> 1a </c:v>
                </c:pt>
                <c:pt idx="2">
                  <c:v> 1c </c:v>
                </c:pt>
                <c:pt idx="3">
                  <c:v> 1c E </c:v>
                </c:pt>
                <c:pt idx="4">
                  <c:v> 2 </c:v>
                </c:pt>
                <c:pt idx="5">
                  <c:v> 6 </c:v>
                </c:pt>
                <c:pt idx="6">
                  <c:v> 8b </c:v>
                </c:pt>
                <c:pt idx="7">
                  <c:v> 8b E </c:v>
                </c:pt>
                <c:pt idx="8">
                  <c:v> 10a </c:v>
                </c:pt>
                <c:pt idx="9">
                  <c:v> 11a </c:v>
                </c:pt>
                <c:pt idx="10">
                  <c:v> 11c </c:v>
                </c:pt>
                <c:pt idx="11">
                  <c:v> 11c E </c:v>
                </c:pt>
                <c:pt idx="12">
                  <c:v> 12 </c:v>
                </c:pt>
              </c:strCache>
            </c:strRef>
          </c:cat>
          <c:val>
            <c:numRef>
              <c:f>Outputs!$D$282:$P$282</c:f>
              <c:numCache>
                <c:formatCode>_("$"* #,##0_);_("$"* \(#,##0\);_("$"* "-"??_);_(@_)</c:formatCode>
                <c:ptCount val="13"/>
                <c:pt idx="0">
                  <c:v>17.022268601189666</c:v>
                </c:pt>
                <c:pt idx="1">
                  <c:v>65.353891763364544</c:v>
                </c:pt>
                <c:pt idx="2">
                  <c:v>92.251001327183658</c:v>
                </c:pt>
                <c:pt idx="3">
                  <c:v>83.025901194465291</c:v>
                </c:pt>
                <c:pt idx="4">
                  <c:v>0</c:v>
                </c:pt>
                <c:pt idx="5">
                  <c:v>80.007201392865184</c:v>
                </c:pt>
                <c:pt idx="6">
                  <c:v>101.77057639727481</c:v>
                </c:pt>
                <c:pt idx="7">
                  <c:v>97.467288396622664</c:v>
                </c:pt>
                <c:pt idx="8">
                  <c:v>67.333695574107935</c:v>
                </c:pt>
                <c:pt idx="9">
                  <c:v>55.069021421482432</c:v>
                </c:pt>
                <c:pt idx="10">
                  <c:v>81.966130985301533</c:v>
                </c:pt>
                <c:pt idx="11">
                  <c:v>73.769517886771382</c:v>
                </c:pt>
                <c:pt idx="12">
                  <c:v>72.16417408315435</c:v>
                </c:pt>
              </c:numCache>
            </c:numRef>
          </c:val>
          <c:extLst>
            <c:ext xmlns:c16="http://schemas.microsoft.com/office/drawing/2014/chart" uri="{C3380CC4-5D6E-409C-BE32-E72D297353CC}">
              <c16:uniqueId val="{00000000-E148-4894-881F-5B3BC7A31219}"/>
            </c:ext>
          </c:extLst>
        </c:ser>
        <c:ser>
          <c:idx val="1"/>
          <c:order val="1"/>
          <c:tx>
            <c:strRef>
              <c:f>Outputs!$B$283</c:f>
              <c:strCache>
                <c:ptCount val="1"/>
                <c:pt idx="0">
                  <c:v>Natural gas</c:v>
                </c:pt>
              </c:strCache>
            </c:strRef>
          </c:tx>
          <c:spPr>
            <a:solidFill>
              <a:schemeClr val="accent4">
                <a:shade val="76000"/>
              </a:schemeClr>
            </a:solidFill>
            <a:ln>
              <a:noFill/>
            </a:ln>
            <a:effectLst/>
          </c:spPr>
          <c:invertIfNegative val="0"/>
          <c:cat>
            <c:strRef>
              <c:f>Outputs!$D$273:$P$273</c:f>
              <c:strCache>
                <c:ptCount val="13"/>
                <c:pt idx="0">
                  <c:v>0</c:v>
                </c:pt>
                <c:pt idx="1">
                  <c:v> 1a </c:v>
                </c:pt>
                <c:pt idx="2">
                  <c:v> 1c </c:v>
                </c:pt>
                <c:pt idx="3">
                  <c:v> 1c E </c:v>
                </c:pt>
                <c:pt idx="4">
                  <c:v> 2 </c:v>
                </c:pt>
                <c:pt idx="5">
                  <c:v> 6 </c:v>
                </c:pt>
                <c:pt idx="6">
                  <c:v> 8b </c:v>
                </c:pt>
                <c:pt idx="7">
                  <c:v> 8b E </c:v>
                </c:pt>
                <c:pt idx="8">
                  <c:v> 10a </c:v>
                </c:pt>
                <c:pt idx="9">
                  <c:v> 11a </c:v>
                </c:pt>
                <c:pt idx="10">
                  <c:v> 11c </c:v>
                </c:pt>
                <c:pt idx="11">
                  <c:v> 11c E </c:v>
                </c:pt>
                <c:pt idx="12">
                  <c:v> 12 </c:v>
                </c:pt>
              </c:strCache>
            </c:strRef>
          </c:cat>
          <c:val>
            <c:numRef>
              <c:f>Outputs!$D$283:$P$283</c:f>
              <c:numCache>
                <c:formatCode>_("$"* #,##0_);_("$"* \(#,##0\);_("$"* "-"??_);_(@_)</c:formatCode>
                <c:ptCount val="13"/>
                <c:pt idx="0">
                  <c:v>55.874025105762904</c:v>
                </c:pt>
                <c:pt idx="1">
                  <c:v>19.009994176475164</c:v>
                </c:pt>
                <c:pt idx="2">
                  <c:v>0</c:v>
                </c:pt>
                <c:pt idx="3">
                  <c:v>0</c:v>
                </c:pt>
                <c:pt idx="4">
                  <c:v>33.059302774736778</c:v>
                </c:pt>
                <c:pt idx="5">
                  <c:v>20.658035486481584</c:v>
                </c:pt>
                <c:pt idx="6">
                  <c:v>0</c:v>
                </c:pt>
                <c:pt idx="7">
                  <c:v>0</c:v>
                </c:pt>
                <c:pt idx="8">
                  <c:v>47.395748185435018</c:v>
                </c:pt>
                <c:pt idx="9">
                  <c:v>19.009994176475164</c:v>
                </c:pt>
                <c:pt idx="10">
                  <c:v>0</c:v>
                </c:pt>
                <c:pt idx="11">
                  <c:v>0</c:v>
                </c:pt>
                <c:pt idx="12">
                  <c:v>8.3607452749735991</c:v>
                </c:pt>
              </c:numCache>
            </c:numRef>
          </c:val>
          <c:extLst>
            <c:ext xmlns:c16="http://schemas.microsoft.com/office/drawing/2014/chart" uri="{C3380CC4-5D6E-409C-BE32-E72D297353CC}">
              <c16:uniqueId val="{00000001-E148-4894-881F-5B3BC7A31219}"/>
            </c:ext>
          </c:extLst>
        </c:ser>
        <c:ser>
          <c:idx val="2"/>
          <c:order val="2"/>
          <c:tx>
            <c:strRef>
              <c:f>Outputs!$B$284</c:f>
              <c:strCache>
                <c:ptCount val="1"/>
                <c:pt idx="0">
                  <c:v>Water</c:v>
                </c:pt>
              </c:strCache>
            </c:strRef>
          </c:tx>
          <c:spPr>
            <a:solidFill>
              <a:schemeClr val="accent4"/>
            </a:solidFill>
            <a:ln>
              <a:noFill/>
            </a:ln>
            <a:effectLst/>
          </c:spPr>
          <c:invertIfNegative val="0"/>
          <c:cat>
            <c:strRef>
              <c:f>Outputs!$D$273:$P$273</c:f>
              <c:strCache>
                <c:ptCount val="13"/>
                <c:pt idx="0">
                  <c:v>0</c:v>
                </c:pt>
                <c:pt idx="1">
                  <c:v> 1a </c:v>
                </c:pt>
                <c:pt idx="2">
                  <c:v> 1c </c:v>
                </c:pt>
                <c:pt idx="3">
                  <c:v> 1c E </c:v>
                </c:pt>
                <c:pt idx="4">
                  <c:v> 2 </c:v>
                </c:pt>
                <c:pt idx="5">
                  <c:v> 6 </c:v>
                </c:pt>
                <c:pt idx="6">
                  <c:v> 8b </c:v>
                </c:pt>
                <c:pt idx="7">
                  <c:v> 8b E </c:v>
                </c:pt>
                <c:pt idx="8">
                  <c:v> 10a </c:v>
                </c:pt>
                <c:pt idx="9">
                  <c:v> 11a </c:v>
                </c:pt>
                <c:pt idx="10">
                  <c:v> 11c </c:v>
                </c:pt>
                <c:pt idx="11">
                  <c:v> 11c E </c:v>
                </c:pt>
                <c:pt idx="12">
                  <c:v> 12 </c:v>
                </c:pt>
              </c:strCache>
            </c:strRef>
          </c:cat>
          <c:val>
            <c:numRef>
              <c:f>Outputs!$D$284:$P$284</c:f>
              <c:numCache>
                <c:formatCode>_("$"* #,##0_);_("$"* \(#,##0\);_("$"* "-"??_);_(@_)</c:formatCode>
                <c:ptCount val="13"/>
                <c:pt idx="0">
                  <c:v>14.537553349123103</c:v>
                </c:pt>
                <c:pt idx="1">
                  <c:v>8.2154621204970386</c:v>
                </c:pt>
                <c:pt idx="2">
                  <c:v>8.2154621204970386</c:v>
                </c:pt>
                <c:pt idx="3">
                  <c:v>8.2154621204970386</c:v>
                </c:pt>
                <c:pt idx="4">
                  <c:v>11.701509393593463</c:v>
                </c:pt>
                <c:pt idx="5">
                  <c:v>11.699172236609837</c:v>
                </c:pt>
                <c:pt idx="6">
                  <c:v>11.699172236609837</c:v>
                </c:pt>
                <c:pt idx="7">
                  <c:v>11.699172236609837</c:v>
                </c:pt>
                <c:pt idx="8">
                  <c:v>14.537553349123103</c:v>
                </c:pt>
                <c:pt idx="9">
                  <c:v>8.2154621204970386</c:v>
                </c:pt>
                <c:pt idx="10">
                  <c:v>8.2154621204970386</c:v>
                </c:pt>
                <c:pt idx="11">
                  <c:v>8.2154621204970386</c:v>
                </c:pt>
                <c:pt idx="12">
                  <c:v>10.129760546091255</c:v>
                </c:pt>
              </c:numCache>
            </c:numRef>
          </c:val>
          <c:extLst>
            <c:ext xmlns:c16="http://schemas.microsoft.com/office/drawing/2014/chart" uri="{C3380CC4-5D6E-409C-BE32-E72D297353CC}">
              <c16:uniqueId val="{00000002-E148-4894-881F-5B3BC7A31219}"/>
            </c:ext>
          </c:extLst>
        </c:ser>
        <c:ser>
          <c:idx val="3"/>
          <c:order val="3"/>
          <c:tx>
            <c:strRef>
              <c:f>Outputs!$B$285</c:f>
              <c:strCache>
                <c:ptCount val="1"/>
                <c:pt idx="0">
                  <c:v>Carbon</c:v>
                </c:pt>
              </c:strCache>
            </c:strRef>
          </c:tx>
          <c:spPr>
            <a:solidFill>
              <a:schemeClr val="accent4">
                <a:tint val="77000"/>
              </a:schemeClr>
            </a:solidFill>
            <a:ln>
              <a:noFill/>
            </a:ln>
            <a:effectLst/>
          </c:spPr>
          <c:invertIfNegative val="0"/>
          <c:cat>
            <c:strRef>
              <c:f>Outputs!$D$273:$P$273</c:f>
              <c:strCache>
                <c:ptCount val="13"/>
                <c:pt idx="0">
                  <c:v>0</c:v>
                </c:pt>
                <c:pt idx="1">
                  <c:v> 1a </c:v>
                </c:pt>
                <c:pt idx="2">
                  <c:v> 1c </c:v>
                </c:pt>
                <c:pt idx="3">
                  <c:v> 1c E </c:v>
                </c:pt>
                <c:pt idx="4">
                  <c:v> 2 </c:v>
                </c:pt>
                <c:pt idx="5">
                  <c:v> 6 </c:v>
                </c:pt>
                <c:pt idx="6">
                  <c:v> 8b </c:v>
                </c:pt>
                <c:pt idx="7">
                  <c:v> 8b E </c:v>
                </c:pt>
                <c:pt idx="8">
                  <c:v> 10a </c:v>
                </c:pt>
                <c:pt idx="9">
                  <c:v> 11a </c:v>
                </c:pt>
                <c:pt idx="10">
                  <c:v> 11c </c:v>
                </c:pt>
                <c:pt idx="11">
                  <c:v> 11c E </c:v>
                </c:pt>
                <c:pt idx="12">
                  <c:v> 12 </c:v>
                </c:pt>
              </c:strCache>
            </c:strRef>
          </c:cat>
          <c:val>
            <c:numRef>
              <c:f>Outputs!$D$285:$P$285</c:f>
              <c:numCache>
                <c:formatCode>_("$"* #,##0_);_("$"* \(#,##0\);_("$"* "-"??_);_(@_)</c:formatCode>
                <c:ptCount val="13"/>
                <c:pt idx="0">
                  <c:v>25.171573586538543</c:v>
                </c:pt>
                <c:pt idx="1">
                  <c:v>8.5641130451412497</c:v>
                </c:pt>
                <c:pt idx="2">
                  <c:v>0</c:v>
                </c:pt>
                <c:pt idx="3">
                  <c:v>0</c:v>
                </c:pt>
                <c:pt idx="4">
                  <c:v>14.893408358155238</c:v>
                </c:pt>
                <c:pt idx="5">
                  <c:v>9.3065652495413822</c:v>
                </c:pt>
                <c:pt idx="6">
                  <c:v>0</c:v>
                </c:pt>
                <c:pt idx="7">
                  <c:v>0</c:v>
                </c:pt>
                <c:pt idx="8">
                  <c:v>21.352060476768454</c:v>
                </c:pt>
                <c:pt idx="9">
                  <c:v>8.5641130451412497</c:v>
                </c:pt>
                <c:pt idx="10">
                  <c:v>0</c:v>
                </c:pt>
                <c:pt idx="11">
                  <c:v>0</c:v>
                </c:pt>
                <c:pt idx="12">
                  <c:v>3.7665644193154084</c:v>
                </c:pt>
              </c:numCache>
            </c:numRef>
          </c:val>
          <c:extLst>
            <c:ext xmlns:c16="http://schemas.microsoft.com/office/drawing/2014/chart" uri="{C3380CC4-5D6E-409C-BE32-E72D297353CC}">
              <c16:uniqueId val="{00000003-E148-4894-881F-5B3BC7A31219}"/>
            </c:ext>
          </c:extLst>
        </c:ser>
        <c:ser>
          <c:idx val="4"/>
          <c:order val="4"/>
          <c:tx>
            <c:strRef>
              <c:f>Outputs!$B$286</c:f>
              <c:strCache>
                <c:ptCount val="1"/>
                <c:pt idx="0">
                  <c:v>O&amp;M</c:v>
                </c:pt>
              </c:strCache>
            </c:strRef>
          </c:tx>
          <c:spPr>
            <a:solidFill>
              <a:schemeClr val="accent4">
                <a:tint val="54000"/>
              </a:schemeClr>
            </a:solidFill>
            <a:ln>
              <a:noFill/>
            </a:ln>
            <a:effectLst/>
          </c:spPr>
          <c:invertIfNegative val="0"/>
          <c:cat>
            <c:strRef>
              <c:f>Outputs!$D$273:$P$273</c:f>
              <c:strCache>
                <c:ptCount val="13"/>
                <c:pt idx="0">
                  <c:v>0</c:v>
                </c:pt>
                <c:pt idx="1">
                  <c:v> 1a </c:v>
                </c:pt>
                <c:pt idx="2">
                  <c:v> 1c </c:v>
                </c:pt>
                <c:pt idx="3">
                  <c:v> 1c E </c:v>
                </c:pt>
                <c:pt idx="4">
                  <c:v> 2 </c:v>
                </c:pt>
                <c:pt idx="5">
                  <c:v> 6 </c:v>
                </c:pt>
                <c:pt idx="6">
                  <c:v> 8b </c:v>
                </c:pt>
                <c:pt idx="7">
                  <c:v> 8b E </c:v>
                </c:pt>
                <c:pt idx="8">
                  <c:v> 10a </c:v>
                </c:pt>
                <c:pt idx="9">
                  <c:v> 11a </c:v>
                </c:pt>
                <c:pt idx="10">
                  <c:v> 11c </c:v>
                </c:pt>
                <c:pt idx="11">
                  <c:v> 11c E </c:v>
                </c:pt>
                <c:pt idx="12">
                  <c:v> 12 </c:v>
                </c:pt>
              </c:strCache>
            </c:strRef>
          </c:cat>
          <c:val>
            <c:numRef>
              <c:f>Outputs!$D$286:$P$286</c:f>
              <c:numCache>
                <c:formatCode>_("$"* #,##0_);_("$"* \(#,##0\);_("$"* "-"??_);_(@_)</c:formatCode>
                <c:ptCount val="13"/>
                <c:pt idx="0">
                  <c:v>15.273</c:v>
                </c:pt>
                <c:pt idx="1">
                  <c:v>16.363399999999999</c:v>
                </c:pt>
                <c:pt idx="2">
                  <c:v>16.857500000000002</c:v>
                </c:pt>
                <c:pt idx="3">
                  <c:v>18.160799999999998</c:v>
                </c:pt>
                <c:pt idx="4">
                  <c:v>20.138100000000001</c:v>
                </c:pt>
                <c:pt idx="5">
                  <c:v>13.274900000000001</c:v>
                </c:pt>
                <c:pt idx="6">
                  <c:v>13.455500000000001</c:v>
                </c:pt>
                <c:pt idx="7">
                  <c:v>16.941299999999998</c:v>
                </c:pt>
                <c:pt idx="8">
                  <c:v>9.0667000000000009</c:v>
                </c:pt>
                <c:pt idx="9">
                  <c:v>15.6409</c:v>
                </c:pt>
                <c:pt idx="10">
                  <c:v>17.14</c:v>
                </c:pt>
                <c:pt idx="11">
                  <c:v>17.14</c:v>
                </c:pt>
                <c:pt idx="12">
                  <c:v>28.554600000000001</c:v>
                </c:pt>
              </c:numCache>
            </c:numRef>
          </c:val>
          <c:extLst>
            <c:ext xmlns:c16="http://schemas.microsoft.com/office/drawing/2014/chart" uri="{C3380CC4-5D6E-409C-BE32-E72D297353CC}">
              <c16:uniqueId val="{00000004-E148-4894-881F-5B3BC7A31219}"/>
            </c:ext>
          </c:extLst>
        </c:ser>
        <c:dLbls>
          <c:showLegendKey val="0"/>
          <c:showVal val="0"/>
          <c:showCatName val="0"/>
          <c:showSerName val="0"/>
          <c:showPercent val="0"/>
          <c:showBubbleSize val="0"/>
        </c:dLbls>
        <c:gapWidth val="150"/>
        <c:overlap val="100"/>
        <c:axId val="875083768"/>
        <c:axId val="875080160"/>
      </c:barChart>
      <c:catAx>
        <c:axId val="875083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80160"/>
        <c:crosses val="autoZero"/>
        <c:auto val="1"/>
        <c:lblAlgn val="ctr"/>
        <c:lblOffset val="100"/>
        <c:noMultiLvlLbl val="0"/>
      </c:catAx>
      <c:valAx>
        <c:axId val="87508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Operating Cost ($M USD 2045)</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83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Outputs!$B$330</c:f>
              <c:strCache>
                <c:ptCount val="1"/>
                <c:pt idx="0">
                  <c:v>Operating cost</c:v>
                </c:pt>
              </c:strCache>
            </c:strRef>
          </c:tx>
          <c:spPr>
            <a:solidFill>
              <a:schemeClr val="accent1"/>
            </a:solidFill>
            <a:ln>
              <a:noFill/>
            </a:ln>
            <a:effectLst/>
          </c:spPr>
          <c:invertIfNegative val="0"/>
          <c:cat>
            <c:strRef>
              <c:f>Outputs!$D$315:$M$315</c:f>
              <c:strCache>
                <c:ptCount val="10"/>
                <c:pt idx="0">
                  <c:v>0</c:v>
                </c:pt>
                <c:pt idx="1">
                  <c:v>1a</c:v>
                </c:pt>
                <c:pt idx="2">
                  <c:v>1c E</c:v>
                </c:pt>
                <c:pt idx="3">
                  <c:v>2</c:v>
                </c:pt>
                <c:pt idx="4">
                  <c:v>6</c:v>
                </c:pt>
                <c:pt idx="5">
                  <c:v>8b E</c:v>
                </c:pt>
                <c:pt idx="6">
                  <c:v>10a</c:v>
                </c:pt>
                <c:pt idx="7">
                  <c:v>11a</c:v>
                </c:pt>
                <c:pt idx="8">
                  <c:v>11c E</c:v>
                </c:pt>
                <c:pt idx="9">
                  <c:v>12</c:v>
                </c:pt>
              </c:strCache>
            </c:strRef>
          </c:cat>
          <c:val>
            <c:numRef>
              <c:f>Outputs!$D$330:$M$330</c:f>
              <c:numCache>
                <c:formatCode>_("$"* #,##0_);_("$"* \(#,##0\);_("$"* "-"??_);_(@_)</c:formatCode>
                <c:ptCount val="10"/>
                <c:pt idx="0" formatCode="_(* #,##0_);_(* \(#,##0\);_(* &quot;-&quot;??_);_(@_)">
                  <c:v>0</c:v>
                </c:pt>
                <c:pt idx="1">
                  <c:v>-10.371559537136221</c:v>
                </c:pt>
                <c:pt idx="2">
                  <c:v>-18.476257327651894</c:v>
                </c:pt>
                <c:pt idx="3">
                  <c:v>-48.086100116128748</c:v>
                </c:pt>
                <c:pt idx="4">
                  <c:v>7.0674537228837693</c:v>
                </c:pt>
                <c:pt idx="5">
                  <c:v>-1.7706600093817144</c:v>
                </c:pt>
                <c:pt idx="6">
                  <c:v>31.807336942820299</c:v>
                </c:pt>
                <c:pt idx="7">
                  <c:v>-21.37892987901833</c:v>
                </c:pt>
                <c:pt idx="8">
                  <c:v>-28.753440635345797</c:v>
                </c:pt>
                <c:pt idx="9">
                  <c:v>-4.9025763190796141</c:v>
                </c:pt>
              </c:numCache>
            </c:numRef>
          </c:val>
          <c:extLst>
            <c:ext xmlns:c16="http://schemas.microsoft.com/office/drawing/2014/chart" uri="{C3380CC4-5D6E-409C-BE32-E72D297353CC}">
              <c16:uniqueId val="{00000000-A490-4CD5-86CC-B4B1AFDD81C4}"/>
            </c:ext>
          </c:extLst>
        </c:ser>
        <c:dLbls>
          <c:showLegendKey val="0"/>
          <c:showVal val="0"/>
          <c:showCatName val="0"/>
          <c:showSerName val="0"/>
          <c:showPercent val="0"/>
          <c:showBubbleSize val="0"/>
        </c:dLbls>
        <c:gapWidth val="219"/>
        <c:overlap val="-27"/>
        <c:axId val="964237488"/>
        <c:axId val="964237816"/>
      </c:barChart>
      <c:catAx>
        <c:axId val="96423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964237816"/>
        <c:crosses val="autoZero"/>
        <c:auto val="1"/>
        <c:lblAlgn val="ctr"/>
        <c:lblOffset val="100"/>
        <c:noMultiLvlLbl val="0"/>
      </c:catAx>
      <c:valAx>
        <c:axId val="964237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Relative Annual Operating Cost vs BAU ($M USD 2045)</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96423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Outputs!$B$331</c:f>
              <c:strCache>
                <c:ptCount val="1"/>
                <c:pt idx="0">
                  <c:v>Capital cost</c:v>
                </c:pt>
              </c:strCache>
            </c:strRef>
          </c:tx>
          <c:spPr>
            <a:solidFill>
              <a:schemeClr val="accent1"/>
            </a:solidFill>
            <a:ln>
              <a:noFill/>
            </a:ln>
            <a:effectLst/>
          </c:spPr>
          <c:invertIfNegative val="0"/>
          <c:cat>
            <c:strRef>
              <c:f>Outputs!$D$324:$M$324</c:f>
              <c:strCache>
                <c:ptCount val="10"/>
                <c:pt idx="0">
                  <c:v>0</c:v>
                </c:pt>
                <c:pt idx="1">
                  <c:v>1a</c:v>
                </c:pt>
                <c:pt idx="2">
                  <c:v>1c E</c:v>
                </c:pt>
                <c:pt idx="3">
                  <c:v>2</c:v>
                </c:pt>
                <c:pt idx="4">
                  <c:v>6</c:v>
                </c:pt>
                <c:pt idx="5">
                  <c:v>8b E</c:v>
                </c:pt>
                <c:pt idx="6">
                  <c:v>10a</c:v>
                </c:pt>
                <c:pt idx="7">
                  <c:v>11a</c:v>
                </c:pt>
                <c:pt idx="8">
                  <c:v>11c E</c:v>
                </c:pt>
                <c:pt idx="9">
                  <c:v>12</c:v>
                </c:pt>
              </c:strCache>
            </c:strRef>
          </c:cat>
          <c:val>
            <c:numRef>
              <c:f>Outputs!$D$331:$M$331</c:f>
              <c:numCache>
                <c:formatCode>_("$"* #,##0_);_("$"* \(#,##0\);_("$"* "-"??_);_(@_)</c:formatCode>
                <c:ptCount val="10"/>
                <c:pt idx="0">
                  <c:v>0</c:v>
                </c:pt>
                <c:pt idx="1">
                  <c:v>139</c:v>
                </c:pt>
                <c:pt idx="2">
                  <c:v>165</c:v>
                </c:pt>
                <c:pt idx="3">
                  <c:v>118</c:v>
                </c:pt>
                <c:pt idx="4">
                  <c:v>59</c:v>
                </c:pt>
                <c:pt idx="5">
                  <c:v>155</c:v>
                </c:pt>
                <c:pt idx="6">
                  <c:v>-17</c:v>
                </c:pt>
                <c:pt idx="7">
                  <c:v>166</c:v>
                </c:pt>
                <c:pt idx="8">
                  <c:v>198</c:v>
                </c:pt>
                <c:pt idx="9">
                  <c:v>141</c:v>
                </c:pt>
              </c:numCache>
            </c:numRef>
          </c:val>
          <c:extLst>
            <c:ext xmlns:c16="http://schemas.microsoft.com/office/drawing/2014/chart" uri="{C3380CC4-5D6E-409C-BE32-E72D297353CC}">
              <c16:uniqueId val="{00000000-917E-43A1-A823-F0D63A8D03AA}"/>
            </c:ext>
          </c:extLst>
        </c:ser>
        <c:dLbls>
          <c:showLegendKey val="0"/>
          <c:showVal val="0"/>
          <c:showCatName val="0"/>
          <c:showSerName val="0"/>
          <c:showPercent val="0"/>
          <c:showBubbleSize val="0"/>
        </c:dLbls>
        <c:gapWidth val="219"/>
        <c:overlap val="-27"/>
        <c:axId val="964237488"/>
        <c:axId val="964237816"/>
      </c:barChart>
      <c:catAx>
        <c:axId val="96423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964237816"/>
        <c:crosses val="autoZero"/>
        <c:auto val="1"/>
        <c:lblAlgn val="ctr"/>
        <c:lblOffset val="100"/>
        <c:noMultiLvlLbl val="0"/>
      </c:catAx>
      <c:valAx>
        <c:axId val="964237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Relative Capital Cost vs BAU ($M 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96423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Outputs!$B$329</c:f>
              <c:strCache>
                <c:ptCount val="1"/>
                <c:pt idx="0">
                  <c:v>Commodities cost</c:v>
                </c:pt>
              </c:strCache>
            </c:strRef>
          </c:tx>
          <c:spPr>
            <a:solidFill>
              <a:schemeClr val="accent1"/>
            </a:solidFill>
            <a:ln>
              <a:noFill/>
            </a:ln>
            <a:effectLst/>
          </c:spPr>
          <c:invertIfNegative val="0"/>
          <c:cat>
            <c:strRef>
              <c:f>Outputs!$D$324:$M$324</c:f>
              <c:strCache>
                <c:ptCount val="10"/>
                <c:pt idx="0">
                  <c:v>0</c:v>
                </c:pt>
                <c:pt idx="1">
                  <c:v>1a</c:v>
                </c:pt>
                <c:pt idx="2">
                  <c:v>1c E</c:v>
                </c:pt>
                <c:pt idx="3">
                  <c:v>2</c:v>
                </c:pt>
                <c:pt idx="4">
                  <c:v>6</c:v>
                </c:pt>
                <c:pt idx="5">
                  <c:v>8b E</c:v>
                </c:pt>
                <c:pt idx="6">
                  <c:v>10a</c:v>
                </c:pt>
                <c:pt idx="7">
                  <c:v>11a</c:v>
                </c:pt>
                <c:pt idx="8">
                  <c:v>11c E</c:v>
                </c:pt>
                <c:pt idx="9">
                  <c:v>12</c:v>
                </c:pt>
              </c:strCache>
            </c:strRef>
          </c:cat>
          <c:val>
            <c:numRef>
              <c:f>Outputs!$D$329:$M$329</c:f>
              <c:numCache>
                <c:formatCode>_("$"* #,##0_);_("$"* \(#,##0\);_("$"* "-"??_);_(@_)</c:formatCode>
                <c:ptCount val="10"/>
                <c:pt idx="0" formatCode="_(* #,##0_);_(* \(#,##0\);_(* &quot;-&quot;??_);_(@_)">
                  <c:v>0</c:v>
                </c:pt>
                <c:pt idx="1">
                  <c:v>-11.461959537136238</c:v>
                </c:pt>
                <c:pt idx="2">
                  <c:v>-21.364057327651892</c:v>
                </c:pt>
                <c:pt idx="3">
                  <c:v>-52.951200116128739</c:v>
                </c:pt>
                <c:pt idx="4">
                  <c:v>9.065553722883763</c:v>
                </c:pt>
                <c:pt idx="5">
                  <c:v>-3.4389600093817307</c:v>
                </c:pt>
                <c:pt idx="6">
                  <c:v>38.01363694282027</c:v>
                </c:pt>
                <c:pt idx="7">
                  <c:v>-21.746829879018335</c:v>
                </c:pt>
                <c:pt idx="8">
                  <c:v>-30.620440635345801</c:v>
                </c:pt>
                <c:pt idx="9">
                  <c:v>-18.184176319079597</c:v>
                </c:pt>
              </c:numCache>
            </c:numRef>
          </c:val>
          <c:extLst>
            <c:ext xmlns:c16="http://schemas.microsoft.com/office/drawing/2014/chart" uri="{C3380CC4-5D6E-409C-BE32-E72D297353CC}">
              <c16:uniqueId val="{00000000-1C2B-4B65-A6C1-271CBFF8E2D1}"/>
            </c:ext>
          </c:extLst>
        </c:ser>
        <c:dLbls>
          <c:showLegendKey val="0"/>
          <c:showVal val="0"/>
          <c:showCatName val="0"/>
          <c:showSerName val="0"/>
          <c:showPercent val="0"/>
          <c:showBubbleSize val="0"/>
        </c:dLbls>
        <c:gapWidth val="219"/>
        <c:overlap val="-27"/>
        <c:axId val="964237488"/>
        <c:axId val="964237816"/>
      </c:barChart>
      <c:catAx>
        <c:axId val="96423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964237816"/>
        <c:crosses val="autoZero"/>
        <c:auto val="1"/>
        <c:lblAlgn val="ctr"/>
        <c:lblOffset val="100"/>
        <c:noMultiLvlLbl val="0"/>
      </c:catAx>
      <c:valAx>
        <c:axId val="964237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Relative Commodities Cost vs BAU ($M 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96423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Outputs!$B$332</c:f>
              <c:strCache>
                <c:ptCount val="1"/>
                <c:pt idx="0">
                  <c:v>Life cycle cost</c:v>
                </c:pt>
              </c:strCache>
            </c:strRef>
          </c:tx>
          <c:spPr>
            <a:solidFill>
              <a:schemeClr val="accent1"/>
            </a:solidFill>
            <a:ln>
              <a:noFill/>
            </a:ln>
            <a:effectLst/>
          </c:spPr>
          <c:invertIfNegative val="0"/>
          <c:cat>
            <c:strRef>
              <c:f>Outputs!$D$324:$M$324</c:f>
              <c:strCache>
                <c:ptCount val="10"/>
                <c:pt idx="0">
                  <c:v>0</c:v>
                </c:pt>
                <c:pt idx="1">
                  <c:v>1a</c:v>
                </c:pt>
                <c:pt idx="2">
                  <c:v>1c E</c:v>
                </c:pt>
                <c:pt idx="3">
                  <c:v>2</c:v>
                </c:pt>
                <c:pt idx="4">
                  <c:v>6</c:v>
                </c:pt>
                <c:pt idx="5">
                  <c:v>8b E</c:v>
                </c:pt>
                <c:pt idx="6">
                  <c:v>10a</c:v>
                </c:pt>
                <c:pt idx="7">
                  <c:v>11a</c:v>
                </c:pt>
                <c:pt idx="8">
                  <c:v>11c E</c:v>
                </c:pt>
                <c:pt idx="9">
                  <c:v>12</c:v>
                </c:pt>
              </c:strCache>
            </c:strRef>
          </c:cat>
          <c:val>
            <c:numRef>
              <c:f>Outputs!$D$332:$M$332</c:f>
              <c:numCache>
                <c:formatCode>_("$"* #,##0_);_("$"* \(#,##0\);_("$"* "-"??_);_(@_)</c:formatCode>
                <c:ptCount val="10"/>
                <c:pt idx="0">
                  <c:v>0</c:v>
                </c:pt>
                <c:pt idx="1">
                  <c:v>69</c:v>
                </c:pt>
                <c:pt idx="2">
                  <c:v>29</c:v>
                </c:pt>
                <c:pt idx="3">
                  <c:v>-378</c:v>
                </c:pt>
                <c:pt idx="4">
                  <c:v>127</c:v>
                </c:pt>
                <c:pt idx="5">
                  <c:v>62</c:v>
                </c:pt>
                <c:pt idx="6">
                  <c:v>310</c:v>
                </c:pt>
                <c:pt idx="7">
                  <c:v>6</c:v>
                </c:pt>
                <c:pt idx="8">
                  <c:v>-81</c:v>
                </c:pt>
                <c:pt idx="9">
                  <c:v>90</c:v>
                </c:pt>
              </c:numCache>
            </c:numRef>
          </c:val>
          <c:extLst>
            <c:ext xmlns:c16="http://schemas.microsoft.com/office/drawing/2014/chart" uri="{C3380CC4-5D6E-409C-BE32-E72D297353CC}">
              <c16:uniqueId val="{00000000-4C2A-4493-961F-F5FBFEEF6851}"/>
            </c:ext>
          </c:extLst>
        </c:ser>
        <c:dLbls>
          <c:showLegendKey val="0"/>
          <c:showVal val="0"/>
          <c:showCatName val="0"/>
          <c:showSerName val="0"/>
          <c:showPercent val="0"/>
          <c:showBubbleSize val="0"/>
        </c:dLbls>
        <c:gapWidth val="219"/>
        <c:overlap val="-27"/>
        <c:axId val="964237488"/>
        <c:axId val="964237816"/>
      </c:barChart>
      <c:catAx>
        <c:axId val="96423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964237816"/>
        <c:crosses val="autoZero"/>
        <c:auto val="1"/>
        <c:lblAlgn val="ctr"/>
        <c:lblOffset val="100"/>
        <c:noMultiLvlLbl val="0"/>
      </c:catAx>
      <c:valAx>
        <c:axId val="964237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Relative Life Cycle Cost vs BAU ($M 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96423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stacked"/>
        <c:varyColors val="0"/>
        <c:ser>
          <c:idx val="0"/>
          <c:order val="0"/>
          <c:tx>
            <c:strRef>
              <c:f>Outputs!$B$274</c:f>
              <c:strCache>
                <c:ptCount val="1"/>
                <c:pt idx="0">
                  <c:v>Electricity</c:v>
                </c:pt>
              </c:strCache>
            </c:strRef>
          </c:tx>
          <c:spPr>
            <a:solidFill>
              <a:schemeClr val="accent4">
                <a:shade val="58000"/>
              </a:schemeClr>
            </a:solidFill>
            <a:ln>
              <a:noFill/>
            </a:ln>
            <a:effectLst/>
          </c:spPr>
          <c:invertIfNegative val="0"/>
          <c:cat>
            <c:strRef>
              <c:extLst>
                <c:ext xmlns:c15="http://schemas.microsoft.com/office/drawing/2012/chart" uri="{02D57815-91ED-43cb-92C2-25804820EDAC}">
                  <c15:fullRef>
                    <c15:sqref>Outputs!$D$273:$P$273</c15:sqref>
                  </c15:fullRef>
                </c:ext>
              </c:extLst>
              <c:f>(Outputs!$D$273,Outputs!$H$273:$I$273,Outputs!$L$273,Outputs!$O$273:$P$273)</c:f>
              <c:strCache>
                <c:ptCount val="6"/>
                <c:pt idx="0">
                  <c:v>0</c:v>
                </c:pt>
                <c:pt idx="1">
                  <c:v> 2 </c:v>
                </c:pt>
                <c:pt idx="2">
                  <c:v> 6 </c:v>
                </c:pt>
                <c:pt idx="3">
                  <c:v> 10a </c:v>
                </c:pt>
                <c:pt idx="4">
                  <c:v> 11c E </c:v>
                </c:pt>
                <c:pt idx="5">
                  <c:v> 12 </c:v>
                </c:pt>
              </c:strCache>
            </c:strRef>
          </c:cat>
          <c:val>
            <c:numRef>
              <c:extLst>
                <c:ext xmlns:c15="http://schemas.microsoft.com/office/drawing/2012/chart" uri="{02D57815-91ED-43cb-92C2-25804820EDAC}">
                  <c15:fullRef>
                    <c15:sqref>Outputs!$D$274:$P$274</c15:sqref>
                  </c15:fullRef>
                </c:ext>
              </c:extLst>
              <c:f>(Outputs!$D$274,Outputs!$H$274:$I$274,Outputs!$L$274,Outputs!$O$274:$P$274)</c:f>
              <c:numCache>
                <c:formatCode>_("$"* #,##0_);_("$"* \(#,##0\);_("$"* "-"??_);_(@_)</c:formatCode>
                <c:ptCount val="6"/>
                <c:pt idx="0">
                  <c:v>17.022268601189666</c:v>
                </c:pt>
                <c:pt idx="1">
                  <c:v>0</c:v>
                </c:pt>
                <c:pt idx="2">
                  <c:v>80.007201392865184</c:v>
                </c:pt>
                <c:pt idx="3">
                  <c:v>67.333695574107935</c:v>
                </c:pt>
                <c:pt idx="4">
                  <c:v>73.769517886771382</c:v>
                </c:pt>
                <c:pt idx="5">
                  <c:v>72.16417408315435</c:v>
                </c:pt>
              </c:numCache>
            </c:numRef>
          </c:val>
          <c:extLst>
            <c:ext xmlns:c16="http://schemas.microsoft.com/office/drawing/2014/chart" uri="{C3380CC4-5D6E-409C-BE32-E72D297353CC}">
              <c16:uniqueId val="{00000000-28F6-4C2E-9596-01C29E901C54}"/>
            </c:ext>
          </c:extLst>
        </c:ser>
        <c:ser>
          <c:idx val="1"/>
          <c:order val="1"/>
          <c:tx>
            <c:strRef>
              <c:f>Outputs!$B$275</c:f>
              <c:strCache>
                <c:ptCount val="1"/>
                <c:pt idx="0">
                  <c:v>Natural gas</c:v>
                </c:pt>
              </c:strCache>
            </c:strRef>
          </c:tx>
          <c:spPr>
            <a:solidFill>
              <a:schemeClr val="accent4">
                <a:shade val="86000"/>
              </a:schemeClr>
            </a:solidFill>
            <a:ln>
              <a:noFill/>
            </a:ln>
            <a:effectLst/>
          </c:spPr>
          <c:invertIfNegative val="0"/>
          <c:cat>
            <c:strRef>
              <c:extLst>
                <c:ext xmlns:c15="http://schemas.microsoft.com/office/drawing/2012/chart" uri="{02D57815-91ED-43cb-92C2-25804820EDAC}">
                  <c15:fullRef>
                    <c15:sqref>Outputs!$D$273:$P$273</c15:sqref>
                  </c15:fullRef>
                </c:ext>
              </c:extLst>
              <c:f>(Outputs!$D$273,Outputs!$H$273:$I$273,Outputs!$L$273,Outputs!$O$273:$P$273)</c:f>
              <c:strCache>
                <c:ptCount val="6"/>
                <c:pt idx="0">
                  <c:v>0</c:v>
                </c:pt>
                <c:pt idx="1">
                  <c:v> 2 </c:v>
                </c:pt>
                <c:pt idx="2">
                  <c:v> 6 </c:v>
                </c:pt>
                <c:pt idx="3">
                  <c:v> 10a </c:v>
                </c:pt>
                <c:pt idx="4">
                  <c:v> 11c E </c:v>
                </c:pt>
                <c:pt idx="5">
                  <c:v> 12 </c:v>
                </c:pt>
              </c:strCache>
            </c:strRef>
          </c:cat>
          <c:val>
            <c:numRef>
              <c:extLst>
                <c:ext xmlns:c15="http://schemas.microsoft.com/office/drawing/2012/chart" uri="{02D57815-91ED-43cb-92C2-25804820EDAC}">
                  <c15:fullRef>
                    <c15:sqref>Outputs!$D$275:$P$275</c15:sqref>
                  </c15:fullRef>
                </c:ext>
              </c:extLst>
              <c:f>(Outputs!$D$275,Outputs!$H$275:$I$275,Outputs!$L$275,Outputs!$O$275:$P$275)</c:f>
              <c:numCache>
                <c:formatCode>_("$"* #,##0_);_("$"* \(#,##0\);_("$"* "-"??_);_(@_)</c:formatCode>
                <c:ptCount val="6"/>
                <c:pt idx="0">
                  <c:v>55.874025105762904</c:v>
                </c:pt>
                <c:pt idx="1">
                  <c:v>33.059302774736778</c:v>
                </c:pt>
                <c:pt idx="2">
                  <c:v>20.658035486481584</c:v>
                </c:pt>
                <c:pt idx="3">
                  <c:v>47.395748185435018</c:v>
                </c:pt>
                <c:pt idx="4">
                  <c:v>0</c:v>
                </c:pt>
                <c:pt idx="5">
                  <c:v>8.3607452749735991</c:v>
                </c:pt>
              </c:numCache>
            </c:numRef>
          </c:val>
          <c:extLst>
            <c:ext xmlns:c16="http://schemas.microsoft.com/office/drawing/2014/chart" uri="{C3380CC4-5D6E-409C-BE32-E72D297353CC}">
              <c16:uniqueId val="{00000001-28F6-4C2E-9596-01C29E901C54}"/>
            </c:ext>
          </c:extLst>
        </c:ser>
        <c:ser>
          <c:idx val="2"/>
          <c:order val="2"/>
          <c:tx>
            <c:strRef>
              <c:f>Outputs!$B$276</c:f>
              <c:strCache>
                <c:ptCount val="1"/>
                <c:pt idx="0">
                  <c:v>Water</c:v>
                </c:pt>
              </c:strCache>
            </c:strRef>
          </c:tx>
          <c:spPr>
            <a:solidFill>
              <a:schemeClr val="accent4">
                <a:tint val="86000"/>
              </a:schemeClr>
            </a:solidFill>
            <a:ln>
              <a:noFill/>
            </a:ln>
            <a:effectLst/>
          </c:spPr>
          <c:invertIfNegative val="0"/>
          <c:cat>
            <c:strRef>
              <c:extLst>
                <c:ext xmlns:c15="http://schemas.microsoft.com/office/drawing/2012/chart" uri="{02D57815-91ED-43cb-92C2-25804820EDAC}">
                  <c15:fullRef>
                    <c15:sqref>Outputs!$D$273:$P$273</c15:sqref>
                  </c15:fullRef>
                </c:ext>
              </c:extLst>
              <c:f>(Outputs!$D$273,Outputs!$H$273:$I$273,Outputs!$L$273,Outputs!$O$273:$P$273)</c:f>
              <c:strCache>
                <c:ptCount val="6"/>
                <c:pt idx="0">
                  <c:v>0</c:v>
                </c:pt>
                <c:pt idx="1">
                  <c:v> 2 </c:v>
                </c:pt>
                <c:pt idx="2">
                  <c:v> 6 </c:v>
                </c:pt>
                <c:pt idx="3">
                  <c:v> 10a </c:v>
                </c:pt>
                <c:pt idx="4">
                  <c:v> 11c E </c:v>
                </c:pt>
                <c:pt idx="5">
                  <c:v> 12 </c:v>
                </c:pt>
              </c:strCache>
            </c:strRef>
          </c:cat>
          <c:val>
            <c:numRef>
              <c:extLst>
                <c:ext xmlns:c15="http://schemas.microsoft.com/office/drawing/2012/chart" uri="{02D57815-91ED-43cb-92C2-25804820EDAC}">
                  <c15:fullRef>
                    <c15:sqref>Outputs!$D$276:$P$276</c15:sqref>
                  </c15:fullRef>
                </c:ext>
              </c:extLst>
              <c:f>(Outputs!$D$276,Outputs!$H$276:$I$276,Outputs!$L$276,Outputs!$O$276:$P$276)</c:f>
              <c:numCache>
                <c:formatCode>_("$"* #,##0_);_("$"* \(#,##0\);_("$"* "-"??_);_(@_)</c:formatCode>
                <c:ptCount val="6"/>
                <c:pt idx="0">
                  <c:v>14.537553349123103</c:v>
                </c:pt>
                <c:pt idx="1">
                  <c:v>11.701509393593463</c:v>
                </c:pt>
                <c:pt idx="2">
                  <c:v>11.699172236609837</c:v>
                </c:pt>
                <c:pt idx="3">
                  <c:v>14.537553349123103</c:v>
                </c:pt>
                <c:pt idx="4">
                  <c:v>8.2154621204970386</c:v>
                </c:pt>
                <c:pt idx="5">
                  <c:v>10.129760546091255</c:v>
                </c:pt>
              </c:numCache>
            </c:numRef>
          </c:val>
          <c:extLst>
            <c:ext xmlns:c16="http://schemas.microsoft.com/office/drawing/2014/chart" uri="{C3380CC4-5D6E-409C-BE32-E72D297353CC}">
              <c16:uniqueId val="{00000002-28F6-4C2E-9596-01C29E901C54}"/>
            </c:ext>
          </c:extLst>
        </c:ser>
        <c:ser>
          <c:idx val="3"/>
          <c:order val="3"/>
          <c:tx>
            <c:strRef>
              <c:f>Outputs!$B$277</c:f>
              <c:strCache>
                <c:ptCount val="1"/>
                <c:pt idx="0">
                  <c:v>Carbon</c:v>
                </c:pt>
              </c:strCache>
            </c:strRef>
          </c:tx>
          <c:spPr>
            <a:solidFill>
              <a:schemeClr val="accent4">
                <a:tint val="58000"/>
              </a:schemeClr>
            </a:solidFill>
            <a:ln>
              <a:noFill/>
            </a:ln>
            <a:effectLst/>
          </c:spPr>
          <c:invertIfNegative val="0"/>
          <c:cat>
            <c:strRef>
              <c:extLst>
                <c:ext xmlns:c15="http://schemas.microsoft.com/office/drawing/2012/chart" uri="{02D57815-91ED-43cb-92C2-25804820EDAC}">
                  <c15:fullRef>
                    <c15:sqref>Outputs!$D$273:$P$273</c15:sqref>
                  </c15:fullRef>
                </c:ext>
              </c:extLst>
              <c:f>(Outputs!$D$273,Outputs!$H$273:$I$273,Outputs!$L$273,Outputs!$O$273:$P$273)</c:f>
              <c:strCache>
                <c:ptCount val="6"/>
                <c:pt idx="0">
                  <c:v>0</c:v>
                </c:pt>
                <c:pt idx="1">
                  <c:v> 2 </c:v>
                </c:pt>
                <c:pt idx="2">
                  <c:v> 6 </c:v>
                </c:pt>
                <c:pt idx="3">
                  <c:v> 10a </c:v>
                </c:pt>
                <c:pt idx="4">
                  <c:v> 11c E </c:v>
                </c:pt>
                <c:pt idx="5">
                  <c:v> 12 </c:v>
                </c:pt>
              </c:strCache>
            </c:strRef>
          </c:cat>
          <c:val>
            <c:numRef>
              <c:extLst>
                <c:ext xmlns:c15="http://schemas.microsoft.com/office/drawing/2012/chart" uri="{02D57815-91ED-43cb-92C2-25804820EDAC}">
                  <c15:fullRef>
                    <c15:sqref>Outputs!$D$277:$P$277</c15:sqref>
                  </c15:fullRef>
                </c:ext>
              </c:extLst>
              <c:f>(Outputs!$D$277,Outputs!$H$277:$I$277,Outputs!$L$277,Outputs!$O$277:$P$277)</c:f>
              <c:numCache>
                <c:formatCode>_("$"* #,##0_);_("$"* \(#,##0\);_("$"* "-"??_);_(@_)</c:formatCode>
                <c:ptCount val="6"/>
                <c:pt idx="0">
                  <c:v>25.171573586538543</c:v>
                </c:pt>
                <c:pt idx="1">
                  <c:v>14.893408358155238</c:v>
                </c:pt>
                <c:pt idx="2">
                  <c:v>9.3065652495413822</c:v>
                </c:pt>
                <c:pt idx="3">
                  <c:v>21.352060476768454</c:v>
                </c:pt>
                <c:pt idx="4">
                  <c:v>0</c:v>
                </c:pt>
                <c:pt idx="5">
                  <c:v>3.7665644193154084</c:v>
                </c:pt>
              </c:numCache>
            </c:numRef>
          </c:val>
          <c:extLst>
            <c:ext xmlns:c16="http://schemas.microsoft.com/office/drawing/2014/chart" uri="{C3380CC4-5D6E-409C-BE32-E72D297353CC}">
              <c16:uniqueId val="{00000003-28F6-4C2E-9596-01C29E901C54}"/>
            </c:ext>
          </c:extLst>
        </c:ser>
        <c:dLbls>
          <c:showLegendKey val="0"/>
          <c:showVal val="0"/>
          <c:showCatName val="0"/>
          <c:showSerName val="0"/>
          <c:showPercent val="0"/>
          <c:showBubbleSize val="0"/>
        </c:dLbls>
        <c:gapWidth val="150"/>
        <c:overlap val="100"/>
        <c:axId val="875083768"/>
        <c:axId val="875080160"/>
      </c:barChart>
      <c:catAx>
        <c:axId val="875083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80160"/>
        <c:crosses val="autoZero"/>
        <c:auto val="1"/>
        <c:lblAlgn val="ctr"/>
        <c:lblOffset val="100"/>
        <c:noMultiLvlLbl val="0"/>
      </c:catAx>
      <c:valAx>
        <c:axId val="87508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Commodity Cost ($M USD 2045)</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83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stacked"/>
        <c:varyColors val="0"/>
        <c:ser>
          <c:idx val="0"/>
          <c:order val="0"/>
          <c:tx>
            <c:strRef>
              <c:f>Outputs!$B$282</c:f>
              <c:strCache>
                <c:ptCount val="1"/>
                <c:pt idx="0">
                  <c:v>Electricity</c:v>
                </c:pt>
              </c:strCache>
            </c:strRef>
          </c:tx>
          <c:spPr>
            <a:solidFill>
              <a:schemeClr val="accent4">
                <a:shade val="53000"/>
              </a:schemeClr>
            </a:solidFill>
            <a:ln>
              <a:noFill/>
            </a:ln>
            <a:effectLst/>
          </c:spPr>
          <c:invertIfNegative val="0"/>
          <c:cat>
            <c:strRef>
              <c:extLst>
                <c:ext xmlns:c15="http://schemas.microsoft.com/office/drawing/2012/chart" uri="{02D57815-91ED-43cb-92C2-25804820EDAC}">
                  <c15:fullRef>
                    <c15:sqref>Outputs!$D$273:$P$273</c15:sqref>
                  </c15:fullRef>
                </c:ext>
              </c:extLst>
              <c:f>(Outputs!$D$273,Outputs!$H$273:$I$273,Outputs!$L$273,Outputs!$O$273:$P$273)</c:f>
              <c:strCache>
                <c:ptCount val="6"/>
                <c:pt idx="0">
                  <c:v>0</c:v>
                </c:pt>
                <c:pt idx="1">
                  <c:v> 2 </c:v>
                </c:pt>
                <c:pt idx="2">
                  <c:v> 6 </c:v>
                </c:pt>
                <c:pt idx="3">
                  <c:v> 10a </c:v>
                </c:pt>
                <c:pt idx="4">
                  <c:v> 11c E </c:v>
                </c:pt>
                <c:pt idx="5">
                  <c:v> 12 </c:v>
                </c:pt>
              </c:strCache>
            </c:strRef>
          </c:cat>
          <c:val>
            <c:numRef>
              <c:extLst>
                <c:ext xmlns:c15="http://schemas.microsoft.com/office/drawing/2012/chart" uri="{02D57815-91ED-43cb-92C2-25804820EDAC}">
                  <c15:fullRef>
                    <c15:sqref>Outputs!$D$282:$P$282</c15:sqref>
                  </c15:fullRef>
                </c:ext>
              </c:extLst>
              <c:f>(Outputs!$D$282,Outputs!$H$282:$I$282,Outputs!$L$282,Outputs!$O$282:$P$282)</c:f>
              <c:numCache>
                <c:formatCode>_("$"* #,##0_);_("$"* \(#,##0\);_("$"* "-"??_);_(@_)</c:formatCode>
                <c:ptCount val="6"/>
                <c:pt idx="0">
                  <c:v>17.022268601189666</c:v>
                </c:pt>
                <c:pt idx="1">
                  <c:v>0</c:v>
                </c:pt>
                <c:pt idx="2">
                  <c:v>80.007201392865184</c:v>
                </c:pt>
                <c:pt idx="3">
                  <c:v>67.333695574107935</c:v>
                </c:pt>
                <c:pt idx="4">
                  <c:v>73.769517886771382</c:v>
                </c:pt>
                <c:pt idx="5">
                  <c:v>72.16417408315435</c:v>
                </c:pt>
              </c:numCache>
            </c:numRef>
          </c:val>
          <c:extLst>
            <c:ext xmlns:c16="http://schemas.microsoft.com/office/drawing/2014/chart" uri="{C3380CC4-5D6E-409C-BE32-E72D297353CC}">
              <c16:uniqueId val="{00000000-C11A-4F40-A2F0-D658C80FAFEA}"/>
            </c:ext>
          </c:extLst>
        </c:ser>
        <c:ser>
          <c:idx val="1"/>
          <c:order val="1"/>
          <c:tx>
            <c:strRef>
              <c:f>Outputs!$B$283</c:f>
              <c:strCache>
                <c:ptCount val="1"/>
                <c:pt idx="0">
                  <c:v>Natural gas</c:v>
                </c:pt>
              </c:strCache>
            </c:strRef>
          </c:tx>
          <c:spPr>
            <a:solidFill>
              <a:schemeClr val="accent4">
                <a:shade val="76000"/>
              </a:schemeClr>
            </a:solidFill>
            <a:ln>
              <a:noFill/>
            </a:ln>
            <a:effectLst/>
          </c:spPr>
          <c:invertIfNegative val="0"/>
          <c:cat>
            <c:strRef>
              <c:extLst>
                <c:ext xmlns:c15="http://schemas.microsoft.com/office/drawing/2012/chart" uri="{02D57815-91ED-43cb-92C2-25804820EDAC}">
                  <c15:fullRef>
                    <c15:sqref>Outputs!$D$273:$P$273</c15:sqref>
                  </c15:fullRef>
                </c:ext>
              </c:extLst>
              <c:f>(Outputs!$D$273,Outputs!$H$273:$I$273,Outputs!$L$273,Outputs!$O$273:$P$273)</c:f>
              <c:strCache>
                <c:ptCount val="6"/>
                <c:pt idx="0">
                  <c:v>0</c:v>
                </c:pt>
                <c:pt idx="1">
                  <c:v> 2 </c:v>
                </c:pt>
                <c:pt idx="2">
                  <c:v> 6 </c:v>
                </c:pt>
                <c:pt idx="3">
                  <c:v> 10a </c:v>
                </c:pt>
                <c:pt idx="4">
                  <c:v> 11c E </c:v>
                </c:pt>
                <c:pt idx="5">
                  <c:v> 12 </c:v>
                </c:pt>
              </c:strCache>
            </c:strRef>
          </c:cat>
          <c:val>
            <c:numRef>
              <c:extLst>
                <c:ext xmlns:c15="http://schemas.microsoft.com/office/drawing/2012/chart" uri="{02D57815-91ED-43cb-92C2-25804820EDAC}">
                  <c15:fullRef>
                    <c15:sqref>Outputs!$D$283:$P$283</c15:sqref>
                  </c15:fullRef>
                </c:ext>
              </c:extLst>
              <c:f>(Outputs!$D$283,Outputs!$H$283:$I$283,Outputs!$L$283,Outputs!$O$283:$P$283)</c:f>
              <c:numCache>
                <c:formatCode>_("$"* #,##0_);_("$"* \(#,##0\);_("$"* "-"??_);_(@_)</c:formatCode>
                <c:ptCount val="6"/>
                <c:pt idx="0">
                  <c:v>55.874025105762904</c:v>
                </c:pt>
                <c:pt idx="1">
                  <c:v>33.059302774736778</c:v>
                </c:pt>
                <c:pt idx="2">
                  <c:v>20.658035486481584</c:v>
                </c:pt>
                <c:pt idx="3">
                  <c:v>47.395748185435018</c:v>
                </c:pt>
                <c:pt idx="4">
                  <c:v>0</c:v>
                </c:pt>
                <c:pt idx="5">
                  <c:v>8.3607452749735991</c:v>
                </c:pt>
              </c:numCache>
            </c:numRef>
          </c:val>
          <c:extLst>
            <c:ext xmlns:c16="http://schemas.microsoft.com/office/drawing/2014/chart" uri="{C3380CC4-5D6E-409C-BE32-E72D297353CC}">
              <c16:uniqueId val="{00000001-C11A-4F40-A2F0-D658C80FAFEA}"/>
            </c:ext>
          </c:extLst>
        </c:ser>
        <c:ser>
          <c:idx val="2"/>
          <c:order val="2"/>
          <c:tx>
            <c:strRef>
              <c:f>Outputs!$B$284</c:f>
              <c:strCache>
                <c:ptCount val="1"/>
                <c:pt idx="0">
                  <c:v>Water</c:v>
                </c:pt>
              </c:strCache>
            </c:strRef>
          </c:tx>
          <c:spPr>
            <a:solidFill>
              <a:schemeClr val="accent4"/>
            </a:solidFill>
            <a:ln>
              <a:noFill/>
            </a:ln>
            <a:effectLst/>
          </c:spPr>
          <c:invertIfNegative val="0"/>
          <c:cat>
            <c:strRef>
              <c:extLst>
                <c:ext xmlns:c15="http://schemas.microsoft.com/office/drawing/2012/chart" uri="{02D57815-91ED-43cb-92C2-25804820EDAC}">
                  <c15:fullRef>
                    <c15:sqref>Outputs!$D$273:$P$273</c15:sqref>
                  </c15:fullRef>
                </c:ext>
              </c:extLst>
              <c:f>(Outputs!$D$273,Outputs!$H$273:$I$273,Outputs!$L$273,Outputs!$O$273:$P$273)</c:f>
              <c:strCache>
                <c:ptCount val="6"/>
                <c:pt idx="0">
                  <c:v>0</c:v>
                </c:pt>
                <c:pt idx="1">
                  <c:v> 2 </c:v>
                </c:pt>
                <c:pt idx="2">
                  <c:v> 6 </c:v>
                </c:pt>
                <c:pt idx="3">
                  <c:v> 10a </c:v>
                </c:pt>
                <c:pt idx="4">
                  <c:v> 11c E </c:v>
                </c:pt>
                <c:pt idx="5">
                  <c:v> 12 </c:v>
                </c:pt>
              </c:strCache>
            </c:strRef>
          </c:cat>
          <c:val>
            <c:numRef>
              <c:extLst>
                <c:ext xmlns:c15="http://schemas.microsoft.com/office/drawing/2012/chart" uri="{02D57815-91ED-43cb-92C2-25804820EDAC}">
                  <c15:fullRef>
                    <c15:sqref>Outputs!$D$284:$P$284</c15:sqref>
                  </c15:fullRef>
                </c:ext>
              </c:extLst>
              <c:f>(Outputs!$D$284,Outputs!$H$284:$I$284,Outputs!$L$284,Outputs!$O$284:$P$284)</c:f>
              <c:numCache>
                <c:formatCode>_("$"* #,##0_);_("$"* \(#,##0\);_("$"* "-"??_);_(@_)</c:formatCode>
                <c:ptCount val="6"/>
                <c:pt idx="0">
                  <c:v>14.537553349123103</c:v>
                </c:pt>
                <c:pt idx="1">
                  <c:v>11.701509393593463</c:v>
                </c:pt>
                <c:pt idx="2">
                  <c:v>11.699172236609837</c:v>
                </c:pt>
                <c:pt idx="3">
                  <c:v>14.537553349123103</c:v>
                </c:pt>
                <c:pt idx="4">
                  <c:v>8.2154621204970386</c:v>
                </c:pt>
                <c:pt idx="5">
                  <c:v>10.129760546091255</c:v>
                </c:pt>
              </c:numCache>
            </c:numRef>
          </c:val>
          <c:extLst>
            <c:ext xmlns:c16="http://schemas.microsoft.com/office/drawing/2014/chart" uri="{C3380CC4-5D6E-409C-BE32-E72D297353CC}">
              <c16:uniqueId val="{00000002-C11A-4F40-A2F0-D658C80FAFEA}"/>
            </c:ext>
          </c:extLst>
        </c:ser>
        <c:ser>
          <c:idx val="3"/>
          <c:order val="3"/>
          <c:tx>
            <c:strRef>
              <c:f>Outputs!$B$285</c:f>
              <c:strCache>
                <c:ptCount val="1"/>
                <c:pt idx="0">
                  <c:v>Carbon</c:v>
                </c:pt>
              </c:strCache>
            </c:strRef>
          </c:tx>
          <c:spPr>
            <a:solidFill>
              <a:schemeClr val="accent4">
                <a:tint val="77000"/>
              </a:schemeClr>
            </a:solidFill>
            <a:ln>
              <a:noFill/>
            </a:ln>
            <a:effectLst/>
          </c:spPr>
          <c:invertIfNegative val="0"/>
          <c:cat>
            <c:strRef>
              <c:extLst>
                <c:ext xmlns:c15="http://schemas.microsoft.com/office/drawing/2012/chart" uri="{02D57815-91ED-43cb-92C2-25804820EDAC}">
                  <c15:fullRef>
                    <c15:sqref>Outputs!$D$273:$P$273</c15:sqref>
                  </c15:fullRef>
                </c:ext>
              </c:extLst>
              <c:f>(Outputs!$D$273,Outputs!$H$273:$I$273,Outputs!$L$273,Outputs!$O$273:$P$273)</c:f>
              <c:strCache>
                <c:ptCount val="6"/>
                <c:pt idx="0">
                  <c:v>0</c:v>
                </c:pt>
                <c:pt idx="1">
                  <c:v> 2 </c:v>
                </c:pt>
                <c:pt idx="2">
                  <c:v> 6 </c:v>
                </c:pt>
                <c:pt idx="3">
                  <c:v> 10a </c:v>
                </c:pt>
                <c:pt idx="4">
                  <c:v> 11c E </c:v>
                </c:pt>
                <c:pt idx="5">
                  <c:v> 12 </c:v>
                </c:pt>
              </c:strCache>
            </c:strRef>
          </c:cat>
          <c:val>
            <c:numRef>
              <c:extLst>
                <c:ext xmlns:c15="http://schemas.microsoft.com/office/drawing/2012/chart" uri="{02D57815-91ED-43cb-92C2-25804820EDAC}">
                  <c15:fullRef>
                    <c15:sqref>Outputs!$D$285:$P$285</c15:sqref>
                  </c15:fullRef>
                </c:ext>
              </c:extLst>
              <c:f>(Outputs!$D$285,Outputs!$H$285:$I$285,Outputs!$L$285,Outputs!$O$285:$P$285)</c:f>
              <c:numCache>
                <c:formatCode>_("$"* #,##0_);_("$"* \(#,##0\);_("$"* "-"??_);_(@_)</c:formatCode>
                <c:ptCount val="6"/>
                <c:pt idx="0">
                  <c:v>25.171573586538543</c:v>
                </c:pt>
                <c:pt idx="1">
                  <c:v>14.893408358155238</c:v>
                </c:pt>
                <c:pt idx="2">
                  <c:v>9.3065652495413822</c:v>
                </c:pt>
                <c:pt idx="3">
                  <c:v>21.352060476768454</c:v>
                </c:pt>
                <c:pt idx="4">
                  <c:v>0</c:v>
                </c:pt>
                <c:pt idx="5">
                  <c:v>3.7665644193154084</c:v>
                </c:pt>
              </c:numCache>
            </c:numRef>
          </c:val>
          <c:extLst>
            <c:ext xmlns:c16="http://schemas.microsoft.com/office/drawing/2014/chart" uri="{C3380CC4-5D6E-409C-BE32-E72D297353CC}">
              <c16:uniqueId val="{00000003-C11A-4F40-A2F0-D658C80FAFEA}"/>
            </c:ext>
          </c:extLst>
        </c:ser>
        <c:ser>
          <c:idx val="4"/>
          <c:order val="4"/>
          <c:tx>
            <c:strRef>
              <c:f>Outputs!$B$286</c:f>
              <c:strCache>
                <c:ptCount val="1"/>
                <c:pt idx="0">
                  <c:v>O&amp;M</c:v>
                </c:pt>
              </c:strCache>
            </c:strRef>
          </c:tx>
          <c:spPr>
            <a:solidFill>
              <a:schemeClr val="accent4">
                <a:tint val="54000"/>
              </a:schemeClr>
            </a:solidFill>
            <a:ln>
              <a:noFill/>
            </a:ln>
            <a:effectLst/>
          </c:spPr>
          <c:invertIfNegative val="0"/>
          <c:cat>
            <c:strRef>
              <c:extLst>
                <c:ext xmlns:c15="http://schemas.microsoft.com/office/drawing/2012/chart" uri="{02D57815-91ED-43cb-92C2-25804820EDAC}">
                  <c15:fullRef>
                    <c15:sqref>Outputs!$D$273:$P$273</c15:sqref>
                  </c15:fullRef>
                </c:ext>
              </c:extLst>
              <c:f>(Outputs!$D$273,Outputs!$H$273:$I$273,Outputs!$L$273,Outputs!$O$273:$P$273)</c:f>
              <c:strCache>
                <c:ptCount val="6"/>
                <c:pt idx="0">
                  <c:v>0</c:v>
                </c:pt>
                <c:pt idx="1">
                  <c:v> 2 </c:v>
                </c:pt>
                <c:pt idx="2">
                  <c:v> 6 </c:v>
                </c:pt>
                <c:pt idx="3">
                  <c:v> 10a </c:v>
                </c:pt>
                <c:pt idx="4">
                  <c:v> 11c E </c:v>
                </c:pt>
                <c:pt idx="5">
                  <c:v> 12 </c:v>
                </c:pt>
              </c:strCache>
            </c:strRef>
          </c:cat>
          <c:val>
            <c:numRef>
              <c:extLst>
                <c:ext xmlns:c15="http://schemas.microsoft.com/office/drawing/2012/chart" uri="{02D57815-91ED-43cb-92C2-25804820EDAC}">
                  <c15:fullRef>
                    <c15:sqref>Outputs!$D$286:$P$286</c15:sqref>
                  </c15:fullRef>
                </c:ext>
              </c:extLst>
              <c:f>(Outputs!$D$286,Outputs!$H$286:$I$286,Outputs!$L$286,Outputs!$O$286:$P$286)</c:f>
              <c:numCache>
                <c:formatCode>_("$"* #,##0_);_("$"* \(#,##0\);_("$"* "-"??_);_(@_)</c:formatCode>
                <c:ptCount val="6"/>
                <c:pt idx="0">
                  <c:v>15.273</c:v>
                </c:pt>
                <c:pt idx="1">
                  <c:v>20.138100000000001</c:v>
                </c:pt>
                <c:pt idx="2">
                  <c:v>13.274900000000001</c:v>
                </c:pt>
                <c:pt idx="3">
                  <c:v>9.0667000000000009</c:v>
                </c:pt>
                <c:pt idx="4">
                  <c:v>17.14</c:v>
                </c:pt>
                <c:pt idx="5">
                  <c:v>28.554600000000001</c:v>
                </c:pt>
              </c:numCache>
            </c:numRef>
          </c:val>
          <c:extLst>
            <c:ext xmlns:c16="http://schemas.microsoft.com/office/drawing/2014/chart" uri="{C3380CC4-5D6E-409C-BE32-E72D297353CC}">
              <c16:uniqueId val="{00000004-C11A-4F40-A2F0-D658C80FAFEA}"/>
            </c:ext>
          </c:extLst>
        </c:ser>
        <c:dLbls>
          <c:showLegendKey val="0"/>
          <c:showVal val="0"/>
          <c:showCatName val="0"/>
          <c:showSerName val="0"/>
          <c:showPercent val="0"/>
          <c:showBubbleSize val="0"/>
        </c:dLbls>
        <c:gapWidth val="150"/>
        <c:overlap val="100"/>
        <c:axId val="875083768"/>
        <c:axId val="875080160"/>
      </c:barChart>
      <c:catAx>
        <c:axId val="875083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80160"/>
        <c:crosses val="autoZero"/>
        <c:auto val="1"/>
        <c:lblAlgn val="ctr"/>
        <c:lblOffset val="100"/>
        <c:noMultiLvlLbl val="0"/>
      </c:catAx>
      <c:valAx>
        <c:axId val="87508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Operating Cost ($M USD 2045)</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83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Outputs!$B$330</c:f>
              <c:strCache>
                <c:ptCount val="1"/>
                <c:pt idx="0">
                  <c:v>Operating cost</c:v>
                </c:pt>
              </c:strCache>
            </c:strRef>
          </c:tx>
          <c:spPr>
            <a:solidFill>
              <a:schemeClr val="accent1"/>
            </a:solidFill>
            <a:ln>
              <a:noFill/>
            </a:ln>
            <a:effectLst/>
          </c:spPr>
          <c:invertIfNegative val="0"/>
          <c:cat>
            <c:strRef>
              <c:extLst>
                <c:ext xmlns:c15="http://schemas.microsoft.com/office/drawing/2012/chart" uri="{02D57815-91ED-43cb-92C2-25804820EDAC}">
                  <c15:fullRef>
                    <c15:sqref>Outputs!$D$324:$M$324</c15:sqref>
                  </c15:fullRef>
                </c:ext>
              </c:extLst>
              <c:f>(Outputs!$D$324,Outputs!$G$324:$H$324,Outputs!$J$324,Outputs!$L$324:$M$324)</c:f>
              <c:strCache>
                <c:ptCount val="6"/>
                <c:pt idx="0">
                  <c:v>0</c:v>
                </c:pt>
                <c:pt idx="1">
                  <c:v>2</c:v>
                </c:pt>
                <c:pt idx="2">
                  <c:v>6</c:v>
                </c:pt>
                <c:pt idx="3">
                  <c:v>10a</c:v>
                </c:pt>
                <c:pt idx="4">
                  <c:v>11c E</c:v>
                </c:pt>
                <c:pt idx="5">
                  <c:v>12</c:v>
                </c:pt>
              </c:strCache>
            </c:strRef>
          </c:cat>
          <c:val>
            <c:numRef>
              <c:extLst>
                <c:ext xmlns:c15="http://schemas.microsoft.com/office/drawing/2012/chart" uri="{02D57815-91ED-43cb-92C2-25804820EDAC}">
                  <c15:fullRef>
                    <c15:sqref>Outputs!$D$330:$M$330</c15:sqref>
                  </c15:fullRef>
                </c:ext>
              </c:extLst>
              <c:f>(Outputs!$D$330,Outputs!$G$330:$H$330,Outputs!$J$330,Outputs!$L$330:$M$330)</c:f>
              <c:numCache>
                <c:formatCode>_("$"* #,##0_);_("$"* \(#,##0\);_("$"* "-"??_);_(@_)</c:formatCode>
                <c:ptCount val="6"/>
                <c:pt idx="0" formatCode="_(* #,##0_);_(* \(#,##0\);_(* &quot;-&quot;??_);_(@_)">
                  <c:v>0</c:v>
                </c:pt>
                <c:pt idx="1">
                  <c:v>-48.086100116128748</c:v>
                </c:pt>
                <c:pt idx="2">
                  <c:v>7.0674537228837693</c:v>
                </c:pt>
                <c:pt idx="3">
                  <c:v>31.807336942820299</c:v>
                </c:pt>
                <c:pt idx="4">
                  <c:v>-28.753440635345797</c:v>
                </c:pt>
                <c:pt idx="5">
                  <c:v>-4.9025763190796141</c:v>
                </c:pt>
              </c:numCache>
            </c:numRef>
          </c:val>
          <c:extLst>
            <c:ext xmlns:c16="http://schemas.microsoft.com/office/drawing/2014/chart" uri="{C3380CC4-5D6E-409C-BE32-E72D297353CC}">
              <c16:uniqueId val="{00000000-05FE-49F7-AB68-331DB93E1400}"/>
            </c:ext>
          </c:extLst>
        </c:ser>
        <c:dLbls>
          <c:showLegendKey val="0"/>
          <c:showVal val="0"/>
          <c:showCatName val="0"/>
          <c:showSerName val="0"/>
          <c:showPercent val="0"/>
          <c:showBubbleSize val="0"/>
        </c:dLbls>
        <c:gapWidth val="219"/>
        <c:overlap val="-27"/>
        <c:axId val="964237488"/>
        <c:axId val="964237816"/>
      </c:barChart>
      <c:catAx>
        <c:axId val="96423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964237816"/>
        <c:crosses val="autoZero"/>
        <c:auto val="1"/>
        <c:lblAlgn val="ctr"/>
        <c:lblOffset val="100"/>
        <c:noMultiLvlLbl val="0"/>
      </c:catAx>
      <c:valAx>
        <c:axId val="964237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Relative Annual Operating Cost vs BAU ($M USD 2045)</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96423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Outputs!$B$331</c:f>
              <c:strCache>
                <c:ptCount val="1"/>
                <c:pt idx="0">
                  <c:v>Capital cost</c:v>
                </c:pt>
              </c:strCache>
            </c:strRef>
          </c:tx>
          <c:spPr>
            <a:solidFill>
              <a:schemeClr val="accent1"/>
            </a:solidFill>
            <a:ln>
              <a:noFill/>
            </a:ln>
            <a:effectLst/>
          </c:spPr>
          <c:invertIfNegative val="0"/>
          <c:cat>
            <c:strRef>
              <c:extLst>
                <c:ext xmlns:c15="http://schemas.microsoft.com/office/drawing/2012/chart" uri="{02D57815-91ED-43cb-92C2-25804820EDAC}">
                  <c15:fullRef>
                    <c15:sqref>Outputs!$D$324:$M$324</c15:sqref>
                  </c15:fullRef>
                </c:ext>
              </c:extLst>
              <c:f>(Outputs!$D$324,Outputs!$G$324:$H$324,Outputs!$J$324,Outputs!$L$324:$M$324)</c:f>
              <c:strCache>
                <c:ptCount val="6"/>
                <c:pt idx="0">
                  <c:v>0</c:v>
                </c:pt>
                <c:pt idx="1">
                  <c:v>2</c:v>
                </c:pt>
                <c:pt idx="2">
                  <c:v>6</c:v>
                </c:pt>
                <c:pt idx="3">
                  <c:v>10a</c:v>
                </c:pt>
                <c:pt idx="4">
                  <c:v>11c E</c:v>
                </c:pt>
                <c:pt idx="5">
                  <c:v>12</c:v>
                </c:pt>
              </c:strCache>
            </c:strRef>
          </c:cat>
          <c:val>
            <c:numRef>
              <c:extLst>
                <c:ext xmlns:c15="http://schemas.microsoft.com/office/drawing/2012/chart" uri="{02D57815-91ED-43cb-92C2-25804820EDAC}">
                  <c15:fullRef>
                    <c15:sqref>Outputs!$D$331:$M$331</c15:sqref>
                  </c15:fullRef>
                </c:ext>
              </c:extLst>
              <c:f>(Outputs!$D$331,Outputs!$G$331:$H$331,Outputs!$J$331,Outputs!$L$331:$M$331)</c:f>
              <c:numCache>
                <c:formatCode>_("$"* #,##0_);_("$"* \(#,##0\);_("$"* "-"??_);_(@_)</c:formatCode>
                <c:ptCount val="6"/>
                <c:pt idx="0">
                  <c:v>0</c:v>
                </c:pt>
                <c:pt idx="1">
                  <c:v>118</c:v>
                </c:pt>
                <c:pt idx="2">
                  <c:v>59</c:v>
                </c:pt>
                <c:pt idx="3">
                  <c:v>-17</c:v>
                </c:pt>
                <c:pt idx="4">
                  <c:v>198</c:v>
                </c:pt>
                <c:pt idx="5">
                  <c:v>141</c:v>
                </c:pt>
              </c:numCache>
            </c:numRef>
          </c:val>
          <c:extLst>
            <c:ext xmlns:c16="http://schemas.microsoft.com/office/drawing/2014/chart" uri="{C3380CC4-5D6E-409C-BE32-E72D297353CC}">
              <c16:uniqueId val="{00000000-A45B-489F-9398-3C53D32E734D}"/>
            </c:ext>
          </c:extLst>
        </c:ser>
        <c:dLbls>
          <c:showLegendKey val="0"/>
          <c:showVal val="0"/>
          <c:showCatName val="0"/>
          <c:showSerName val="0"/>
          <c:showPercent val="0"/>
          <c:showBubbleSize val="0"/>
        </c:dLbls>
        <c:gapWidth val="219"/>
        <c:overlap val="-27"/>
        <c:axId val="964237488"/>
        <c:axId val="964237816"/>
      </c:barChart>
      <c:catAx>
        <c:axId val="96423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964237816"/>
        <c:crosses val="autoZero"/>
        <c:auto val="1"/>
        <c:lblAlgn val="ctr"/>
        <c:lblOffset val="100"/>
        <c:noMultiLvlLbl val="0"/>
      </c:catAx>
      <c:valAx>
        <c:axId val="964237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Relative Capital Cost vs BAU ($M 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96423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Outputs!$B$329</c:f>
              <c:strCache>
                <c:ptCount val="1"/>
                <c:pt idx="0">
                  <c:v>Commodities cost</c:v>
                </c:pt>
              </c:strCache>
            </c:strRef>
          </c:tx>
          <c:spPr>
            <a:solidFill>
              <a:schemeClr val="accent1"/>
            </a:solidFill>
            <a:ln>
              <a:noFill/>
            </a:ln>
            <a:effectLst/>
          </c:spPr>
          <c:invertIfNegative val="0"/>
          <c:cat>
            <c:strRef>
              <c:extLst>
                <c:ext xmlns:c15="http://schemas.microsoft.com/office/drawing/2012/chart" uri="{02D57815-91ED-43cb-92C2-25804820EDAC}">
                  <c15:fullRef>
                    <c15:sqref>Outputs!$D$324:$M$324</c15:sqref>
                  </c15:fullRef>
                </c:ext>
              </c:extLst>
              <c:f>(Outputs!$D$324,Outputs!$G$324:$H$324,Outputs!$J$324,Outputs!$L$324:$M$324)</c:f>
              <c:strCache>
                <c:ptCount val="6"/>
                <c:pt idx="0">
                  <c:v>0</c:v>
                </c:pt>
                <c:pt idx="1">
                  <c:v>2</c:v>
                </c:pt>
                <c:pt idx="2">
                  <c:v>6</c:v>
                </c:pt>
                <c:pt idx="3">
                  <c:v>10a</c:v>
                </c:pt>
                <c:pt idx="4">
                  <c:v>11c E</c:v>
                </c:pt>
                <c:pt idx="5">
                  <c:v>12</c:v>
                </c:pt>
              </c:strCache>
            </c:strRef>
          </c:cat>
          <c:val>
            <c:numRef>
              <c:extLst>
                <c:ext xmlns:c15="http://schemas.microsoft.com/office/drawing/2012/chart" uri="{02D57815-91ED-43cb-92C2-25804820EDAC}">
                  <c15:fullRef>
                    <c15:sqref>Outputs!$D$329:$M$329</c15:sqref>
                  </c15:fullRef>
                </c:ext>
              </c:extLst>
              <c:f>(Outputs!$D$329,Outputs!$G$329:$H$329,Outputs!$J$329,Outputs!$L$329:$M$329)</c:f>
              <c:numCache>
                <c:formatCode>_("$"* #,##0_);_("$"* \(#,##0\);_("$"* "-"??_);_(@_)</c:formatCode>
                <c:ptCount val="6"/>
                <c:pt idx="0" formatCode="_(* #,##0_);_(* \(#,##0\);_(* &quot;-&quot;??_);_(@_)">
                  <c:v>0</c:v>
                </c:pt>
                <c:pt idx="1">
                  <c:v>-52.951200116128739</c:v>
                </c:pt>
                <c:pt idx="2">
                  <c:v>9.065553722883763</c:v>
                </c:pt>
                <c:pt idx="3">
                  <c:v>38.01363694282027</c:v>
                </c:pt>
                <c:pt idx="4">
                  <c:v>-30.620440635345801</c:v>
                </c:pt>
                <c:pt idx="5">
                  <c:v>-18.184176319079597</c:v>
                </c:pt>
              </c:numCache>
            </c:numRef>
          </c:val>
          <c:extLst>
            <c:ext xmlns:c16="http://schemas.microsoft.com/office/drawing/2014/chart" uri="{C3380CC4-5D6E-409C-BE32-E72D297353CC}">
              <c16:uniqueId val="{00000000-C56E-45CB-A825-F9E7FE5BFB55}"/>
            </c:ext>
          </c:extLst>
        </c:ser>
        <c:dLbls>
          <c:showLegendKey val="0"/>
          <c:showVal val="0"/>
          <c:showCatName val="0"/>
          <c:showSerName val="0"/>
          <c:showPercent val="0"/>
          <c:showBubbleSize val="0"/>
        </c:dLbls>
        <c:gapWidth val="219"/>
        <c:overlap val="-27"/>
        <c:axId val="964237488"/>
        <c:axId val="964237816"/>
      </c:barChart>
      <c:catAx>
        <c:axId val="96423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964237816"/>
        <c:crosses val="autoZero"/>
        <c:auto val="1"/>
        <c:lblAlgn val="ctr"/>
        <c:lblOffset val="100"/>
        <c:noMultiLvlLbl val="0"/>
      </c:catAx>
      <c:valAx>
        <c:axId val="964237816"/>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Relative Commodities Cost vs BAU ($M 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96423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Outputs!$B$12</c:f>
              <c:strCache>
                <c:ptCount val="1"/>
                <c:pt idx="0">
                  <c:v>Option 0</c:v>
                </c:pt>
              </c:strCache>
            </c:strRef>
          </c:tx>
          <c:spPr>
            <a:ln w="19050" cap="rnd">
              <a:solidFill>
                <a:schemeClr val="accent1"/>
              </a:solidFill>
              <a:round/>
            </a:ln>
            <a:effectLst/>
          </c:spPr>
          <c:marker>
            <c:symbol val="none"/>
          </c:marker>
          <c:xVal>
            <c:numRef>
              <c:f>Outputs!$D$14:$AG$14</c:f>
            </c:numRef>
          </c:xVal>
          <c:yVal>
            <c:numRef>
              <c:f>Outputs!$D$16:$AG$16</c:f>
            </c:numRef>
          </c:yVal>
          <c:smooth val="0"/>
          <c:extLst>
            <c:ext xmlns:c16="http://schemas.microsoft.com/office/drawing/2014/chart" uri="{C3380CC4-5D6E-409C-BE32-E72D297353CC}">
              <c16:uniqueId val="{00000000-87B8-4C91-ACFF-DDF66FDAD882}"/>
            </c:ext>
          </c:extLst>
        </c:ser>
        <c:ser>
          <c:idx val="1"/>
          <c:order val="1"/>
          <c:tx>
            <c:strRef>
              <c:f>Outputs!$B$21</c:f>
              <c:strCache>
                <c:ptCount val="1"/>
                <c:pt idx="0">
                  <c:v>Option 1A</c:v>
                </c:pt>
              </c:strCache>
            </c:strRef>
          </c:tx>
          <c:spPr>
            <a:ln w="19050" cap="rnd">
              <a:solidFill>
                <a:schemeClr val="accent2"/>
              </a:solidFill>
              <a:round/>
            </a:ln>
            <a:effectLst/>
          </c:spPr>
          <c:marker>
            <c:symbol val="none"/>
          </c:marker>
          <c:xVal>
            <c:numRef>
              <c:f>Outputs!$D$14:$AG$14</c:f>
            </c:numRef>
          </c:xVal>
          <c:yVal>
            <c:numRef>
              <c:f>Outputs!$D$25:$AG$25</c:f>
            </c:numRef>
          </c:yVal>
          <c:smooth val="0"/>
          <c:extLst>
            <c:ext xmlns:c16="http://schemas.microsoft.com/office/drawing/2014/chart" uri="{C3380CC4-5D6E-409C-BE32-E72D297353CC}">
              <c16:uniqueId val="{00000001-87B8-4C91-ACFF-DDF66FDAD882}"/>
            </c:ext>
          </c:extLst>
        </c:ser>
        <c:ser>
          <c:idx val="2"/>
          <c:order val="2"/>
          <c:tx>
            <c:strRef>
              <c:f>Outputs!$B$30</c:f>
              <c:strCache>
                <c:ptCount val="1"/>
                <c:pt idx="0">
                  <c:v>Option 1B</c:v>
                </c:pt>
              </c:strCache>
              <c:extLst xmlns:c15="http://schemas.microsoft.com/office/drawing/2012/chart"/>
            </c:strRef>
          </c:tx>
          <c:spPr>
            <a:ln w="19050" cap="rnd">
              <a:solidFill>
                <a:schemeClr val="accent3"/>
              </a:solidFill>
              <a:round/>
            </a:ln>
            <a:effectLst/>
          </c:spPr>
          <c:marker>
            <c:symbol val="none"/>
          </c:marker>
          <c:xVal>
            <c:numRef>
              <c:f>Outputs!$D$14:$AG$14</c:f>
              <c:extLst xmlns:c15="http://schemas.microsoft.com/office/drawing/2012/chart"/>
            </c:numRef>
          </c:xVal>
          <c:yVal>
            <c:numRef>
              <c:f>Outputs!$D$34:$AG$34</c:f>
              <c:extLst xmlns:c15="http://schemas.microsoft.com/office/drawing/2012/chart"/>
            </c:numRef>
          </c:yVal>
          <c:smooth val="0"/>
          <c:extLst xmlns:c15="http://schemas.microsoft.com/office/drawing/2012/chart">
            <c:ext xmlns:c16="http://schemas.microsoft.com/office/drawing/2014/chart" uri="{C3380CC4-5D6E-409C-BE32-E72D297353CC}">
              <c16:uniqueId val="{00000002-87B8-4C91-ACFF-DDF66FDAD882}"/>
            </c:ext>
          </c:extLst>
        </c:ser>
        <c:ser>
          <c:idx val="3"/>
          <c:order val="3"/>
          <c:tx>
            <c:strRef>
              <c:f>Outputs!$B$39</c:f>
              <c:strCache>
                <c:ptCount val="1"/>
                <c:pt idx="0">
                  <c:v>Option 1C</c:v>
                </c:pt>
              </c:strCache>
            </c:strRef>
          </c:tx>
          <c:spPr>
            <a:ln w="19050" cap="rnd">
              <a:solidFill>
                <a:schemeClr val="accent4"/>
              </a:solidFill>
              <a:round/>
            </a:ln>
            <a:effectLst/>
          </c:spPr>
          <c:marker>
            <c:symbol val="none"/>
          </c:marker>
          <c:xVal>
            <c:numRef>
              <c:f>Outputs!$D$14:$AG$14</c:f>
            </c:numRef>
          </c:xVal>
          <c:yVal>
            <c:numRef>
              <c:f>Outputs!$D$43:$AG$43</c:f>
            </c:numRef>
          </c:yVal>
          <c:smooth val="0"/>
          <c:extLst>
            <c:ext xmlns:c16="http://schemas.microsoft.com/office/drawing/2014/chart" uri="{C3380CC4-5D6E-409C-BE32-E72D297353CC}">
              <c16:uniqueId val="{00000003-87B8-4C91-ACFF-DDF66FDAD882}"/>
            </c:ext>
          </c:extLst>
        </c:ser>
        <c:ser>
          <c:idx val="4"/>
          <c:order val="4"/>
          <c:tx>
            <c:strRef>
              <c:f>Outputs!$B$48</c:f>
              <c:strCache>
                <c:ptCount val="1"/>
                <c:pt idx="0">
                  <c:v>Option 2</c:v>
                </c:pt>
              </c:strCache>
            </c:strRef>
          </c:tx>
          <c:spPr>
            <a:ln w="19050" cap="rnd">
              <a:solidFill>
                <a:schemeClr val="accent5"/>
              </a:solidFill>
              <a:round/>
            </a:ln>
            <a:effectLst/>
          </c:spPr>
          <c:marker>
            <c:symbol val="none"/>
          </c:marker>
          <c:xVal>
            <c:numRef>
              <c:f>Outputs!$D$14:$AG$14</c:f>
            </c:numRef>
          </c:xVal>
          <c:yVal>
            <c:numRef>
              <c:f>Outputs!$D$52:$AG$52</c:f>
            </c:numRef>
          </c:yVal>
          <c:smooth val="0"/>
          <c:extLst>
            <c:ext xmlns:c16="http://schemas.microsoft.com/office/drawing/2014/chart" uri="{C3380CC4-5D6E-409C-BE32-E72D297353CC}">
              <c16:uniqueId val="{00000004-87B8-4C91-ACFF-DDF66FDAD882}"/>
            </c:ext>
          </c:extLst>
        </c:ser>
        <c:ser>
          <c:idx val="10"/>
          <c:order val="5"/>
          <c:tx>
            <c:strRef>
              <c:f>Outputs!$B$57</c:f>
              <c:strCache>
                <c:ptCount val="1"/>
                <c:pt idx="0">
                  <c:v>Option 6</c:v>
                </c:pt>
              </c:strCache>
              <c:extLst xmlns:c15="http://schemas.microsoft.com/office/drawing/2012/chart"/>
            </c:strRef>
          </c:tx>
          <c:spPr>
            <a:ln w="19050" cap="rnd">
              <a:solidFill>
                <a:schemeClr val="accent5">
                  <a:lumMod val="60000"/>
                </a:schemeClr>
              </a:solidFill>
              <a:round/>
            </a:ln>
            <a:effectLst/>
          </c:spPr>
          <c:marker>
            <c:symbol val="none"/>
          </c:marker>
          <c:xVal>
            <c:numRef>
              <c:f>Outputs!$D$59:$AG$59</c:f>
              <c:extLst xmlns:c15="http://schemas.microsoft.com/office/drawing/2012/chart"/>
            </c:numRef>
          </c:xVal>
          <c:yVal>
            <c:numRef>
              <c:f>Outputs!$D$61:$AG$61</c:f>
              <c:extLst xmlns:c15="http://schemas.microsoft.com/office/drawing/2012/chart"/>
            </c:numRef>
          </c:yVal>
          <c:smooth val="0"/>
          <c:extLst xmlns:c15="http://schemas.microsoft.com/office/drawing/2012/chart">
            <c:ext xmlns:c16="http://schemas.microsoft.com/office/drawing/2014/chart" uri="{C3380CC4-5D6E-409C-BE32-E72D297353CC}">
              <c16:uniqueId val="{00000000-08CC-4430-9EAE-89FB1D07BE19}"/>
            </c:ext>
          </c:extLst>
        </c:ser>
        <c:ser>
          <c:idx val="5"/>
          <c:order val="6"/>
          <c:tx>
            <c:strRef>
              <c:f>Outputs!$B$66</c:f>
              <c:strCache>
                <c:ptCount val="1"/>
                <c:pt idx="0">
                  <c:v>Option 8A</c:v>
                </c:pt>
              </c:strCache>
              <c:extLst xmlns:c15="http://schemas.microsoft.com/office/drawing/2012/chart"/>
            </c:strRef>
          </c:tx>
          <c:spPr>
            <a:ln w="19050" cap="rnd">
              <a:solidFill>
                <a:schemeClr val="accent6"/>
              </a:solidFill>
              <a:round/>
            </a:ln>
            <a:effectLst/>
          </c:spPr>
          <c:marker>
            <c:symbol val="none"/>
          </c:marker>
          <c:xVal>
            <c:numRef>
              <c:f>Outputs!$D$14:$AG$14</c:f>
              <c:extLst xmlns:c15="http://schemas.microsoft.com/office/drawing/2012/chart"/>
            </c:numRef>
          </c:xVal>
          <c:yVal>
            <c:numRef>
              <c:f>Outputs!$D$70:$AG$70</c:f>
              <c:extLst xmlns:c15="http://schemas.microsoft.com/office/drawing/2012/chart"/>
            </c:numRef>
          </c:yVal>
          <c:smooth val="0"/>
          <c:extLst xmlns:c15="http://schemas.microsoft.com/office/drawing/2012/chart">
            <c:ext xmlns:c16="http://schemas.microsoft.com/office/drawing/2014/chart" uri="{C3380CC4-5D6E-409C-BE32-E72D297353CC}">
              <c16:uniqueId val="{00000005-87B8-4C91-ACFF-DDF66FDAD882}"/>
            </c:ext>
          </c:extLst>
        </c:ser>
        <c:ser>
          <c:idx val="6"/>
          <c:order val="7"/>
          <c:tx>
            <c:strRef>
              <c:f>Outputs!$B$75</c:f>
              <c:strCache>
                <c:ptCount val="1"/>
                <c:pt idx="0">
                  <c:v>Option 8B</c:v>
                </c:pt>
              </c:strCache>
            </c:strRef>
          </c:tx>
          <c:spPr>
            <a:ln w="19050" cap="rnd">
              <a:solidFill>
                <a:schemeClr val="accent1">
                  <a:lumMod val="60000"/>
                </a:schemeClr>
              </a:solidFill>
              <a:round/>
            </a:ln>
            <a:effectLst/>
          </c:spPr>
          <c:marker>
            <c:symbol val="none"/>
          </c:marker>
          <c:xVal>
            <c:numRef>
              <c:f>Outputs!$D$14:$AG$14</c:f>
            </c:numRef>
          </c:xVal>
          <c:yVal>
            <c:numRef>
              <c:f>Outputs!$D$79:$AG$79</c:f>
            </c:numRef>
          </c:yVal>
          <c:smooth val="0"/>
          <c:extLst>
            <c:ext xmlns:c16="http://schemas.microsoft.com/office/drawing/2014/chart" uri="{C3380CC4-5D6E-409C-BE32-E72D297353CC}">
              <c16:uniqueId val="{00000006-87B8-4C91-ACFF-DDF66FDAD882}"/>
            </c:ext>
          </c:extLst>
        </c:ser>
        <c:ser>
          <c:idx val="11"/>
          <c:order val="8"/>
          <c:tx>
            <c:strRef>
              <c:f>Outputs!$B$84</c:f>
              <c:strCache>
                <c:ptCount val="1"/>
                <c:pt idx="0">
                  <c:v>Option 10A</c:v>
                </c:pt>
              </c:strCache>
              <c:extLst xmlns:c15="http://schemas.microsoft.com/office/drawing/2012/chart"/>
            </c:strRef>
          </c:tx>
          <c:spPr>
            <a:ln w="19050" cap="rnd">
              <a:solidFill>
                <a:schemeClr val="accent6">
                  <a:lumMod val="60000"/>
                </a:schemeClr>
              </a:solidFill>
              <a:round/>
            </a:ln>
            <a:effectLst/>
          </c:spPr>
          <c:marker>
            <c:symbol val="none"/>
          </c:marker>
          <c:xVal>
            <c:numRef>
              <c:f>Outputs!$D$86:$AG$86</c:f>
              <c:extLst xmlns:c15="http://schemas.microsoft.com/office/drawing/2012/chart"/>
            </c:numRef>
          </c:xVal>
          <c:yVal>
            <c:numRef>
              <c:f>Outputs!$D$88:$AG$88</c:f>
              <c:extLst xmlns:c15="http://schemas.microsoft.com/office/drawing/2012/chart"/>
            </c:numRef>
          </c:yVal>
          <c:smooth val="0"/>
          <c:extLst xmlns:c15="http://schemas.microsoft.com/office/drawing/2012/chart">
            <c:ext xmlns:c16="http://schemas.microsoft.com/office/drawing/2014/chart" uri="{C3380CC4-5D6E-409C-BE32-E72D297353CC}">
              <c16:uniqueId val="{00000001-08CC-4430-9EAE-89FB1D07BE19}"/>
            </c:ext>
          </c:extLst>
        </c:ser>
        <c:ser>
          <c:idx val="7"/>
          <c:order val="9"/>
          <c:tx>
            <c:strRef>
              <c:f>Outputs!$B$93</c:f>
              <c:strCache>
                <c:ptCount val="1"/>
                <c:pt idx="0">
                  <c:v>Option 11A</c:v>
                </c:pt>
              </c:strCache>
            </c:strRef>
          </c:tx>
          <c:spPr>
            <a:ln w="19050" cap="rnd">
              <a:solidFill>
                <a:schemeClr val="accent2">
                  <a:lumMod val="60000"/>
                </a:schemeClr>
              </a:solidFill>
              <a:round/>
            </a:ln>
            <a:effectLst/>
          </c:spPr>
          <c:marker>
            <c:symbol val="none"/>
          </c:marker>
          <c:xVal>
            <c:numRef>
              <c:f>Outputs!$D$14:$AG$14</c:f>
            </c:numRef>
          </c:xVal>
          <c:yVal>
            <c:numRef>
              <c:f>Outputs!$D$97:$AG$97</c:f>
            </c:numRef>
          </c:yVal>
          <c:smooth val="0"/>
          <c:extLst>
            <c:ext xmlns:c16="http://schemas.microsoft.com/office/drawing/2014/chart" uri="{C3380CC4-5D6E-409C-BE32-E72D297353CC}">
              <c16:uniqueId val="{00000007-87B8-4C91-ACFF-DDF66FDAD882}"/>
            </c:ext>
          </c:extLst>
        </c:ser>
        <c:ser>
          <c:idx val="8"/>
          <c:order val="10"/>
          <c:tx>
            <c:strRef>
              <c:f>Outputs!$B$102</c:f>
              <c:strCache>
                <c:ptCount val="1"/>
                <c:pt idx="0">
                  <c:v>Option 11B</c:v>
                </c:pt>
              </c:strCache>
              <c:extLst xmlns:c15="http://schemas.microsoft.com/office/drawing/2012/chart"/>
            </c:strRef>
          </c:tx>
          <c:spPr>
            <a:ln w="19050" cap="rnd">
              <a:solidFill>
                <a:schemeClr val="accent3">
                  <a:lumMod val="60000"/>
                </a:schemeClr>
              </a:solidFill>
              <a:round/>
            </a:ln>
            <a:effectLst/>
          </c:spPr>
          <c:marker>
            <c:symbol val="none"/>
          </c:marker>
          <c:xVal>
            <c:numRef>
              <c:f>Outputs!$D$14:$AG$14</c:f>
              <c:extLst xmlns:c15="http://schemas.microsoft.com/office/drawing/2012/chart"/>
            </c:numRef>
          </c:xVal>
          <c:yVal>
            <c:numRef>
              <c:f>Outputs!$D$106:$AG$106</c:f>
              <c:extLst xmlns:c15="http://schemas.microsoft.com/office/drawing/2012/chart"/>
            </c:numRef>
          </c:yVal>
          <c:smooth val="0"/>
          <c:extLst xmlns:c15="http://schemas.microsoft.com/office/drawing/2012/chart">
            <c:ext xmlns:c16="http://schemas.microsoft.com/office/drawing/2014/chart" uri="{C3380CC4-5D6E-409C-BE32-E72D297353CC}">
              <c16:uniqueId val="{00000008-87B8-4C91-ACFF-DDF66FDAD882}"/>
            </c:ext>
          </c:extLst>
        </c:ser>
        <c:ser>
          <c:idx val="9"/>
          <c:order val="11"/>
          <c:tx>
            <c:strRef>
              <c:f>Outputs!$B$111</c:f>
              <c:strCache>
                <c:ptCount val="1"/>
                <c:pt idx="0">
                  <c:v>Option 11C</c:v>
                </c:pt>
              </c:strCache>
            </c:strRef>
          </c:tx>
          <c:spPr>
            <a:ln w="19050" cap="rnd">
              <a:solidFill>
                <a:schemeClr val="accent4">
                  <a:lumMod val="60000"/>
                </a:schemeClr>
              </a:solidFill>
              <a:round/>
            </a:ln>
            <a:effectLst/>
          </c:spPr>
          <c:marker>
            <c:symbol val="none"/>
          </c:marker>
          <c:xVal>
            <c:numRef>
              <c:f>Outputs!$D$14:$AG$14</c:f>
            </c:numRef>
          </c:xVal>
          <c:yVal>
            <c:numRef>
              <c:f>Outputs!$D$115:$AG$115</c:f>
            </c:numRef>
          </c:yVal>
          <c:smooth val="0"/>
          <c:extLst>
            <c:ext xmlns:c16="http://schemas.microsoft.com/office/drawing/2014/chart" uri="{C3380CC4-5D6E-409C-BE32-E72D297353CC}">
              <c16:uniqueId val="{00000009-87B8-4C91-ACFF-DDF66FDAD882}"/>
            </c:ext>
          </c:extLst>
        </c:ser>
        <c:ser>
          <c:idx val="12"/>
          <c:order val="12"/>
          <c:tx>
            <c:strRef>
              <c:f>Outputs!$B$120</c:f>
              <c:strCache>
                <c:ptCount val="1"/>
                <c:pt idx="0">
                  <c:v>Option 12</c:v>
                </c:pt>
              </c:strCache>
            </c:strRef>
          </c:tx>
          <c:spPr>
            <a:ln w="19050" cap="rnd">
              <a:solidFill>
                <a:schemeClr val="accent1">
                  <a:lumMod val="80000"/>
                  <a:lumOff val="20000"/>
                </a:schemeClr>
              </a:solidFill>
              <a:round/>
            </a:ln>
            <a:effectLst/>
          </c:spPr>
          <c:marker>
            <c:symbol val="none"/>
          </c:marker>
          <c:xVal>
            <c:numRef>
              <c:f>Outputs!$D$122:$AG$122</c:f>
            </c:numRef>
          </c:xVal>
          <c:yVal>
            <c:numRef>
              <c:f>Outputs!$D$124:$AG$124</c:f>
            </c:numRef>
          </c:yVal>
          <c:smooth val="0"/>
          <c:extLst>
            <c:ext xmlns:c16="http://schemas.microsoft.com/office/drawing/2014/chart" uri="{C3380CC4-5D6E-409C-BE32-E72D297353CC}">
              <c16:uniqueId val="{00000002-08CC-4430-9EAE-89FB1D07BE19}"/>
            </c:ext>
          </c:extLst>
        </c:ser>
        <c:dLbls>
          <c:showLegendKey val="0"/>
          <c:showVal val="0"/>
          <c:showCatName val="0"/>
          <c:showSerName val="0"/>
          <c:showPercent val="0"/>
          <c:showBubbleSize val="0"/>
        </c:dLbls>
        <c:axId val="535284864"/>
        <c:axId val="535276336"/>
        <c:extLst/>
      </c:scatterChart>
      <c:valAx>
        <c:axId val="535284864"/>
        <c:scaling>
          <c:orientation val="minMax"/>
          <c:max val="2055"/>
          <c:min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76336"/>
        <c:crosses val="autoZero"/>
        <c:crossBetween val="midCat"/>
      </c:valAx>
      <c:valAx>
        <c:axId val="53527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Natural Gas Use (therms/y)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84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Outputs!$B$332</c:f>
              <c:strCache>
                <c:ptCount val="1"/>
                <c:pt idx="0">
                  <c:v>Life cycle cost</c:v>
                </c:pt>
              </c:strCache>
            </c:strRef>
          </c:tx>
          <c:spPr>
            <a:solidFill>
              <a:schemeClr val="accent1"/>
            </a:solidFill>
            <a:ln>
              <a:noFill/>
            </a:ln>
            <a:effectLst/>
          </c:spPr>
          <c:invertIfNegative val="0"/>
          <c:cat>
            <c:strRef>
              <c:extLst>
                <c:ext xmlns:c15="http://schemas.microsoft.com/office/drawing/2012/chart" uri="{02D57815-91ED-43cb-92C2-25804820EDAC}">
                  <c15:fullRef>
                    <c15:sqref>Outputs!$D$324:$M$324</c15:sqref>
                  </c15:fullRef>
                </c:ext>
              </c:extLst>
              <c:f>(Outputs!$D$324,Outputs!$G$324:$H$324,Outputs!$J$324,Outputs!$L$324:$M$324)</c:f>
              <c:strCache>
                <c:ptCount val="6"/>
                <c:pt idx="0">
                  <c:v>0</c:v>
                </c:pt>
                <c:pt idx="1">
                  <c:v>2</c:v>
                </c:pt>
                <c:pt idx="2">
                  <c:v>6</c:v>
                </c:pt>
                <c:pt idx="3">
                  <c:v>10a</c:v>
                </c:pt>
                <c:pt idx="4">
                  <c:v>11c E</c:v>
                </c:pt>
                <c:pt idx="5">
                  <c:v>12</c:v>
                </c:pt>
              </c:strCache>
            </c:strRef>
          </c:cat>
          <c:val>
            <c:numRef>
              <c:extLst>
                <c:ext xmlns:c15="http://schemas.microsoft.com/office/drawing/2012/chart" uri="{02D57815-91ED-43cb-92C2-25804820EDAC}">
                  <c15:fullRef>
                    <c15:sqref>Outputs!$D$332:$M$332</c15:sqref>
                  </c15:fullRef>
                </c:ext>
              </c:extLst>
              <c:f>(Outputs!$D$332,Outputs!$G$332:$H$332,Outputs!$J$332,Outputs!$L$332:$M$332)</c:f>
              <c:numCache>
                <c:formatCode>_("$"* #,##0_);_("$"* \(#,##0\);_("$"* "-"??_);_(@_)</c:formatCode>
                <c:ptCount val="6"/>
                <c:pt idx="0">
                  <c:v>0</c:v>
                </c:pt>
                <c:pt idx="1">
                  <c:v>-378</c:v>
                </c:pt>
                <c:pt idx="2">
                  <c:v>127</c:v>
                </c:pt>
                <c:pt idx="3">
                  <c:v>310</c:v>
                </c:pt>
                <c:pt idx="4">
                  <c:v>-81</c:v>
                </c:pt>
                <c:pt idx="5">
                  <c:v>90</c:v>
                </c:pt>
              </c:numCache>
            </c:numRef>
          </c:val>
          <c:extLst>
            <c:ext xmlns:c16="http://schemas.microsoft.com/office/drawing/2014/chart" uri="{C3380CC4-5D6E-409C-BE32-E72D297353CC}">
              <c16:uniqueId val="{00000000-0458-4BCE-B24E-AA70D2767D29}"/>
            </c:ext>
          </c:extLst>
        </c:ser>
        <c:dLbls>
          <c:showLegendKey val="0"/>
          <c:showVal val="0"/>
          <c:showCatName val="0"/>
          <c:showSerName val="0"/>
          <c:showPercent val="0"/>
          <c:showBubbleSize val="0"/>
        </c:dLbls>
        <c:gapWidth val="219"/>
        <c:overlap val="-27"/>
        <c:axId val="964237488"/>
        <c:axId val="964237816"/>
      </c:barChart>
      <c:catAx>
        <c:axId val="96423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964237816"/>
        <c:crosses val="autoZero"/>
        <c:auto val="1"/>
        <c:lblAlgn val="ctr"/>
        <c:lblOffset val="100"/>
        <c:noMultiLvlLbl val="0"/>
      </c:catAx>
      <c:valAx>
        <c:axId val="964237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Relative Life Cycle Cost vs BAU ($M 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96423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Outputs!$B$132</c:f>
              <c:strCache>
                <c:ptCount val="1"/>
                <c:pt idx="0">
                  <c:v>Option 0</c:v>
                </c:pt>
              </c:strCache>
            </c:strRef>
          </c:tx>
          <c:spPr>
            <a:ln w="19050" cap="rnd">
              <a:solidFill>
                <a:schemeClr val="accent1"/>
              </a:solidFill>
              <a:round/>
            </a:ln>
            <a:effectLst/>
          </c:spPr>
          <c:marker>
            <c:symbol val="none"/>
          </c:marker>
          <c:xVal>
            <c:numRef>
              <c:f>Outputs!$D$134:$AG$134</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Outputs!$D$135:$AG$135</c:f>
              <c:numCache>
                <c:formatCode>_(* #,##0_);_(* \(#,##0\);_(* "-"??_);_(@_)</c:formatCode>
                <c:ptCount val="30"/>
                <c:pt idx="0">
                  <c:v>0</c:v>
                </c:pt>
                <c:pt idx="1">
                  <c:v>0</c:v>
                </c:pt>
                <c:pt idx="2">
                  <c:v>0</c:v>
                </c:pt>
                <c:pt idx="3">
                  <c:v>0</c:v>
                </c:pt>
                <c:pt idx="4">
                  <c:v>0</c:v>
                </c:pt>
                <c:pt idx="5">
                  <c:v>16120936.061962306</c:v>
                </c:pt>
                <c:pt idx="6">
                  <c:v>16120936.061962306</c:v>
                </c:pt>
                <c:pt idx="7">
                  <c:v>15369930.189866841</c:v>
                </c:pt>
                <c:pt idx="8">
                  <c:v>15369930.189866841</c:v>
                </c:pt>
                <c:pt idx="9">
                  <c:v>15619355.110337764</c:v>
                </c:pt>
                <c:pt idx="10">
                  <c:v>15619355.110337764</c:v>
                </c:pt>
                <c:pt idx="11">
                  <c:v>14493235.714921474</c:v>
                </c:pt>
                <c:pt idx="12">
                  <c:v>14493235.714921474</c:v>
                </c:pt>
                <c:pt idx="13">
                  <c:v>14406600.08308357</c:v>
                </c:pt>
                <c:pt idx="14">
                  <c:v>14406600.08308357</c:v>
                </c:pt>
                <c:pt idx="15">
                  <c:v>56453362.99320361</c:v>
                </c:pt>
                <c:pt idx="16">
                  <c:v>56453362.99320361</c:v>
                </c:pt>
                <c:pt idx="17">
                  <c:v>56453362.99320361</c:v>
                </c:pt>
                <c:pt idx="18">
                  <c:v>56453362.99320361</c:v>
                </c:pt>
                <c:pt idx="19">
                  <c:v>55851163.225441098</c:v>
                </c:pt>
                <c:pt idx="20">
                  <c:v>55851163.225441098</c:v>
                </c:pt>
                <c:pt idx="21">
                  <c:v>55851163.225441098</c:v>
                </c:pt>
                <c:pt idx="22">
                  <c:v>55851163.225441098</c:v>
                </c:pt>
                <c:pt idx="23">
                  <c:v>55851163.225441098</c:v>
                </c:pt>
                <c:pt idx="24">
                  <c:v>55851163.225441098</c:v>
                </c:pt>
                <c:pt idx="25">
                  <c:v>55108147.051527828</c:v>
                </c:pt>
                <c:pt idx="26">
                  <c:v>55108147.051527828</c:v>
                </c:pt>
                <c:pt idx="27">
                  <c:v>55108147.051527828</c:v>
                </c:pt>
                <c:pt idx="28">
                  <c:v>55108147.051527828</c:v>
                </c:pt>
                <c:pt idx="29">
                  <c:v>55108147.051527828</c:v>
                </c:pt>
              </c:numCache>
            </c:numRef>
          </c:yVal>
          <c:smooth val="0"/>
          <c:extLst>
            <c:ext xmlns:c16="http://schemas.microsoft.com/office/drawing/2014/chart" uri="{C3380CC4-5D6E-409C-BE32-E72D297353CC}">
              <c16:uniqueId val="{00000000-65C9-434F-9635-AC6681FC4CDC}"/>
            </c:ext>
          </c:extLst>
        </c:ser>
        <c:ser>
          <c:idx val="2"/>
          <c:order val="2"/>
          <c:tx>
            <c:strRef>
              <c:f>Outputs!$B$30</c:f>
              <c:strCache>
                <c:ptCount val="1"/>
                <c:pt idx="0">
                  <c:v>Option 1B</c:v>
                </c:pt>
              </c:strCache>
              <c:extLst xmlns:c15="http://schemas.microsoft.com/office/drawing/2012/chart"/>
            </c:strRef>
          </c:tx>
          <c:spPr>
            <a:ln w="19050" cap="rnd">
              <a:solidFill>
                <a:schemeClr val="accent3"/>
              </a:solidFill>
              <a:round/>
            </a:ln>
            <a:effectLst/>
          </c:spPr>
          <c:marker>
            <c:symbol val="none"/>
          </c:marker>
          <c:xVal>
            <c:numRef>
              <c:f>Outputs!$D$14:$AG$14</c:f>
              <c:extLst xmlns:c15="http://schemas.microsoft.com/office/drawing/2012/chart"/>
            </c:numRef>
          </c:xVal>
          <c:yVal>
            <c:numRef>
              <c:f>Outputs!$D$33:$AG$33</c:f>
              <c:extLst xmlns:c15="http://schemas.microsoft.com/office/drawing/2012/chart"/>
            </c:numRef>
          </c:yVal>
          <c:smooth val="0"/>
          <c:extLst xmlns:c15="http://schemas.microsoft.com/office/drawing/2012/chart">
            <c:ext xmlns:c16="http://schemas.microsoft.com/office/drawing/2014/chart" uri="{C3380CC4-5D6E-409C-BE32-E72D297353CC}">
              <c16:uniqueId val="{0000000A-65C9-434F-9635-AC6681FC4CDC}"/>
            </c:ext>
          </c:extLst>
        </c:ser>
        <c:ser>
          <c:idx val="4"/>
          <c:order val="4"/>
          <c:tx>
            <c:strRef>
              <c:f>Outputs!$B$168</c:f>
              <c:strCache>
                <c:ptCount val="1"/>
                <c:pt idx="0">
                  <c:v>Option 2</c:v>
                </c:pt>
              </c:strCache>
            </c:strRef>
          </c:tx>
          <c:spPr>
            <a:ln w="19050" cap="rnd">
              <a:solidFill>
                <a:schemeClr val="accent5"/>
              </a:solidFill>
              <a:round/>
            </a:ln>
            <a:effectLst/>
          </c:spPr>
          <c:marker>
            <c:symbol val="none"/>
          </c:marker>
          <c:xVal>
            <c:numRef>
              <c:f>Outputs!$D$170:$AG$170</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Outputs!$D$171:$AG$171</c:f>
              <c:numCache>
                <c:formatCode>_(* #,##0_);_(* \(#,##0\);_(* "-"??_);_(@_)</c:formatCode>
                <c:ptCount val="30"/>
                <c:pt idx="0">
                  <c:v>0</c:v>
                </c:pt>
                <c:pt idx="1">
                  <c:v>2865758.5345967412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extLst>
            <c:ext xmlns:c16="http://schemas.microsoft.com/office/drawing/2014/chart" uri="{C3380CC4-5D6E-409C-BE32-E72D297353CC}">
              <c16:uniqueId val="{00000003-65C9-434F-9635-AC6681FC4CDC}"/>
            </c:ext>
          </c:extLst>
        </c:ser>
        <c:ser>
          <c:idx val="10"/>
          <c:order val="5"/>
          <c:tx>
            <c:strRef>
              <c:f>Outputs!$B$177</c:f>
              <c:strCache>
                <c:ptCount val="1"/>
                <c:pt idx="0">
                  <c:v>Option 6</c:v>
                </c:pt>
              </c:strCache>
            </c:strRef>
          </c:tx>
          <c:spPr>
            <a:ln w="19050" cap="rnd">
              <a:solidFill>
                <a:schemeClr val="accent5">
                  <a:lumMod val="60000"/>
                </a:schemeClr>
              </a:solidFill>
              <a:round/>
            </a:ln>
            <a:effectLst/>
          </c:spPr>
          <c:marker>
            <c:symbol val="none"/>
          </c:marker>
          <c:xVal>
            <c:numRef>
              <c:f>Outputs!$D$179:$AG$179</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Outputs!$D$180:$AG$180</c:f>
              <c:numCache>
                <c:formatCode>_(* #,##0_);_(* \(#,##0\);_(* "-"??_);_(@_)</c:formatCode>
                <c:ptCount val="30"/>
                <c:pt idx="0">
                  <c:v>0</c:v>
                </c:pt>
                <c:pt idx="1">
                  <c:v>2865758.5345967412</c:v>
                </c:pt>
                <c:pt idx="2">
                  <c:v>213515470.00814971</c:v>
                </c:pt>
                <c:pt idx="3">
                  <c:v>229465787.09521624</c:v>
                </c:pt>
                <c:pt idx="4">
                  <c:v>229465787.09521624</c:v>
                </c:pt>
                <c:pt idx="5">
                  <c:v>234269958.37737536</c:v>
                </c:pt>
                <c:pt idx="6">
                  <c:v>234269958.37737536</c:v>
                </c:pt>
                <c:pt idx="7">
                  <c:v>223444695.67282408</c:v>
                </c:pt>
                <c:pt idx="8">
                  <c:v>223444695.67282408</c:v>
                </c:pt>
                <c:pt idx="9">
                  <c:v>223635944.05278075</c:v>
                </c:pt>
                <c:pt idx="10">
                  <c:v>223635944.05278075</c:v>
                </c:pt>
                <c:pt idx="11">
                  <c:v>221889618.50614679</c:v>
                </c:pt>
                <c:pt idx="12">
                  <c:v>221889618.50614679</c:v>
                </c:pt>
                <c:pt idx="13">
                  <c:v>221508563.44931492</c:v>
                </c:pt>
                <c:pt idx="14">
                  <c:v>221508563.44931492</c:v>
                </c:pt>
                <c:pt idx="15">
                  <c:v>263195564.81473142</c:v>
                </c:pt>
                <c:pt idx="16">
                  <c:v>263195564.81473142</c:v>
                </c:pt>
                <c:pt idx="17">
                  <c:v>263082526.47690898</c:v>
                </c:pt>
                <c:pt idx="18">
                  <c:v>263082526.47690898</c:v>
                </c:pt>
                <c:pt idx="19">
                  <c:v>262508797.67526135</c:v>
                </c:pt>
                <c:pt idx="20">
                  <c:v>262508797.67526135</c:v>
                </c:pt>
                <c:pt idx="21">
                  <c:v>262508797.67526135</c:v>
                </c:pt>
                <c:pt idx="22">
                  <c:v>262508797.67526135</c:v>
                </c:pt>
                <c:pt idx="23">
                  <c:v>262508797.67526135</c:v>
                </c:pt>
                <c:pt idx="24">
                  <c:v>262508797.67526135</c:v>
                </c:pt>
                <c:pt idx="25">
                  <c:v>261801987.10315412</c:v>
                </c:pt>
                <c:pt idx="26">
                  <c:v>261801987.10315412</c:v>
                </c:pt>
                <c:pt idx="27">
                  <c:v>261801987.10315412</c:v>
                </c:pt>
                <c:pt idx="28">
                  <c:v>261801987.10315412</c:v>
                </c:pt>
                <c:pt idx="29">
                  <c:v>261801987.10315412</c:v>
                </c:pt>
              </c:numCache>
            </c:numRef>
          </c:yVal>
          <c:smooth val="0"/>
          <c:extLst>
            <c:ext xmlns:c16="http://schemas.microsoft.com/office/drawing/2014/chart" uri="{C3380CC4-5D6E-409C-BE32-E72D297353CC}">
              <c16:uniqueId val="{00000004-65C9-434F-9635-AC6681FC4CDC}"/>
            </c:ext>
          </c:extLst>
        </c:ser>
        <c:ser>
          <c:idx val="5"/>
          <c:order val="6"/>
          <c:tx>
            <c:strRef>
              <c:f>Outputs!$B$66</c:f>
              <c:strCache>
                <c:ptCount val="1"/>
                <c:pt idx="0">
                  <c:v>Option 8A</c:v>
                </c:pt>
              </c:strCache>
              <c:extLst xmlns:c15="http://schemas.microsoft.com/office/drawing/2012/chart"/>
            </c:strRef>
          </c:tx>
          <c:spPr>
            <a:ln w="19050" cap="rnd">
              <a:solidFill>
                <a:schemeClr val="accent6"/>
              </a:solidFill>
              <a:round/>
            </a:ln>
            <a:effectLst/>
          </c:spPr>
          <c:marker>
            <c:symbol val="none"/>
          </c:marker>
          <c:xVal>
            <c:numRef>
              <c:f>Outputs!$D$14:$AG$14</c:f>
              <c:extLst xmlns:c15="http://schemas.microsoft.com/office/drawing/2012/chart"/>
            </c:numRef>
          </c:xVal>
          <c:yVal>
            <c:numRef>
              <c:f>Outputs!$D$69:$AG$69</c:f>
              <c:extLst xmlns:c15="http://schemas.microsoft.com/office/drawing/2012/chart"/>
            </c:numRef>
          </c:yVal>
          <c:smooth val="0"/>
          <c:extLst xmlns:c15="http://schemas.microsoft.com/office/drawing/2012/chart">
            <c:ext xmlns:c16="http://schemas.microsoft.com/office/drawing/2014/chart" uri="{C3380CC4-5D6E-409C-BE32-E72D297353CC}">
              <c16:uniqueId val="{0000000B-65C9-434F-9635-AC6681FC4CDC}"/>
            </c:ext>
          </c:extLst>
        </c:ser>
        <c:ser>
          <c:idx val="11"/>
          <c:order val="8"/>
          <c:tx>
            <c:strRef>
              <c:f>Outputs!$B$204</c:f>
              <c:strCache>
                <c:ptCount val="1"/>
                <c:pt idx="0">
                  <c:v>Option 10A</c:v>
                </c:pt>
              </c:strCache>
            </c:strRef>
          </c:tx>
          <c:spPr>
            <a:ln w="19050" cap="rnd">
              <a:solidFill>
                <a:schemeClr val="accent6">
                  <a:lumMod val="60000"/>
                </a:schemeClr>
              </a:solidFill>
              <a:round/>
            </a:ln>
            <a:effectLst/>
          </c:spPr>
          <c:marker>
            <c:symbol val="none"/>
          </c:marker>
          <c:xVal>
            <c:numRef>
              <c:f>Outputs!$D$206:$AG$206</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Outputs!$D$207:$AG$207</c:f>
              <c:numCache>
                <c:formatCode>_(* #,##0_);_(* \(#,##0\);_(* "-"??_);_(@_)</c:formatCode>
                <c:ptCount val="30"/>
                <c:pt idx="0">
                  <c:v>0</c:v>
                </c:pt>
                <c:pt idx="1">
                  <c:v>47837563.678282395</c:v>
                </c:pt>
                <c:pt idx="2">
                  <c:v>168997147.24434036</c:v>
                </c:pt>
                <c:pt idx="3">
                  <c:v>186004902.54178959</c:v>
                </c:pt>
                <c:pt idx="4">
                  <c:v>186004902.54178959</c:v>
                </c:pt>
                <c:pt idx="5">
                  <c:v>192394342.89682317</c:v>
                </c:pt>
                <c:pt idx="6">
                  <c:v>192394342.89682317</c:v>
                </c:pt>
                <c:pt idx="7">
                  <c:v>181395211.20034271</c:v>
                </c:pt>
                <c:pt idx="8">
                  <c:v>181395211.20034271</c:v>
                </c:pt>
                <c:pt idx="9">
                  <c:v>181654503.7405248</c:v>
                </c:pt>
                <c:pt idx="10">
                  <c:v>181654503.7405248</c:v>
                </c:pt>
                <c:pt idx="11">
                  <c:v>180550748.01953286</c:v>
                </c:pt>
                <c:pt idx="12">
                  <c:v>180550748.01953286</c:v>
                </c:pt>
                <c:pt idx="13">
                  <c:v>180464890.10379493</c:v>
                </c:pt>
                <c:pt idx="14">
                  <c:v>180464890.10379493</c:v>
                </c:pt>
                <c:pt idx="15">
                  <c:v>221514950.29348302</c:v>
                </c:pt>
                <c:pt idx="16">
                  <c:v>221514950.29348302</c:v>
                </c:pt>
                <c:pt idx="17">
                  <c:v>221514950.29348302</c:v>
                </c:pt>
                <c:pt idx="18">
                  <c:v>221514950.29348302</c:v>
                </c:pt>
                <c:pt idx="19">
                  <c:v>220926206.14733073</c:v>
                </c:pt>
                <c:pt idx="20">
                  <c:v>220926206.14733073</c:v>
                </c:pt>
                <c:pt idx="21">
                  <c:v>220926206.14733073</c:v>
                </c:pt>
                <c:pt idx="22">
                  <c:v>220926206.14733073</c:v>
                </c:pt>
                <c:pt idx="23">
                  <c:v>220926206.14733073</c:v>
                </c:pt>
                <c:pt idx="24">
                  <c:v>220926206.14733073</c:v>
                </c:pt>
                <c:pt idx="25">
                  <c:v>220199433.46492535</c:v>
                </c:pt>
                <c:pt idx="26">
                  <c:v>220199433.46492535</c:v>
                </c:pt>
                <c:pt idx="27">
                  <c:v>220199433.46492535</c:v>
                </c:pt>
                <c:pt idx="28">
                  <c:v>220199433.46492535</c:v>
                </c:pt>
                <c:pt idx="29">
                  <c:v>220199433.46492535</c:v>
                </c:pt>
              </c:numCache>
            </c:numRef>
          </c:yVal>
          <c:smooth val="0"/>
          <c:extLst>
            <c:ext xmlns:c16="http://schemas.microsoft.com/office/drawing/2014/chart" uri="{C3380CC4-5D6E-409C-BE32-E72D297353CC}">
              <c16:uniqueId val="{00000006-65C9-434F-9635-AC6681FC4CDC}"/>
            </c:ext>
          </c:extLst>
        </c:ser>
        <c:ser>
          <c:idx val="8"/>
          <c:order val="10"/>
          <c:tx>
            <c:strRef>
              <c:f>Outputs!$B$102</c:f>
              <c:strCache>
                <c:ptCount val="1"/>
                <c:pt idx="0">
                  <c:v>Option 11B</c:v>
                </c:pt>
              </c:strCache>
              <c:extLst xmlns:c15="http://schemas.microsoft.com/office/drawing/2012/chart"/>
            </c:strRef>
          </c:tx>
          <c:spPr>
            <a:ln w="19050" cap="rnd">
              <a:solidFill>
                <a:schemeClr val="accent3">
                  <a:lumMod val="60000"/>
                </a:schemeClr>
              </a:solidFill>
              <a:round/>
            </a:ln>
            <a:effectLst/>
          </c:spPr>
          <c:marker>
            <c:symbol val="none"/>
          </c:marker>
          <c:xVal>
            <c:numRef>
              <c:f>Outputs!$D$14:$AG$14</c:f>
              <c:extLst xmlns:c15="http://schemas.microsoft.com/office/drawing/2012/chart"/>
            </c:numRef>
          </c:xVal>
          <c:yVal>
            <c:numRef>
              <c:f>Outputs!$D$105:$AG$105</c:f>
              <c:extLst xmlns:c15="http://schemas.microsoft.com/office/drawing/2012/chart"/>
            </c:numRef>
          </c:yVal>
          <c:smooth val="0"/>
          <c:extLst xmlns:c15="http://schemas.microsoft.com/office/drawing/2012/chart">
            <c:ext xmlns:c16="http://schemas.microsoft.com/office/drawing/2014/chart" uri="{C3380CC4-5D6E-409C-BE32-E72D297353CC}">
              <c16:uniqueId val="{0000000C-65C9-434F-9635-AC6681FC4CDC}"/>
            </c:ext>
          </c:extLst>
        </c:ser>
        <c:ser>
          <c:idx val="9"/>
          <c:order val="11"/>
          <c:tx>
            <c:strRef>
              <c:f>Outputs!$B$231</c:f>
              <c:strCache>
                <c:ptCount val="1"/>
                <c:pt idx="0">
                  <c:v>Option 11C</c:v>
                </c:pt>
              </c:strCache>
            </c:strRef>
          </c:tx>
          <c:spPr>
            <a:ln w="19050" cap="rnd">
              <a:solidFill>
                <a:schemeClr val="accent4">
                  <a:lumMod val="60000"/>
                </a:schemeClr>
              </a:solidFill>
              <a:round/>
            </a:ln>
            <a:effectLst/>
          </c:spPr>
          <c:marker>
            <c:symbol val="none"/>
          </c:marker>
          <c:xVal>
            <c:numRef>
              <c:f>Outputs!$D$233:$AG$233</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Outputs!$D$234:$AG$234</c:f>
              <c:numCache>
                <c:formatCode>_(* #,##0_);_(* \(#,##0\);_(* "-"??_);_(@_)</c:formatCode>
                <c:ptCount val="30"/>
                <c:pt idx="0">
                  <c:v>1011886.434656</c:v>
                </c:pt>
                <c:pt idx="1">
                  <c:v>3877644.969252741</c:v>
                </c:pt>
                <c:pt idx="2">
                  <c:v>107335630.53078811</c:v>
                </c:pt>
                <c:pt idx="3">
                  <c:v>248041141.17284435</c:v>
                </c:pt>
                <c:pt idx="4">
                  <c:v>248041141.17284435</c:v>
                </c:pt>
                <c:pt idx="5">
                  <c:v>247366116.42451665</c:v>
                </c:pt>
                <c:pt idx="6">
                  <c:v>247366116.42451665</c:v>
                </c:pt>
                <c:pt idx="7">
                  <c:v>235378791.15010735</c:v>
                </c:pt>
                <c:pt idx="8">
                  <c:v>235378791.15010735</c:v>
                </c:pt>
                <c:pt idx="9">
                  <c:v>234219175.95363569</c:v>
                </c:pt>
                <c:pt idx="10">
                  <c:v>234219175.95363569</c:v>
                </c:pt>
                <c:pt idx="11">
                  <c:v>231623330.39256436</c:v>
                </c:pt>
                <c:pt idx="12">
                  <c:v>231623330.39256436</c:v>
                </c:pt>
                <c:pt idx="13">
                  <c:v>231042498.77821451</c:v>
                </c:pt>
                <c:pt idx="14">
                  <c:v>231042498.77821451</c:v>
                </c:pt>
                <c:pt idx="15">
                  <c:v>269800467.92349821</c:v>
                </c:pt>
                <c:pt idx="16">
                  <c:v>269800467.92349821</c:v>
                </c:pt>
                <c:pt idx="17">
                  <c:v>269557439.5775125</c:v>
                </c:pt>
                <c:pt idx="18">
                  <c:v>269557439.5775125</c:v>
                </c:pt>
                <c:pt idx="19">
                  <c:v>268936172.25015575</c:v>
                </c:pt>
                <c:pt idx="20">
                  <c:v>268936172.25015575</c:v>
                </c:pt>
                <c:pt idx="21">
                  <c:v>268936172.25015575</c:v>
                </c:pt>
                <c:pt idx="22">
                  <c:v>268936172.25015575</c:v>
                </c:pt>
                <c:pt idx="23">
                  <c:v>268936172.25015575</c:v>
                </c:pt>
                <c:pt idx="24">
                  <c:v>268936172.25015575</c:v>
                </c:pt>
                <c:pt idx="25">
                  <c:v>268219720.01826859</c:v>
                </c:pt>
                <c:pt idx="26">
                  <c:v>268219720.01826859</c:v>
                </c:pt>
                <c:pt idx="27">
                  <c:v>268219720.01826859</c:v>
                </c:pt>
                <c:pt idx="28">
                  <c:v>268219720.01826859</c:v>
                </c:pt>
                <c:pt idx="29">
                  <c:v>268219720.01826859</c:v>
                </c:pt>
              </c:numCache>
            </c:numRef>
          </c:yVal>
          <c:smooth val="0"/>
          <c:extLst>
            <c:ext xmlns:c16="http://schemas.microsoft.com/office/drawing/2014/chart" uri="{C3380CC4-5D6E-409C-BE32-E72D297353CC}">
              <c16:uniqueId val="{00000008-65C9-434F-9635-AC6681FC4CDC}"/>
            </c:ext>
          </c:extLst>
        </c:ser>
        <c:ser>
          <c:idx val="12"/>
          <c:order val="12"/>
          <c:tx>
            <c:strRef>
              <c:f>Outputs!$B$240</c:f>
              <c:strCache>
                <c:ptCount val="1"/>
                <c:pt idx="0">
                  <c:v>Option 12</c:v>
                </c:pt>
              </c:strCache>
            </c:strRef>
          </c:tx>
          <c:spPr>
            <a:ln w="19050" cap="rnd">
              <a:solidFill>
                <a:schemeClr val="accent1">
                  <a:lumMod val="80000"/>
                  <a:lumOff val="20000"/>
                </a:schemeClr>
              </a:solidFill>
              <a:round/>
            </a:ln>
            <a:effectLst/>
          </c:spPr>
          <c:marker>
            <c:symbol val="none"/>
          </c:marker>
          <c:xVal>
            <c:numRef>
              <c:f>Outputs!$D$242:$AG$242</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Outputs!$D$243:$AG$243</c:f>
              <c:numCache>
                <c:formatCode>_(* #,##0_);_(* \(#,##0\);_(* "-"??_);_(@_)</c:formatCode>
                <c:ptCount val="30"/>
                <c:pt idx="0">
                  <c:v>0</c:v>
                </c:pt>
                <c:pt idx="1">
                  <c:v>2865758.5345967412</c:v>
                </c:pt>
                <c:pt idx="2">
                  <c:v>226071828.52306879</c:v>
                </c:pt>
                <c:pt idx="3">
                  <c:v>239769654.17453831</c:v>
                </c:pt>
                <c:pt idx="4">
                  <c:v>239769654.17453831</c:v>
                </c:pt>
                <c:pt idx="5">
                  <c:v>243575227.44877559</c:v>
                </c:pt>
                <c:pt idx="6">
                  <c:v>243575227.44877559</c:v>
                </c:pt>
                <c:pt idx="7">
                  <c:v>230569005.56431952</c:v>
                </c:pt>
                <c:pt idx="8">
                  <c:v>230569005.56431952</c:v>
                </c:pt>
                <c:pt idx="9">
                  <c:v>233025410.55370659</c:v>
                </c:pt>
                <c:pt idx="10">
                  <c:v>233025410.55370659</c:v>
                </c:pt>
                <c:pt idx="11">
                  <c:v>230656887.80436453</c:v>
                </c:pt>
                <c:pt idx="12">
                  <c:v>230656887.80436453</c:v>
                </c:pt>
                <c:pt idx="13">
                  <c:v>230089670.12696138</c:v>
                </c:pt>
                <c:pt idx="14">
                  <c:v>230089670.12696138</c:v>
                </c:pt>
                <c:pt idx="15">
                  <c:v>263403700.68009204</c:v>
                </c:pt>
                <c:pt idx="16">
                  <c:v>263403700.68009204</c:v>
                </c:pt>
                <c:pt idx="17">
                  <c:v>263792946.31438899</c:v>
                </c:pt>
                <c:pt idx="18">
                  <c:v>263792946.31438899</c:v>
                </c:pt>
                <c:pt idx="19">
                  <c:v>263083686.96818683</c:v>
                </c:pt>
                <c:pt idx="20">
                  <c:v>263083686.96818683</c:v>
                </c:pt>
                <c:pt idx="21">
                  <c:v>263083686.96818683</c:v>
                </c:pt>
                <c:pt idx="22">
                  <c:v>263083686.96818683</c:v>
                </c:pt>
                <c:pt idx="23">
                  <c:v>263083686.96818683</c:v>
                </c:pt>
                <c:pt idx="24">
                  <c:v>263083686.96818683</c:v>
                </c:pt>
                <c:pt idx="25">
                  <c:v>262832276.47282746</c:v>
                </c:pt>
                <c:pt idx="26">
                  <c:v>262832276.47282746</c:v>
                </c:pt>
                <c:pt idx="27">
                  <c:v>262832276.47282746</c:v>
                </c:pt>
                <c:pt idx="28">
                  <c:v>262832276.47282746</c:v>
                </c:pt>
                <c:pt idx="29">
                  <c:v>262832276.47282746</c:v>
                </c:pt>
              </c:numCache>
            </c:numRef>
          </c:yVal>
          <c:smooth val="0"/>
          <c:extLst>
            <c:ext xmlns:c16="http://schemas.microsoft.com/office/drawing/2014/chart" uri="{C3380CC4-5D6E-409C-BE32-E72D297353CC}">
              <c16:uniqueId val="{00000009-65C9-434F-9635-AC6681FC4CDC}"/>
            </c:ext>
          </c:extLst>
        </c:ser>
        <c:dLbls>
          <c:showLegendKey val="0"/>
          <c:showVal val="0"/>
          <c:showCatName val="0"/>
          <c:showSerName val="0"/>
          <c:showPercent val="0"/>
          <c:showBubbleSize val="0"/>
        </c:dLbls>
        <c:axId val="535284864"/>
        <c:axId val="535276336"/>
        <c:extLst>
          <c:ext xmlns:c15="http://schemas.microsoft.com/office/drawing/2012/chart" uri="{02D57815-91ED-43cb-92C2-25804820EDAC}">
            <c15:filteredScatterSeries>
              <c15:ser>
                <c:idx val="1"/>
                <c:order val="1"/>
                <c:tx>
                  <c:strRef>
                    <c:extLst>
                      <c:ext uri="{02D57815-91ED-43cb-92C2-25804820EDAC}">
                        <c15:formulaRef>
                          <c15:sqref>Outputs!$B$141</c15:sqref>
                        </c15:formulaRef>
                      </c:ext>
                    </c:extLst>
                    <c:strCache>
                      <c:ptCount val="1"/>
                      <c:pt idx="0">
                        <c:v>Option 1A</c:v>
                      </c:pt>
                    </c:strCache>
                  </c:strRef>
                </c:tx>
                <c:spPr>
                  <a:ln w="19050" cap="rnd">
                    <a:solidFill>
                      <a:schemeClr val="accent2"/>
                    </a:solidFill>
                    <a:round/>
                  </a:ln>
                  <a:effectLst/>
                </c:spPr>
                <c:marker>
                  <c:symbol val="none"/>
                </c:marker>
                <c:xVal>
                  <c:numRef>
                    <c:extLst>
                      <c:ext uri="{02D57815-91ED-43cb-92C2-25804820EDAC}">
                        <c15:formulaRef>
                          <c15:sqref>Outputs!$D$143:$AG$143</c15:sqref>
                        </c15:formulaRef>
                      </c:ext>
                    </c:extLst>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extLst>
                      <c:ext uri="{02D57815-91ED-43cb-92C2-25804820EDAC}">
                        <c15:formulaRef>
                          <c15:sqref>Outputs!$D$144:$AG$144</c15:sqref>
                        </c15:formulaRef>
                      </c:ext>
                    </c:extLst>
                    <c:numCache>
                      <c:formatCode>_(* #,##0_);_(* \(#,##0\);_(* "-"??_);_(@_)</c:formatCode>
                      <c:ptCount val="30"/>
                      <c:pt idx="0">
                        <c:v>20641256.461636871</c:v>
                      </c:pt>
                      <c:pt idx="1">
                        <c:v>20641256.461636871</c:v>
                      </c:pt>
                      <c:pt idx="2">
                        <c:v>20641256.461636871</c:v>
                      </c:pt>
                      <c:pt idx="3">
                        <c:v>20057383.255155746</c:v>
                      </c:pt>
                      <c:pt idx="4">
                        <c:v>20057383.255155746</c:v>
                      </c:pt>
                      <c:pt idx="5">
                        <c:v>70900161.062808499</c:v>
                      </c:pt>
                      <c:pt idx="6">
                        <c:v>70900161.062808499</c:v>
                      </c:pt>
                      <c:pt idx="7">
                        <c:v>67248921.251742601</c:v>
                      </c:pt>
                      <c:pt idx="8">
                        <c:v>67248921.251742601</c:v>
                      </c:pt>
                      <c:pt idx="9">
                        <c:v>67846283.46209161</c:v>
                      </c:pt>
                      <c:pt idx="10">
                        <c:v>120965437.05477171</c:v>
                      </c:pt>
                      <c:pt idx="11">
                        <c:v>120791014.57495978</c:v>
                      </c:pt>
                      <c:pt idx="12">
                        <c:v>120791014.57495978</c:v>
                      </c:pt>
                      <c:pt idx="13">
                        <c:v>120747962.18037227</c:v>
                      </c:pt>
                      <c:pt idx="14">
                        <c:v>175303168.25067636</c:v>
                      </c:pt>
                      <c:pt idx="15">
                        <c:v>214989280.68852437</c:v>
                      </c:pt>
                      <c:pt idx="16">
                        <c:v>214989280.68852437</c:v>
                      </c:pt>
                      <c:pt idx="17">
                        <c:v>214989280.68852437</c:v>
                      </c:pt>
                      <c:pt idx="18">
                        <c:v>214989280.68852437</c:v>
                      </c:pt>
                      <c:pt idx="19">
                        <c:v>214430341.91332072</c:v>
                      </c:pt>
                      <c:pt idx="20">
                        <c:v>214430341.91332072</c:v>
                      </c:pt>
                      <c:pt idx="21">
                        <c:v>214430341.91332072</c:v>
                      </c:pt>
                      <c:pt idx="22">
                        <c:v>214430341.91332072</c:v>
                      </c:pt>
                      <c:pt idx="23">
                        <c:v>214430341.91332072</c:v>
                      </c:pt>
                      <c:pt idx="24">
                        <c:v>214430341.91332072</c:v>
                      </c:pt>
                      <c:pt idx="25">
                        <c:v>213744838.95229453</c:v>
                      </c:pt>
                      <c:pt idx="26">
                        <c:v>213744838.95229453</c:v>
                      </c:pt>
                      <c:pt idx="27">
                        <c:v>213744838.95229453</c:v>
                      </c:pt>
                      <c:pt idx="28">
                        <c:v>213744838.95229453</c:v>
                      </c:pt>
                      <c:pt idx="29">
                        <c:v>213744838.95229453</c:v>
                      </c:pt>
                    </c:numCache>
                  </c:numRef>
                </c:yVal>
                <c:smooth val="0"/>
                <c:extLst>
                  <c:ext xmlns:c16="http://schemas.microsoft.com/office/drawing/2014/chart" uri="{C3380CC4-5D6E-409C-BE32-E72D297353CC}">
                    <c16:uniqueId val="{00000001-65C9-434F-9635-AC6681FC4CDC}"/>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Outputs!$B$159</c15:sqref>
                        </c15:formulaRef>
                      </c:ext>
                    </c:extLst>
                    <c:strCache>
                      <c:ptCount val="1"/>
                      <c:pt idx="0">
                        <c:v>Option 1C</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Outputs!$D$161:$AG$161</c15:sqref>
                        </c15:formulaRef>
                      </c:ext>
                    </c:extLst>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extLst xmlns:c15="http://schemas.microsoft.com/office/drawing/2012/chart">
                      <c:ext xmlns:c15="http://schemas.microsoft.com/office/drawing/2012/chart" uri="{02D57815-91ED-43cb-92C2-25804820EDAC}">
                        <c15:formulaRef>
                          <c15:sqref>Outputs!$D$162:$AG$162</c15:sqref>
                        </c15:formulaRef>
                      </c:ext>
                    </c:extLst>
                    <c:numCache>
                      <c:formatCode>_(* #,##0_);_(* \(#,##0\);_(* "-"??_);_(@_)</c:formatCode>
                      <c:ptCount val="30"/>
                      <c:pt idx="0">
                        <c:v>30759933.538222048</c:v>
                      </c:pt>
                      <c:pt idx="1">
                        <c:v>30759933.538222048</c:v>
                      </c:pt>
                      <c:pt idx="2">
                        <c:v>30759933.538222048</c:v>
                      </c:pt>
                      <c:pt idx="3">
                        <c:v>29646735.000699997</c:v>
                      </c:pt>
                      <c:pt idx="4">
                        <c:v>29646735.000699997</c:v>
                      </c:pt>
                      <c:pt idx="5">
                        <c:v>106387961.58038113</c:v>
                      </c:pt>
                      <c:pt idx="6">
                        <c:v>106387961.58038113</c:v>
                      </c:pt>
                      <c:pt idx="7">
                        <c:v>102094360.53733748</c:v>
                      </c:pt>
                      <c:pt idx="8">
                        <c:v>102094360.53733748</c:v>
                      </c:pt>
                      <c:pt idx="9">
                        <c:v>102689691.88932908</c:v>
                      </c:pt>
                      <c:pt idx="10">
                        <c:v>166606299.67795473</c:v>
                      </c:pt>
                      <c:pt idx="11">
                        <c:v>165942244.04951635</c:v>
                      </c:pt>
                      <c:pt idx="12">
                        <c:v>165942244.04951635</c:v>
                      </c:pt>
                      <c:pt idx="13">
                        <c:v>165794496.71247479</c:v>
                      </c:pt>
                      <c:pt idx="14">
                        <c:v>260074297.75379011</c:v>
                      </c:pt>
                      <c:pt idx="15">
                        <c:v>303633784.12180173</c:v>
                      </c:pt>
                      <c:pt idx="16">
                        <c:v>303633784.12180173</c:v>
                      </c:pt>
                      <c:pt idx="17">
                        <c:v>303390755.77581608</c:v>
                      </c:pt>
                      <c:pt idx="18">
                        <c:v>303390755.77581608</c:v>
                      </c:pt>
                      <c:pt idx="19">
                        <c:v>302681496.42961389</c:v>
                      </c:pt>
                      <c:pt idx="20">
                        <c:v>302681496.42961389</c:v>
                      </c:pt>
                      <c:pt idx="21">
                        <c:v>302681496.42961389</c:v>
                      </c:pt>
                      <c:pt idx="22">
                        <c:v>302681496.42961389</c:v>
                      </c:pt>
                      <c:pt idx="23">
                        <c:v>302681496.42961389</c:v>
                      </c:pt>
                      <c:pt idx="24">
                        <c:v>302681496.42961389</c:v>
                      </c:pt>
                      <c:pt idx="25">
                        <c:v>301848063.43947595</c:v>
                      </c:pt>
                      <c:pt idx="26">
                        <c:v>301848063.43947595</c:v>
                      </c:pt>
                      <c:pt idx="27">
                        <c:v>301848063.43947595</c:v>
                      </c:pt>
                      <c:pt idx="28">
                        <c:v>301848063.43947595</c:v>
                      </c:pt>
                      <c:pt idx="29">
                        <c:v>301848063.43947595</c:v>
                      </c:pt>
                    </c:numCache>
                  </c:numRef>
                </c:yVal>
                <c:smooth val="0"/>
                <c:extLst xmlns:c15="http://schemas.microsoft.com/office/drawing/2012/chart">
                  <c:ext xmlns:c16="http://schemas.microsoft.com/office/drawing/2014/chart" uri="{C3380CC4-5D6E-409C-BE32-E72D297353CC}">
                    <c16:uniqueId val="{00000002-65C9-434F-9635-AC6681FC4CDC}"/>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Outputs!$B$195</c15:sqref>
                        </c15:formulaRef>
                      </c:ext>
                    </c:extLst>
                    <c:strCache>
                      <c:ptCount val="1"/>
                      <c:pt idx="0">
                        <c:v>Option 8B</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Outputs!$D$197:$AG$197</c15:sqref>
                        </c15:formulaRef>
                      </c:ext>
                    </c:extLst>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extLst xmlns:c15="http://schemas.microsoft.com/office/drawing/2012/chart">
                      <c:ext xmlns:c15="http://schemas.microsoft.com/office/drawing/2012/chart" uri="{02D57815-91ED-43cb-92C2-25804820EDAC}">
                        <c15:formulaRef>
                          <c15:sqref>Outputs!$D$198:$AG$198</c15:sqref>
                        </c15:formulaRef>
                      </c:ext>
                    </c:extLst>
                    <c:numCache>
                      <c:formatCode>_(* #,##0_);_(* \(#,##0\);_(* "-"??_);_(@_)</c:formatCode>
                      <c:ptCount val="30"/>
                      <c:pt idx="0">
                        <c:v>0</c:v>
                      </c:pt>
                      <c:pt idx="1">
                        <c:v>0</c:v>
                      </c:pt>
                      <c:pt idx="2">
                        <c:v>0</c:v>
                      </c:pt>
                      <c:pt idx="3">
                        <c:v>8385065.6061556414</c:v>
                      </c:pt>
                      <c:pt idx="4">
                        <c:v>8385065.6061556414</c:v>
                      </c:pt>
                      <c:pt idx="5">
                        <c:v>73500800.169956744</c:v>
                      </c:pt>
                      <c:pt idx="6">
                        <c:v>73500800.169956744</c:v>
                      </c:pt>
                      <c:pt idx="7">
                        <c:v>67497954.153766885</c:v>
                      </c:pt>
                      <c:pt idx="8">
                        <c:v>67497954.153766885</c:v>
                      </c:pt>
                      <c:pt idx="9">
                        <c:v>67497954.153766885</c:v>
                      </c:pt>
                      <c:pt idx="10">
                        <c:v>150522086.15353557</c:v>
                      </c:pt>
                      <c:pt idx="11">
                        <c:v>147732911.5786992</c:v>
                      </c:pt>
                      <c:pt idx="12">
                        <c:v>147732911.5786992</c:v>
                      </c:pt>
                      <c:pt idx="13">
                        <c:v>147102575.21018684</c:v>
                      </c:pt>
                      <c:pt idx="14">
                        <c:v>275939051.7016111</c:v>
                      </c:pt>
                      <c:pt idx="15">
                        <c:v>320894511.19102746</c:v>
                      </c:pt>
                      <c:pt idx="16">
                        <c:v>320894511.19102746</c:v>
                      </c:pt>
                      <c:pt idx="17">
                        <c:v>320599486.84177649</c:v>
                      </c:pt>
                      <c:pt idx="18">
                        <c:v>320599486.84177649</c:v>
                      </c:pt>
                      <c:pt idx="19">
                        <c:v>319796471.3704766</c:v>
                      </c:pt>
                      <c:pt idx="20">
                        <c:v>319796471.3704766</c:v>
                      </c:pt>
                      <c:pt idx="21">
                        <c:v>319796471.3704766</c:v>
                      </c:pt>
                      <c:pt idx="22">
                        <c:v>319796471.3704766</c:v>
                      </c:pt>
                      <c:pt idx="23">
                        <c:v>319796471.3704766</c:v>
                      </c:pt>
                      <c:pt idx="24">
                        <c:v>319796471.3704766</c:v>
                      </c:pt>
                      <c:pt idx="25">
                        <c:v>318859817.86950195</c:v>
                      </c:pt>
                      <c:pt idx="26">
                        <c:v>318859817.86950195</c:v>
                      </c:pt>
                      <c:pt idx="27">
                        <c:v>318859817.86950195</c:v>
                      </c:pt>
                      <c:pt idx="28">
                        <c:v>318859817.86950195</c:v>
                      </c:pt>
                      <c:pt idx="29">
                        <c:v>318859817.86950195</c:v>
                      </c:pt>
                    </c:numCache>
                  </c:numRef>
                </c:yVal>
                <c:smooth val="0"/>
                <c:extLst xmlns:c15="http://schemas.microsoft.com/office/drawing/2012/chart">
                  <c:ext xmlns:c16="http://schemas.microsoft.com/office/drawing/2014/chart" uri="{C3380CC4-5D6E-409C-BE32-E72D297353CC}">
                    <c16:uniqueId val="{00000005-65C9-434F-9635-AC6681FC4CDC}"/>
                  </c:ext>
                </c:extLst>
              </c15:ser>
            </c15:filteredScatterSeries>
            <c15:filteredScatterSeries>
              <c15:ser>
                <c:idx val="7"/>
                <c:order val="9"/>
                <c:tx>
                  <c:strRef>
                    <c:extLst xmlns:c15="http://schemas.microsoft.com/office/drawing/2012/chart">
                      <c:ext xmlns:c15="http://schemas.microsoft.com/office/drawing/2012/chart" uri="{02D57815-91ED-43cb-92C2-25804820EDAC}">
                        <c15:formulaRef>
                          <c15:sqref>Outputs!$B$213</c15:sqref>
                        </c15:formulaRef>
                      </c:ext>
                    </c:extLst>
                    <c:strCache>
                      <c:ptCount val="1"/>
                      <c:pt idx="0">
                        <c:v>Option 11A</c:v>
                      </c:pt>
                    </c:strCache>
                  </c:strRef>
                </c:tx>
                <c:spPr>
                  <a:ln w="19050" cap="rnd">
                    <a:solidFill>
                      <a:schemeClr val="accent2">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Outputs!$D$215:$AG$215</c15:sqref>
                        </c15:formulaRef>
                      </c:ext>
                    </c:extLst>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extLst xmlns:c15="http://schemas.microsoft.com/office/drawing/2012/chart">
                      <c:ext xmlns:c15="http://schemas.microsoft.com/office/drawing/2012/chart" uri="{02D57815-91ED-43cb-92C2-25804820EDAC}">
                        <c15:formulaRef>
                          <c15:sqref>Outputs!$D$216:$AG$216</c15:sqref>
                        </c15:formulaRef>
                      </c:ext>
                    </c:extLst>
                    <c:numCache>
                      <c:formatCode>_(* #,##0_);_(* \(#,##0\);_(* "-"??_);_(@_)</c:formatCode>
                      <c:ptCount val="30"/>
                      <c:pt idx="0">
                        <c:v>1011886.434656</c:v>
                      </c:pt>
                      <c:pt idx="1">
                        <c:v>3877644.969252741</c:v>
                      </c:pt>
                      <c:pt idx="2">
                        <c:v>79202580.460640982</c:v>
                      </c:pt>
                      <c:pt idx="3">
                        <c:v>155992314.02002826</c:v>
                      </c:pt>
                      <c:pt idx="4">
                        <c:v>155992314.02002826</c:v>
                      </c:pt>
                      <c:pt idx="5">
                        <c:v>157184785.36225882</c:v>
                      </c:pt>
                      <c:pt idx="6">
                        <c:v>157184785.36225882</c:v>
                      </c:pt>
                      <c:pt idx="7">
                        <c:v>147426684.6333445</c:v>
                      </c:pt>
                      <c:pt idx="8">
                        <c:v>147426684.6333445</c:v>
                      </c:pt>
                      <c:pt idx="9">
                        <c:v>147081317.94345322</c:v>
                      </c:pt>
                      <c:pt idx="10">
                        <c:v>147081317.94345322</c:v>
                      </c:pt>
                      <c:pt idx="11">
                        <c:v>146298589.33860078</c:v>
                      </c:pt>
                      <c:pt idx="12">
                        <c:v>146298589.33860078</c:v>
                      </c:pt>
                      <c:pt idx="13">
                        <c:v>146271369.27510077</c:v>
                      </c:pt>
                      <c:pt idx="14">
                        <c:v>146271369.27510077</c:v>
                      </c:pt>
                      <c:pt idx="15">
                        <c:v>181155964.49022081</c:v>
                      </c:pt>
                      <c:pt idx="16">
                        <c:v>181155964.49022081</c:v>
                      </c:pt>
                      <c:pt idx="17">
                        <c:v>181155964.49022081</c:v>
                      </c:pt>
                      <c:pt idx="18">
                        <c:v>181155964.49022081</c:v>
                      </c:pt>
                      <c:pt idx="19">
                        <c:v>180685017.73386261</c:v>
                      </c:pt>
                      <c:pt idx="20">
                        <c:v>180685017.73386261</c:v>
                      </c:pt>
                      <c:pt idx="21">
                        <c:v>180685017.73386261</c:v>
                      </c:pt>
                      <c:pt idx="22">
                        <c:v>180685017.73386261</c:v>
                      </c:pt>
                      <c:pt idx="23">
                        <c:v>180685017.73386261</c:v>
                      </c:pt>
                      <c:pt idx="24">
                        <c:v>180685017.73386261</c:v>
                      </c:pt>
                      <c:pt idx="25">
                        <c:v>180116495.53108713</c:v>
                      </c:pt>
                      <c:pt idx="26">
                        <c:v>180116495.53108713</c:v>
                      </c:pt>
                      <c:pt idx="27">
                        <c:v>180116495.53108713</c:v>
                      </c:pt>
                      <c:pt idx="28">
                        <c:v>180116495.53108713</c:v>
                      </c:pt>
                      <c:pt idx="29">
                        <c:v>180116495.53108713</c:v>
                      </c:pt>
                    </c:numCache>
                  </c:numRef>
                </c:yVal>
                <c:smooth val="0"/>
                <c:extLst xmlns:c15="http://schemas.microsoft.com/office/drawing/2012/chart">
                  <c:ext xmlns:c16="http://schemas.microsoft.com/office/drawing/2014/chart" uri="{C3380CC4-5D6E-409C-BE32-E72D297353CC}">
                    <c16:uniqueId val="{00000007-65C9-434F-9635-AC6681FC4CDC}"/>
                  </c:ext>
                </c:extLst>
              </c15:ser>
            </c15:filteredScatterSeries>
          </c:ext>
        </c:extLst>
      </c:scatterChart>
      <c:valAx>
        <c:axId val="535284864"/>
        <c:scaling>
          <c:orientation val="minMax"/>
          <c:max val="2055"/>
          <c:min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76336"/>
        <c:crosses val="autoZero"/>
        <c:crossBetween val="midCat"/>
      </c:valAx>
      <c:valAx>
        <c:axId val="53527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Electricity Use (kWh/y)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84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Outputs!$B$132</c:f>
              <c:strCache>
                <c:ptCount val="1"/>
                <c:pt idx="0">
                  <c:v>Option 0</c:v>
                </c:pt>
              </c:strCache>
            </c:strRef>
          </c:tx>
          <c:spPr>
            <a:ln w="19050" cap="rnd">
              <a:solidFill>
                <a:schemeClr val="accent1"/>
              </a:solidFill>
              <a:round/>
            </a:ln>
            <a:effectLst/>
          </c:spPr>
          <c:marker>
            <c:symbol val="none"/>
          </c:marker>
          <c:xVal>
            <c:numRef>
              <c:f>Outputs!$D$134:$AG$134</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Outputs!$D$136:$AG$136</c:f>
              <c:numCache>
                <c:formatCode>_(* #,##0_);_(* \(#,##0\);_(* "-"??_);_(@_)</c:formatCode>
                <c:ptCount val="30"/>
                <c:pt idx="0">
                  <c:v>32306018.995659515</c:v>
                </c:pt>
                <c:pt idx="1">
                  <c:v>32306018.995659515</c:v>
                </c:pt>
                <c:pt idx="2">
                  <c:v>30132827.331343558</c:v>
                </c:pt>
                <c:pt idx="3">
                  <c:v>29794799.628082097</c:v>
                </c:pt>
                <c:pt idx="4">
                  <c:v>29794799.628082097</c:v>
                </c:pt>
                <c:pt idx="5">
                  <c:v>27449723.843706705</c:v>
                </c:pt>
                <c:pt idx="6">
                  <c:v>27449723.843706705</c:v>
                </c:pt>
                <c:pt idx="7">
                  <c:v>20733939.16920644</c:v>
                </c:pt>
                <c:pt idx="8">
                  <c:v>20733939.16920644</c:v>
                </c:pt>
                <c:pt idx="9">
                  <c:v>20515133.018525284</c:v>
                </c:pt>
                <c:pt idx="10">
                  <c:v>20515133.018525284</c:v>
                </c:pt>
                <c:pt idx="11">
                  <c:v>20165629.343511086</c:v>
                </c:pt>
                <c:pt idx="12">
                  <c:v>20165629.343511086</c:v>
                </c:pt>
                <c:pt idx="13">
                  <c:v>20079479.187881581</c:v>
                </c:pt>
                <c:pt idx="14">
                  <c:v>20079479.187881581</c:v>
                </c:pt>
                <c:pt idx="15">
                  <c:v>21078142.05741189</c:v>
                </c:pt>
                <c:pt idx="16">
                  <c:v>21078142.05741189</c:v>
                </c:pt>
                <c:pt idx="17">
                  <c:v>21036465.612994228</c:v>
                </c:pt>
                <c:pt idx="18">
                  <c:v>21036465.612994228</c:v>
                </c:pt>
                <c:pt idx="19">
                  <c:v>20992982.374243401</c:v>
                </c:pt>
                <c:pt idx="20">
                  <c:v>20992982.374243401</c:v>
                </c:pt>
                <c:pt idx="21">
                  <c:v>20992982.374243401</c:v>
                </c:pt>
                <c:pt idx="22">
                  <c:v>20992982.374243401</c:v>
                </c:pt>
                <c:pt idx="23">
                  <c:v>20992982.374243401</c:v>
                </c:pt>
                <c:pt idx="24">
                  <c:v>20992982.374243401</c:v>
                </c:pt>
                <c:pt idx="25">
                  <c:v>20949393.643305462</c:v>
                </c:pt>
                <c:pt idx="26">
                  <c:v>20949393.643305462</c:v>
                </c:pt>
                <c:pt idx="27">
                  <c:v>20949393.643305462</c:v>
                </c:pt>
                <c:pt idx="28">
                  <c:v>20949393.643305462</c:v>
                </c:pt>
                <c:pt idx="29">
                  <c:v>20949393.643305462</c:v>
                </c:pt>
              </c:numCache>
            </c:numRef>
          </c:yVal>
          <c:smooth val="0"/>
          <c:extLst>
            <c:ext xmlns:c16="http://schemas.microsoft.com/office/drawing/2014/chart" uri="{C3380CC4-5D6E-409C-BE32-E72D297353CC}">
              <c16:uniqueId val="{00000000-2D82-4232-B496-43BB5B698B93}"/>
            </c:ext>
          </c:extLst>
        </c:ser>
        <c:ser>
          <c:idx val="2"/>
          <c:order val="2"/>
          <c:tx>
            <c:strRef>
              <c:f>Outputs!$B$30</c:f>
              <c:strCache>
                <c:ptCount val="1"/>
                <c:pt idx="0">
                  <c:v>Option 1B</c:v>
                </c:pt>
              </c:strCache>
              <c:extLst xmlns:c15="http://schemas.microsoft.com/office/drawing/2012/chart"/>
            </c:strRef>
          </c:tx>
          <c:spPr>
            <a:ln w="19050" cap="rnd">
              <a:solidFill>
                <a:schemeClr val="accent3"/>
              </a:solidFill>
              <a:round/>
            </a:ln>
            <a:effectLst/>
          </c:spPr>
          <c:marker>
            <c:symbol val="none"/>
          </c:marker>
          <c:xVal>
            <c:numRef>
              <c:f>Outputs!$D$14:$AG$14</c:f>
              <c:extLst xmlns:c15="http://schemas.microsoft.com/office/drawing/2012/chart"/>
            </c:numRef>
          </c:xVal>
          <c:yVal>
            <c:numRef>
              <c:f>Outputs!$D$34:$AG$34</c:f>
              <c:extLst xmlns:c15="http://schemas.microsoft.com/office/drawing/2012/chart"/>
            </c:numRef>
          </c:yVal>
          <c:smooth val="0"/>
          <c:extLst xmlns:c15="http://schemas.microsoft.com/office/drawing/2012/chart">
            <c:ext xmlns:c16="http://schemas.microsoft.com/office/drawing/2014/chart" uri="{C3380CC4-5D6E-409C-BE32-E72D297353CC}">
              <c16:uniqueId val="{0000000B-2D82-4232-B496-43BB5B698B93}"/>
            </c:ext>
          </c:extLst>
        </c:ser>
        <c:ser>
          <c:idx val="4"/>
          <c:order val="4"/>
          <c:tx>
            <c:strRef>
              <c:f>Outputs!$B$168</c:f>
              <c:strCache>
                <c:ptCount val="1"/>
                <c:pt idx="0">
                  <c:v>Option 2</c:v>
                </c:pt>
              </c:strCache>
            </c:strRef>
          </c:tx>
          <c:spPr>
            <a:ln w="19050" cap="rnd">
              <a:solidFill>
                <a:schemeClr val="accent5"/>
              </a:solidFill>
              <a:round/>
            </a:ln>
            <a:effectLst/>
          </c:spPr>
          <c:marker>
            <c:symbol val="none"/>
          </c:marker>
          <c:xVal>
            <c:numRef>
              <c:f>Outputs!$D$170:$AG$170</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Outputs!$D$172:$AG$172</c:f>
              <c:numCache>
                <c:formatCode>_(* #,##0_);_(* \(#,##0\);_(* "-"??_);_(@_)</c:formatCode>
                <c:ptCount val="30"/>
                <c:pt idx="0">
                  <c:v>31258877.283118241</c:v>
                </c:pt>
                <c:pt idx="1">
                  <c:v>31258877.283118241</c:v>
                </c:pt>
                <c:pt idx="2">
                  <c:v>13231647.348791353</c:v>
                </c:pt>
                <c:pt idx="3">
                  <c:v>12967671.873370046</c:v>
                </c:pt>
                <c:pt idx="4">
                  <c:v>12967671.873370046</c:v>
                </c:pt>
                <c:pt idx="5">
                  <c:v>12750842.004018847</c:v>
                </c:pt>
                <c:pt idx="6">
                  <c:v>12750842.004018847</c:v>
                </c:pt>
                <c:pt idx="7">
                  <c:v>12218669.935102589</c:v>
                </c:pt>
                <c:pt idx="8">
                  <c:v>12218669.935102589</c:v>
                </c:pt>
                <c:pt idx="9">
                  <c:v>12043802.794555094</c:v>
                </c:pt>
                <c:pt idx="10">
                  <c:v>12043802.794555094</c:v>
                </c:pt>
                <c:pt idx="11">
                  <c:v>11773318.044142656</c:v>
                </c:pt>
                <c:pt idx="12">
                  <c:v>11773318.044142656</c:v>
                </c:pt>
                <c:pt idx="13">
                  <c:v>11708380.608110853</c:v>
                </c:pt>
                <c:pt idx="14">
                  <c:v>11708380.608110853</c:v>
                </c:pt>
                <c:pt idx="15">
                  <c:v>12487631.497734144</c:v>
                </c:pt>
                <c:pt idx="16">
                  <c:v>12487631.497734144</c:v>
                </c:pt>
                <c:pt idx="17">
                  <c:v>12455788.749060519</c:v>
                </c:pt>
                <c:pt idx="18">
                  <c:v>12455788.749060519</c:v>
                </c:pt>
                <c:pt idx="19">
                  <c:v>12421037.488191342</c:v>
                </c:pt>
                <c:pt idx="20">
                  <c:v>12421037.488191342</c:v>
                </c:pt>
                <c:pt idx="21">
                  <c:v>12421037.488191342</c:v>
                </c:pt>
                <c:pt idx="22">
                  <c:v>12421037.488191342</c:v>
                </c:pt>
                <c:pt idx="23">
                  <c:v>12421037.488191342</c:v>
                </c:pt>
                <c:pt idx="24">
                  <c:v>12421037.488191342</c:v>
                </c:pt>
                <c:pt idx="25">
                  <c:v>12386201.919284876</c:v>
                </c:pt>
                <c:pt idx="26">
                  <c:v>12386201.919284876</c:v>
                </c:pt>
                <c:pt idx="27">
                  <c:v>12386201.919284876</c:v>
                </c:pt>
                <c:pt idx="28">
                  <c:v>12386201.919284876</c:v>
                </c:pt>
                <c:pt idx="29">
                  <c:v>12386201.919284876</c:v>
                </c:pt>
              </c:numCache>
            </c:numRef>
          </c:yVal>
          <c:smooth val="0"/>
          <c:extLst>
            <c:ext xmlns:c16="http://schemas.microsoft.com/office/drawing/2014/chart" uri="{C3380CC4-5D6E-409C-BE32-E72D297353CC}">
              <c16:uniqueId val="{00000003-2D82-4232-B496-43BB5B698B93}"/>
            </c:ext>
          </c:extLst>
        </c:ser>
        <c:ser>
          <c:idx val="11"/>
          <c:order val="5"/>
          <c:tx>
            <c:strRef>
              <c:f>Outputs!$B$177</c:f>
              <c:strCache>
                <c:ptCount val="1"/>
                <c:pt idx="0">
                  <c:v>Option 6</c:v>
                </c:pt>
              </c:strCache>
            </c:strRef>
          </c:tx>
          <c:spPr>
            <a:ln w="19050" cap="rnd">
              <a:solidFill>
                <a:schemeClr val="accent6">
                  <a:lumMod val="60000"/>
                </a:schemeClr>
              </a:solidFill>
              <a:round/>
            </a:ln>
            <a:effectLst/>
          </c:spPr>
          <c:marker>
            <c:symbol val="none"/>
          </c:marker>
          <c:xVal>
            <c:numRef>
              <c:f>Outputs!$D$179:$AG$179</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Outputs!$D$181:$AG$181</c:f>
              <c:numCache>
                <c:formatCode>_(* #,##0_);_(* \(#,##0\);_(* "-"??_);_(@_)</c:formatCode>
                <c:ptCount val="30"/>
                <c:pt idx="0">
                  <c:v>31258877.283118241</c:v>
                </c:pt>
                <c:pt idx="1">
                  <c:v>31258877.283118241</c:v>
                </c:pt>
                <c:pt idx="2">
                  <c:v>8313140.9880687799</c:v>
                </c:pt>
                <c:pt idx="3">
                  <c:v>8136703.1927119317</c:v>
                </c:pt>
                <c:pt idx="4">
                  <c:v>8136703.1927119317</c:v>
                </c:pt>
                <c:pt idx="5">
                  <c:v>8007874.6843401222</c:v>
                </c:pt>
                <c:pt idx="6">
                  <c:v>8007874.6843401222</c:v>
                </c:pt>
                <c:pt idx="7">
                  <c:v>7626218.3372912602</c:v>
                </c:pt>
                <c:pt idx="8">
                  <c:v>7626218.3372912602</c:v>
                </c:pt>
                <c:pt idx="9">
                  <c:v>7500809.3615512364</c:v>
                </c:pt>
                <c:pt idx="10">
                  <c:v>7500809.3615512364</c:v>
                </c:pt>
                <c:pt idx="11">
                  <c:v>7325257.4422050472</c:v>
                </c:pt>
                <c:pt idx="12">
                  <c:v>7325257.4422050472</c:v>
                </c:pt>
                <c:pt idx="13">
                  <c:v>7286849.5097296908</c:v>
                </c:pt>
                <c:pt idx="14">
                  <c:v>7286849.5097296908</c:v>
                </c:pt>
                <c:pt idx="15">
                  <c:v>7806338.301771313</c:v>
                </c:pt>
                <c:pt idx="16">
                  <c:v>7806338.301771313</c:v>
                </c:pt>
                <c:pt idx="17">
                  <c:v>7786557.2135725571</c:v>
                </c:pt>
                <c:pt idx="18">
                  <c:v>7786557.2135725571</c:v>
                </c:pt>
                <c:pt idx="19">
                  <c:v>7761634.7494799159</c:v>
                </c:pt>
                <c:pt idx="20">
                  <c:v>7761634.7494799159</c:v>
                </c:pt>
                <c:pt idx="21">
                  <c:v>7761634.7494799159</c:v>
                </c:pt>
                <c:pt idx="22">
                  <c:v>7761634.7494799159</c:v>
                </c:pt>
                <c:pt idx="23">
                  <c:v>7761634.7494799159</c:v>
                </c:pt>
                <c:pt idx="24">
                  <c:v>7761634.7494799159</c:v>
                </c:pt>
                <c:pt idx="25">
                  <c:v>7736651.8224291112</c:v>
                </c:pt>
                <c:pt idx="26">
                  <c:v>7736651.8224291112</c:v>
                </c:pt>
                <c:pt idx="27">
                  <c:v>7736651.8224291112</c:v>
                </c:pt>
                <c:pt idx="28">
                  <c:v>7736651.8224291112</c:v>
                </c:pt>
                <c:pt idx="29">
                  <c:v>7736651.8224291112</c:v>
                </c:pt>
              </c:numCache>
            </c:numRef>
          </c:yVal>
          <c:smooth val="0"/>
          <c:extLst>
            <c:ext xmlns:c16="http://schemas.microsoft.com/office/drawing/2014/chart" uri="{C3380CC4-5D6E-409C-BE32-E72D297353CC}">
              <c16:uniqueId val="{00000004-2D82-4232-B496-43BB5B698B93}"/>
            </c:ext>
          </c:extLst>
        </c:ser>
        <c:ser>
          <c:idx val="5"/>
          <c:order val="6"/>
          <c:tx>
            <c:strRef>
              <c:f>Outputs!$B$66</c:f>
              <c:strCache>
                <c:ptCount val="1"/>
                <c:pt idx="0">
                  <c:v>Option 8A</c:v>
                </c:pt>
              </c:strCache>
              <c:extLst xmlns:c15="http://schemas.microsoft.com/office/drawing/2012/chart"/>
            </c:strRef>
          </c:tx>
          <c:spPr>
            <a:ln w="19050" cap="rnd">
              <a:solidFill>
                <a:schemeClr val="accent6"/>
              </a:solidFill>
              <a:round/>
            </a:ln>
            <a:effectLst/>
          </c:spPr>
          <c:marker>
            <c:symbol val="none"/>
          </c:marker>
          <c:xVal>
            <c:numRef>
              <c:f>Outputs!$D$14:$AG$14</c:f>
              <c:extLst xmlns:c15="http://schemas.microsoft.com/office/drawing/2012/chart"/>
            </c:numRef>
          </c:xVal>
          <c:yVal>
            <c:numRef>
              <c:f>Outputs!$D$70:$AG$70</c:f>
              <c:extLst xmlns:c15="http://schemas.microsoft.com/office/drawing/2012/chart"/>
            </c:numRef>
          </c:yVal>
          <c:smooth val="0"/>
          <c:extLst xmlns:c15="http://schemas.microsoft.com/office/drawing/2012/chart">
            <c:ext xmlns:c16="http://schemas.microsoft.com/office/drawing/2014/chart" uri="{C3380CC4-5D6E-409C-BE32-E72D297353CC}">
              <c16:uniqueId val="{0000000C-2D82-4232-B496-43BB5B698B93}"/>
            </c:ext>
          </c:extLst>
        </c:ser>
        <c:ser>
          <c:idx val="12"/>
          <c:order val="8"/>
          <c:tx>
            <c:strRef>
              <c:f>Outputs!$B$204</c:f>
              <c:strCache>
                <c:ptCount val="1"/>
                <c:pt idx="0">
                  <c:v>Option 10A</c:v>
                </c:pt>
              </c:strCache>
            </c:strRef>
          </c:tx>
          <c:spPr>
            <a:ln w="19050" cap="rnd">
              <a:solidFill>
                <a:schemeClr val="accent1">
                  <a:lumMod val="80000"/>
                  <a:lumOff val="20000"/>
                </a:schemeClr>
              </a:solidFill>
              <a:round/>
            </a:ln>
            <a:effectLst/>
          </c:spPr>
          <c:marker>
            <c:symbol val="none"/>
          </c:marker>
          <c:xVal>
            <c:numRef>
              <c:f>Outputs!$D$206:$AG$206</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Outputs!$D$208:$AG$208</c:f>
              <c:numCache>
                <c:formatCode>_(* #,##0_);_(* \(#,##0\);_(* "-"??_);_(@_)</c:formatCode>
                <c:ptCount val="30"/>
                <c:pt idx="0">
                  <c:v>31258877.283118241</c:v>
                </c:pt>
                <c:pt idx="1">
                  <c:v>30649221.067447647</c:v>
                </c:pt>
                <c:pt idx="2">
                  <c:v>18613368.200255442</c:v>
                </c:pt>
                <c:pt idx="3">
                  <c:v>18347752.43999923</c:v>
                </c:pt>
                <c:pt idx="4">
                  <c:v>18347752.43999923</c:v>
                </c:pt>
                <c:pt idx="5">
                  <c:v>18113313.827005364</c:v>
                </c:pt>
                <c:pt idx="6">
                  <c:v>18113313.827005364</c:v>
                </c:pt>
                <c:pt idx="7">
                  <c:v>17604058.258664448</c:v>
                </c:pt>
                <c:pt idx="8">
                  <c:v>17604058.258664448</c:v>
                </c:pt>
                <c:pt idx="9">
                  <c:v>17436721.282063976</c:v>
                </c:pt>
                <c:pt idx="10">
                  <c:v>17436721.282063976</c:v>
                </c:pt>
                <c:pt idx="11">
                  <c:v>17159265.977142181</c:v>
                </c:pt>
                <c:pt idx="12">
                  <c:v>17159265.977142181</c:v>
                </c:pt>
                <c:pt idx="13">
                  <c:v>17088878.844462093</c:v>
                </c:pt>
                <c:pt idx="14">
                  <c:v>17088878.844462093</c:v>
                </c:pt>
                <c:pt idx="15">
                  <c:v>17874338.002593145</c:v>
                </c:pt>
                <c:pt idx="16">
                  <c:v>17874338.002593145</c:v>
                </c:pt>
                <c:pt idx="17">
                  <c:v>17840779.92662558</c:v>
                </c:pt>
                <c:pt idx="18">
                  <c:v>17840779.92662558</c:v>
                </c:pt>
                <c:pt idx="19">
                  <c:v>17807525.131535459</c:v>
                </c:pt>
                <c:pt idx="20">
                  <c:v>17807525.131535459</c:v>
                </c:pt>
                <c:pt idx="21">
                  <c:v>17807525.131535459</c:v>
                </c:pt>
                <c:pt idx="22">
                  <c:v>17807525.131535459</c:v>
                </c:pt>
                <c:pt idx="23">
                  <c:v>17807525.131535459</c:v>
                </c:pt>
                <c:pt idx="24">
                  <c:v>17807525.131535459</c:v>
                </c:pt>
                <c:pt idx="25">
                  <c:v>17774189.658897694</c:v>
                </c:pt>
                <c:pt idx="26">
                  <c:v>17774189.658897694</c:v>
                </c:pt>
                <c:pt idx="27">
                  <c:v>17774189.658897694</c:v>
                </c:pt>
                <c:pt idx="28">
                  <c:v>17774189.658897694</c:v>
                </c:pt>
                <c:pt idx="29">
                  <c:v>17774189.658897694</c:v>
                </c:pt>
              </c:numCache>
            </c:numRef>
          </c:yVal>
          <c:smooth val="0"/>
          <c:extLst>
            <c:ext xmlns:c16="http://schemas.microsoft.com/office/drawing/2014/chart" uri="{C3380CC4-5D6E-409C-BE32-E72D297353CC}">
              <c16:uniqueId val="{00000006-2D82-4232-B496-43BB5B698B93}"/>
            </c:ext>
          </c:extLst>
        </c:ser>
        <c:ser>
          <c:idx val="8"/>
          <c:order val="10"/>
          <c:tx>
            <c:strRef>
              <c:f>Outputs!$B$102</c:f>
              <c:strCache>
                <c:ptCount val="1"/>
                <c:pt idx="0">
                  <c:v>Option 11B</c:v>
                </c:pt>
              </c:strCache>
              <c:extLst xmlns:c15="http://schemas.microsoft.com/office/drawing/2012/chart"/>
            </c:strRef>
          </c:tx>
          <c:spPr>
            <a:ln w="19050" cap="rnd">
              <a:solidFill>
                <a:schemeClr val="accent3">
                  <a:lumMod val="60000"/>
                </a:schemeClr>
              </a:solidFill>
              <a:round/>
            </a:ln>
            <a:effectLst/>
          </c:spPr>
          <c:marker>
            <c:symbol val="none"/>
          </c:marker>
          <c:xVal>
            <c:numRef>
              <c:f>Outputs!$D$14:$AG$14</c:f>
              <c:extLst xmlns:c15="http://schemas.microsoft.com/office/drawing/2012/chart"/>
            </c:numRef>
          </c:xVal>
          <c:yVal>
            <c:numRef>
              <c:f>Outputs!$D$106:$AG$106</c:f>
              <c:extLst xmlns:c15="http://schemas.microsoft.com/office/drawing/2012/chart"/>
            </c:numRef>
          </c:yVal>
          <c:smooth val="0"/>
          <c:extLst xmlns:c15="http://schemas.microsoft.com/office/drawing/2012/chart">
            <c:ext xmlns:c16="http://schemas.microsoft.com/office/drawing/2014/chart" uri="{C3380CC4-5D6E-409C-BE32-E72D297353CC}">
              <c16:uniqueId val="{0000000D-2D82-4232-B496-43BB5B698B93}"/>
            </c:ext>
          </c:extLst>
        </c:ser>
        <c:ser>
          <c:idx val="9"/>
          <c:order val="11"/>
          <c:tx>
            <c:strRef>
              <c:f>Outputs!$B$231</c:f>
              <c:strCache>
                <c:ptCount val="1"/>
                <c:pt idx="0">
                  <c:v>Option 11C</c:v>
                </c:pt>
              </c:strCache>
            </c:strRef>
          </c:tx>
          <c:spPr>
            <a:ln w="19050" cap="rnd">
              <a:solidFill>
                <a:schemeClr val="accent4">
                  <a:lumMod val="60000"/>
                </a:schemeClr>
              </a:solidFill>
              <a:round/>
            </a:ln>
            <a:effectLst/>
          </c:spPr>
          <c:marker>
            <c:symbol val="none"/>
          </c:marker>
          <c:xVal>
            <c:numRef>
              <c:f>Outputs!$D$233:$AG$233</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Outputs!$D$235:$AG$235</c:f>
              <c:numCache>
                <c:formatCode>_(* #,##0_);_(* \(#,##0\);_(* "-"??_);_(@_)</c:formatCode>
                <c:ptCount val="30"/>
                <c:pt idx="0">
                  <c:v>31258877.283118241</c:v>
                </c:pt>
                <c:pt idx="1">
                  <c:v>31258877.283118241</c:v>
                </c:pt>
                <c:pt idx="2">
                  <c:v>22981692.329201803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extLst>
            <c:ext xmlns:c16="http://schemas.microsoft.com/office/drawing/2014/chart" uri="{C3380CC4-5D6E-409C-BE32-E72D297353CC}">
              <c16:uniqueId val="{00000008-2D82-4232-B496-43BB5B698B93}"/>
            </c:ext>
          </c:extLst>
        </c:ser>
        <c:ser>
          <c:idx val="13"/>
          <c:order val="12"/>
          <c:tx>
            <c:strRef>
              <c:f>Outputs!$B$240</c:f>
              <c:strCache>
                <c:ptCount val="1"/>
                <c:pt idx="0">
                  <c:v>Option 12</c:v>
                </c:pt>
              </c:strCache>
            </c:strRef>
          </c:tx>
          <c:spPr>
            <a:ln w="19050" cap="rnd">
              <a:solidFill>
                <a:schemeClr val="accent2">
                  <a:lumMod val="80000"/>
                  <a:lumOff val="20000"/>
                </a:schemeClr>
              </a:solidFill>
              <a:round/>
            </a:ln>
            <a:effectLst/>
          </c:spPr>
          <c:marker>
            <c:symbol val="none"/>
          </c:marker>
          <c:xVal>
            <c:numRef>
              <c:f>Outputs!$D$242:$AG$242</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Outputs!$D$244:$AG$244</c:f>
              <c:numCache>
                <c:formatCode>_(* #,##0_);_(* \(#,##0\);_(* "-"??_);_(@_)</c:formatCode>
                <c:ptCount val="30"/>
                <c:pt idx="0">
                  <c:v>31258877.283118241</c:v>
                </c:pt>
                <c:pt idx="1">
                  <c:v>31258877.283118241</c:v>
                </c:pt>
                <c:pt idx="2">
                  <c:v>2565274.1088963212</c:v>
                </c:pt>
                <c:pt idx="3">
                  <c:v>2565274.1088963212</c:v>
                </c:pt>
                <c:pt idx="4">
                  <c:v>2565274.1088963212</c:v>
                </c:pt>
                <c:pt idx="5">
                  <c:v>2565274.1088963212</c:v>
                </c:pt>
                <c:pt idx="6">
                  <c:v>2565274.1088963212</c:v>
                </c:pt>
                <c:pt idx="7">
                  <c:v>2565274.1088963212</c:v>
                </c:pt>
                <c:pt idx="8">
                  <c:v>2565274.1088963212</c:v>
                </c:pt>
                <c:pt idx="9">
                  <c:v>2346467.9582151663</c:v>
                </c:pt>
                <c:pt idx="10">
                  <c:v>2346467.9582151663</c:v>
                </c:pt>
                <c:pt idx="11">
                  <c:v>2314068.5605899175</c:v>
                </c:pt>
                <c:pt idx="12">
                  <c:v>2314068.5605899175</c:v>
                </c:pt>
                <c:pt idx="13">
                  <c:v>2310160.1223315848</c:v>
                </c:pt>
                <c:pt idx="14">
                  <c:v>2310160.1223315848</c:v>
                </c:pt>
                <c:pt idx="15">
                  <c:v>3182974.7106661899</c:v>
                </c:pt>
                <c:pt idx="16">
                  <c:v>3182974.7106661899</c:v>
                </c:pt>
                <c:pt idx="17">
                  <c:v>3141298.2662485251</c:v>
                </c:pt>
                <c:pt idx="18">
                  <c:v>3141298.2662485251</c:v>
                </c:pt>
                <c:pt idx="19">
                  <c:v>3141298.2662485251</c:v>
                </c:pt>
                <c:pt idx="20">
                  <c:v>3141298.2662485251</c:v>
                </c:pt>
                <c:pt idx="21">
                  <c:v>3141298.2662485251</c:v>
                </c:pt>
                <c:pt idx="22">
                  <c:v>3141298.2662485251</c:v>
                </c:pt>
                <c:pt idx="23">
                  <c:v>3141298.2662485251</c:v>
                </c:pt>
                <c:pt idx="24">
                  <c:v>3141298.2662485251</c:v>
                </c:pt>
                <c:pt idx="25">
                  <c:v>3097709.5353105851</c:v>
                </c:pt>
                <c:pt idx="26">
                  <c:v>3097709.5353105851</c:v>
                </c:pt>
                <c:pt idx="27">
                  <c:v>3097709.5353105851</c:v>
                </c:pt>
                <c:pt idx="28">
                  <c:v>3097709.5353105851</c:v>
                </c:pt>
                <c:pt idx="29">
                  <c:v>3097709.5353105851</c:v>
                </c:pt>
              </c:numCache>
            </c:numRef>
          </c:yVal>
          <c:smooth val="0"/>
          <c:extLst>
            <c:ext xmlns:c16="http://schemas.microsoft.com/office/drawing/2014/chart" uri="{C3380CC4-5D6E-409C-BE32-E72D297353CC}">
              <c16:uniqueId val="{0000000A-2D82-4232-B496-43BB5B698B93}"/>
            </c:ext>
          </c:extLst>
        </c:ser>
        <c:dLbls>
          <c:showLegendKey val="0"/>
          <c:showVal val="0"/>
          <c:showCatName val="0"/>
          <c:showSerName val="0"/>
          <c:showPercent val="0"/>
          <c:showBubbleSize val="0"/>
        </c:dLbls>
        <c:axId val="535284864"/>
        <c:axId val="535276336"/>
        <c:extLst>
          <c:ext xmlns:c15="http://schemas.microsoft.com/office/drawing/2012/chart" uri="{02D57815-91ED-43cb-92C2-25804820EDAC}">
            <c15:filteredScatterSeries>
              <c15:ser>
                <c:idx val="1"/>
                <c:order val="1"/>
                <c:tx>
                  <c:strRef>
                    <c:extLst>
                      <c:ext uri="{02D57815-91ED-43cb-92C2-25804820EDAC}">
                        <c15:formulaRef>
                          <c15:sqref>Outputs!$B$141</c15:sqref>
                        </c15:formulaRef>
                      </c:ext>
                    </c:extLst>
                    <c:strCache>
                      <c:ptCount val="1"/>
                      <c:pt idx="0">
                        <c:v>Option 1A</c:v>
                      </c:pt>
                    </c:strCache>
                  </c:strRef>
                </c:tx>
                <c:spPr>
                  <a:ln w="19050" cap="rnd">
                    <a:solidFill>
                      <a:schemeClr val="accent2"/>
                    </a:solidFill>
                    <a:round/>
                  </a:ln>
                  <a:effectLst/>
                </c:spPr>
                <c:marker>
                  <c:symbol val="none"/>
                </c:marker>
                <c:xVal>
                  <c:numRef>
                    <c:extLst>
                      <c:ext uri="{02D57815-91ED-43cb-92C2-25804820EDAC}">
                        <c15:formulaRef>
                          <c15:sqref>Outputs!$D$143:$AG$143</c15:sqref>
                        </c15:formulaRef>
                      </c:ext>
                    </c:extLst>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extLst>
                      <c:ext uri="{02D57815-91ED-43cb-92C2-25804820EDAC}">
                        <c15:formulaRef>
                          <c15:sqref>Outputs!$D$145:$AG$145</c15:sqref>
                        </c15:formulaRef>
                      </c:ext>
                    </c:extLst>
                    <c:numCache>
                      <c:formatCode>_(* #,##0_);_(* \(#,##0\);_(* "-"??_);_(@_)</c:formatCode>
                      <c:ptCount val="30"/>
                      <c:pt idx="0">
                        <c:v>29588294.269641411</c:v>
                      </c:pt>
                      <c:pt idx="1">
                        <c:v>29588294.269641411</c:v>
                      </c:pt>
                      <c:pt idx="2">
                        <c:v>29588294.269641411</c:v>
                      </c:pt>
                      <c:pt idx="3">
                        <c:v>29254078.579896081</c:v>
                      </c:pt>
                      <c:pt idx="4">
                        <c:v>29254078.579896081</c:v>
                      </c:pt>
                      <c:pt idx="5">
                        <c:v>24175855.045650672</c:v>
                      </c:pt>
                      <c:pt idx="6">
                        <c:v>24175855.045650672</c:v>
                      </c:pt>
                      <c:pt idx="7">
                        <c:v>23428380.014445752</c:v>
                      </c:pt>
                      <c:pt idx="8">
                        <c:v>23428380.014445752</c:v>
                      </c:pt>
                      <c:pt idx="9">
                        <c:v>23117842.807129826</c:v>
                      </c:pt>
                      <c:pt idx="10">
                        <c:v>20500994.387112349</c:v>
                      </c:pt>
                      <c:pt idx="11">
                        <c:v>20115359.924484037</c:v>
                      </c:pt>
                      <c:pt idx="12">
                        <c:v>20115359.924484037</c:v>
                      </c:pt>
                      <c:pt idx="13">
                        <c:v>20021371.653737262</c:v>
                      </c:pt>
                      <c:pt idx="14">
                        <c:v>6752672.3299312945</c:v>
                      </c:pt>
                      <c:pt idx="15">
                        <c:v>7178624.4580384223</c:v>
                      </c:pt>
                      <c:pt idx="16">
                        <c:v>7178624.4580384223</c:v>
                      </c:pt>
                      <c:pt idx="17">
                        <c:v>7160234.6155085405</c:v>
                      </c:pt>
                      <c:pt idx="18">
                        <c:v>7160234.6155085405</c:v>
                      </c:pt>
                      <c:pt idx="19">
                        <c:v>7142432.8554423703</c:v>
                      </c:pt>
                      <c:pt idx="20">
                        <c:v>7142432.8554423703</c:v>
                      </c:pt>
                      <c:pt idx="21">
                        <c:v>7142432.8554423703</c:v>
                      </c:pt>
                      <c:pt idx="22">
                        <c:v>7142432.8554423703</c:v>
                      </c:pt>
                      <c:pt idx="23">
                        <c:v>7142432.8554423703</c:v>
                      </c:pt>
                      <c:pt idx="24">
                        <c:v>7142432.8554423703</c:v>
                      </c:pt>
                      <c:pt idx="25">
                        <c:v>7124587.9075489389</c:v>
                      </c:pt>
                      <c:pt idx="26">
                        <c:v>7124587.9075489389</c:v>
                      </c:pt>
                      <c:pt idx="27">
                        <c:v>7124587.9075489389</c:v>
                      </c:pt>
                      <c:pt idx="28">
                        <c:v>7124587.9075489389</c:v>
                      </c:pt>
                      <c:pt idx="29">
                        <c:v>7124587.9075489389</c:v>
                      </c:pt>
                    </c:numCache>
                  </c:numRef>
                </c:yVal>
                <c:smooth val="0"/>
                <c:extLst>
                  <c:ext xmlns:c16="http://schemas.microsoft.com/office/drawing/2014/chart" uri="{C3380CC4-5D6E-409C-BE32-E72D297353CC}">
                    <c16:uniqueId val="{00000001-2D82-4232-B496-43BB5B698B93}"/>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Outputs!$B$159</c15:sqref>
                        </c15:formulaRef>
                      </c:ext>
                    </c:extLst>
                    <c:strCache>
                      <c:ptCount val="1"/>
                      <c:pt idx="0">
                        <c:v>Option 1C</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Outputs!$D$161:$AG$161</c15:sqref>
                        </c15:formulaRef>
                      </c:ext>
                    </c:extLst>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extLst xmlns:c15="http://schemas.microsoft.com/office/drawing/2012/chart">
                      <c:ext xmlns:c15="http://schemas.microsoft.com/office/drawing/2012/chart" uri="{02D57815-91ED-43cb-92C2-25804820EDAC}">
                        <c15:formulaRef>
                          <c15:sqref>Outputs!$D$163:$AG$163</c15:sqref>
                        </c15:formulaRef>
                      </c:ext>
                    </c:extLst>
                    <c:numCache>
                      <c:formatCode>_(* #,##0_);_(* \(#,##0\);_(* "-"??_);_(@_)</c:formatCode>
                      <c:ptCount val="30"/>
                      <c:pt idx="0">
                        <c:v>28820560.60629487</c:v>
                      </c:pt>
                      <c:pt idx="1">
                        <c:v>28820560.60629487</c:v>
                      </c:pt>
                      <c:pt idx="2">
                        <c:v>28820560.60629487</c:v>
                      </c:pt>
                      <c:pt idx="3">
                        <c:v>28545341.288089495</c:v>
                      </c:pt>
                      <c:pt idx="4">
                        <c:v>28545341.288089495</c:v>
                      </c:pt>
                      <c:pt idx="5">
                        <c:v>21374251.397505261</c:v>
                      </c:pt>
                      <c:pt idx="6">
                        <c:v>21374251.397505261</c:v>
                      </c:pt>
                      <c:pt idx="7">
                        <c:v>20706876.478281714</c:v>
                      </c:pt>
                      <c:pt idx="8">
                        <c:v>20706876.478281714</c:v>
                      </c:pt>
                      <c:pt idx="9">
                        <c:v>20396339.270965789</c:v>
                      </c:pt>
                      <c:pt idx="10">
                        <c:v>16670601.866040172</c:v>
                      </c:pt>
                      <c:pt idx="11">
                        <c:v>16331380.62114461</c:v>
                      </c:pt>
                      <c:pt idx="12">
                        <c:v>16331380.62114461</c:v>
                      </c:pt>
                      <c:pt idx="13">
                        <c:v>16248856.769805884</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extLst xmlns:c15="http://schemas.microsoft.com/office/drawing/2012/chart">
                  <c:ext xmlns:c16="http://schemas.microsoft.com/office/drawing/2014/chart" uri="{C3380CC4-5D6E-409C-BE32-E72D297353CC}">
                    <c16:uniqueId val="{00000002-2D82-4232-B496-43BB5B698B93}"/>
                  </c:ext>
                </c:extLst>
              </c15:ser>
            </c15:filteredScatterSeries>
            <c15:filteredScatterSeries>
              <c15:ser>
                <c:idx val="10"/>
                <c:order val="7"/>
                <c:tx>
                  <c:strRef>
                    <c:extLst xmlns:c15="http://schemas.microsoft.com/office/drawing/2012/chart">
                      <c:ext xmlns:c15="http://schemas.microsoft.com/office/drawing/2012/chart" uri="{02D57815-91ED-43cb-92C2-25804820EDAC}">
                        <c15:formulaRef>
                          <c15:sqref>Outputs!$B$195</c15:sqref>
                        </c15:formulaRef>
                      </c:ext>
                    </c:extLst>
                    <c:strCache>
                      <c:ptCount val="1"/>
                      <c:pt idx="0">
                        <c:v>Option 8B</c:v>
                      </c:pt>
                    </c:strCache>
                  </c:strRef>
                </c:tx>
                <c:spPr>
                  <a:ln w="19050" cap="rnd">
                    <a:solidFill>
                      <a:schemeClr val="accent5">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Outputs!$D$197:$AG$197</c15:sqref>
                        </c15:formulaRef>
                      </c:ext>
                    </c:extLst>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extLst xmlns:c15="http://schemas.microsoft.com/office/drawing/2012/chart">
                      <c:ext xmlns:c15="http://schemas.microsoft.com/office/drawing/2012/chart" uri="{02D57815-91ED-43cb-92C2-25804820EDAC}">
                        <c15:formulaRef>
                          <c15:sqref>Outputs!$D$199:$AG$199</c15:sqref>
                        </c15:formulaRef>
                      </c:ext>
                    </c:extLst>
                    <c:numCache>
                      <c:formatCode>_(* #,##0_);_(* \(#,##0\);_(* "-"??_);_(@_)</c:formatCode>
                      <c:ptCount val="30"/>
                      <c:pt idx="0">
                        <c:v>31258877.283118241</c:v>
                      </c:pt>
                      <c:pt idx="1">
                        <c:v>31258877.283118241</c:v>
                      </c:pt>
                      <c:pt idx="2">
                        <c:v>31258877.283118241</c:v>
                      </c:pt>
                      <c:pt idx="3">
                        <c:v>30779136.751878824</c:v>
                      </c:pt>
                      <c:pt idx="4">
                        <c:v>30779136.751878824</c:v>
                      </c:pt>
                      <c:pt idx="5">
                        <c:v>26715362.436630234</c:v>
                      </c:pt>
                      <c:pt idx="6">
                        <c:v>26715362.436630234</c:v>
                      </c:pt>
                      <c:pt idx="7">
                        <c:v>26000353.613023683</c:v>
                      </c:pt>
                      <c:pt idx="8">
                        <c:v>26000353.613023683</c:v>
                      </c:pt>
                      <c:pt idx="9">
                        <c:v>25689816.405707758</c:v>
                      </c:pt>
                      <c:pt idx="10">
                        <c:v>17369500.84125939</c:v>
                      </c:pt>
                      <c:pt idx="11">
                        <c:v>17280686.43057394</c:v>
                      </c:pt>
                      <c:pt idx="12">
                        <c:v>17280686.43057394</c:v>
                      </c:pt>
                      <c:pt idx="13">
                        <c:v>17265421.55075188</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extLst xmlns:c15="http://schemas.microsoft.com/office/drawing/2012/chart">
                  <c:ext xmlns:c16="http://schemas.microsoft.com/office/drawing/2014/chart" uri="{C3380CC4-5D6E-409C-BE32-E72D297353CC}">
                    <c16:uniqueId val="{00000005-2D82-4232-B496-43BB5B698B93}"/>
                  </c:ext>
                </c:extLst>
              </c15:ser>
            </c15:filteredScatterSeries>
            <c15:filteredScatterSeries>
              <c15:ser>
                <c:idx val="7"/>
                <c:order val="9"/>
                <c:tx>
                  <c:strRef>
                    <c:extLst xmlns:c15="http://schemas.microsoft.com/office/drawing/2012/chart">
                      <c:ext xmlns:c15="http://schemas.microsoft.com/office/drawing/2012/chart" uri="{02D57815-91ED-43cb-92C2-25804820EDAC}">
                        <c15:formulaRef>
                          <c15:sqref>Outputs!$B$213</c15:sqref>
                        </c15:formulaRef>
                      </c:ext>
                    </c:extLst>
                    <c:strCache>
                      <c:ptCount val="1"/>
                      <c:pt idx="0">
                        <c:v>Option 11A</c:v>
                      </c:pt>
                    </c:strCache>
                  </c:strRef>
                </c:tx>
                <c:spPr>
                  <a:ln w="19050" cap="rnd">
                    <a:solidFill>
                      <a:schemeClr val="accent2">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Outputs!$D$215:$AG$215</c15:sqref>
                        </c15:formulaRef>
                      </c:ext>
                    </c:extLst>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extLst xmlns:c15="http://schemas.microsoft.com/office/drawing/2012/chart">
                      <c:ext xmlns:c15="http://schemas.microsoft.com/office/drawing/2012/chart" uri="{02D57815-91ED-43cb-92C2-25804820EDAC}">
                        <c15:formulaRef>
                          <c15:sqref>Outputs!$D$217:$AG$217</c15:sqref>
                        </c15:formulaRef>
                      </c:ext>
                    </c:extLst>
                    <c:numCache>
                      <c:formatCode>_(* #,##0_);_(* \(#,##0\);_(* "-"??_);_(@_)</c:formatCode>
                      <c:ptCount val="30"/>
                      <c:pt idx="0">
                        <c:v>31258877.283118241</c:v>
                      </c:pt>
                      <c:pt idx="1">
                        <c:v>31258877.283118241</c:v>
                      </c:pt>
                      <c:pt idx="2">
                        <c:v>25498951.01223132</c:v>
                      </c:pt>
                      <c:pt idx="3">
                        <c:v>7433987.2109694406</c:v>
                      </c:pt>
                      <c:pt idx="4">
                        <c:v>7433987.2109694406</c:v>
                      </c:pt>
                      <c:pt idx="5">
                        <c:v>7304772.229856465</c:v>
                      </c:pt>
                      <c:pt idx="6">
                        <c:v>7304772.229856465</c:v>
                      </c:pt>
                      <c:pt idx="7">
                        <c:v>7032160.5533929924</c:v>
                      </c:pt>
                      <c:pt idx="8">
                        <c:v>7032160.5533929924</c:v>
                      </c:pt>
                      <c:pt idx="9">
                        <c:v>6942582.7135786889</c:v>
                      </c:pt>
                      <c:pt idx="10">
                        <c:v>6942582.7135786889</c:v>
                      </c:pt>
                      <c:pt idx="11">
                        <c:v>6791488.942600172</c:v>
                      </c:pt>
                      <c:pt idx="12">
                        <c:v>6791488.942600172</c:v>
                      </c:pt>
                      <c:pt idx="13">
                        <c:v>6752672.3299312955</c:v>
                      </c:pt>
                      <c:pt idx="14">
                        <c:v>6752672.3299312955</c:v>
                      </c:pt>
                      <c:pt idx="15">
                        <c:v>7178624.4580384232</c:v>
                      </c:pt>
                      <c:pt idx="16">
                        <c:v>7178624.4580384232</c:v>
                      </c:pt>
                      <c:pt idx="17">
                        <c:v>7160234.6155085424</c:v>
                      </c:pt>
                      <c:pt idx="18">
                        <c:v>7160234.6155085424</c:v>
                      </c:pt>
                      <c:pt idx="19">
                        <c:v>7142432.8554423703</c:v>
                      </c:pt>
                      <c:pt idx="20">
                        <c:v>7142432.8554423703</c:v>
                      </c:pt>
                      <c:pt idx="21">
                        <c:v>7142432.8554423703</c:v>
                      </c:pt>
                      <c:pt idx="22">
                        <c:v>7142432.8554423703</c:v>
                      </c:pt>
                      <c:pt idx="23">
                        <c:v>7142432.8554423703</c:v>
                      </c:pt>
                      <c:pt idx="24">
                        <c:v>7142432.8554423703</c:v>
                      </c:pt>
                      <c:pt idx="25">
                        <c:v>7124587.9075489389</c:v>
                      </c:pt>
                      <c:pt idx="26">
                        <c:v>7124587.9075489389</c:v>
                      </c:pt>
                      <c:pt idx="27">
                        <c:v>7124587.9075489389</c:v>
                      </c:pt>
                      <c:pt idx="28">
                        <c:v>7124587.9075489389</c:v>
                      </c:pt>
                      <c:pt idx="29">
                        <c:v>7124587.9075489389</c:v>
                      </c:pt>
                    </c:numCache>
                  </c:numRef>
                </c:yVal>
                <c:smooth val="0"/>
                <c:extLst xmlns:c15="http://schemas.microsoft.com/office/drawing/2012/chart">
                  <c:ext xmlns:c16="http://schemas.microsoft.com/office/drawing/2014/chart" uri="{C3380CC4-5D6E-409C-BE32-E72D297353CC}">
                    <c16:uniqueId val="{00000007-2D82-4232-B496-43BB5B698B93}"/>
                  </c:ext>
                </c:extLst>
              </c15:ser>
            </c15:filteredScatterSeries>
          </c:ext>
        </c:extLst>
      </c:scatterChart>
      <c:valAx>
        <c:axId val="535284864"/>
        <c:scaling>
          <c:orientation val="minMax"/>
          <c:max val="2055"/>
          <c:min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76336"/>
        <c:crosses val="autoZero"/>
        <c:crossBetween val="midCat"/>
      </c:valAx>
      <c:valAx>
        <c:axId val="53527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Natural Gas Use (therms/y)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84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3"/>
          <c:order val="0"/>
          <c:tx>
            <c:strRef>
              <c:f>Outputs!$B$132</c:f>
              <c:strCache>
                <c:ptCount val="1"/>
                <c:pt idx="0">
                  <c:v>Option 0</c:v>
                </c:pt>
              </c:strCache>
            </c:strRef>
          </c:tx>
          <c:spPr>
            <a:ln w="19050" cap="rnd">
              <a:solidFill>
                <a:schemeClr val="accent2">
                  <a:lumMod val="80000"/>
                  <a:lumOff val="20000"/>
                </a:schemeClr>
              </a:solidFill>
              <a:round/>
            </a:ln>
            <a:effectLst/>
          </c:spPr>
          <c:marker>
            <c:symbol val="none"/>
          </c:marker>
          <c:xVal>
            <c:numRef>
              <c:f>Outputs!$D$134:$AG$134</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Outputs!$D$137:$AG$137</c:f>
              <c:numCache>
                <c:formatCode>_(* #,##0_);_(* \(#,##0\);_(* "-"??_);_(@_)</c:formatCode>
                <c:ptCount val="30"/>
                <c:pt idx="0">
                  <c:v>244502.94162997318</c:v>
                </c:pt>
                <c:pt idx="1">
                  <c:v>263270.76555360644</c:v>
                </c:pt>
                <c:pt idx="2">
                  <c:v>242776.84616745566</c:v>
                </c:pt>
                <c:pt idx="3">
                  <c:v>262367.12817555445</c:v>
                </c:pt>
                <c:pt idx="4">
                  <c:v>262367.12817555445</c:v>
                </c:pt>
                <c:pt idx="5">
                  <c:v>270875.83454919013</c:v>
                </c:pt>
                <c:pt idx="6">
                  <c:v>270875.83454919013</c:v>
                </c:pt>
                <c:pt idx="7">
                  <c:v>260455.06022020319</c:v>
                </c:pt>
                <c:pt idx="8">
                  <c:v>260455.06022020319</c:v>
                </c:pt>
                <c:pt idx="9">
                  <c:v>262015.96304573605</c:v>
                </c:pt>
                <c:pt idx="10">
                  <c:v>262015.96304573605</c:v>
                </c:pt>
                <c:pt idx="11">
                  <c:v>258895.12716426712</c:v>
                </c:pt>
                <c:pt idx="12">
                  <c:v>258895.12716426712</c:v>
                </c:pt>
                <c:pt idx="13">
                  <c:v>258186.918357205</c:v>
                </c:pt>
                <c:pt idx="14">
                  <c:v>258186.918357205</c:v>
                </c:pt>
                <c:pt idx="15">
                  <c:v>292697.91370478703</c:v>
                </c:pt>
                <c:pt idx="16">
                  <c:v>292697.91370478703</c:v>
                </c:pt>
                <c:pt idx="17">
                  <c:v>292485.95395244943</c:v>
                </c:pt>
                <c:pt idx="18">
                  <c:v>292485.95395244943</c:v>
                </c:pt>
                <c:pt idx="19">
                  <c:v>291756.69440303242</c:v>
                </c:pt>
                <c:pt idx="20">
                  <c:v>291756.69440303242</c:v>
                </c:pt>
                <c:pt idx="21">
                  <c:v>291756.69440303242</c:v>
                </c:pt>
                <c:pt idx="22">
                  <c:v>291756.69440303242</c:v>
                </c:pt>
                <c:pt idx="23">
                  <c:v>291756.69440303242</c:v>
                </c:pt>
                <c:pt idx="24">
                  <c:v>291756.69440303242</c:v>
                </c:pt>
                <c:pt idx="25">
                  <c:v>290846.81169120385</c:v>
                </c:pt>
                <c:pt idx="26">
                  <c:v>290846.81169120385</c:v>
                </c:pt>
                <c:pt idx="27">
                  <c:v>290846.81169120385</c:v>
                </c:pt>
                <c:pt idx="28">
                  <c:v>290846.81169120385</c:v>
                </c:pt>
                <c:pt idx="29">
                  <c:v>290846.81169120385</c:v>
                </c:pt>
              </c:numCache>
            </c:numRef>
          </c:yVal>
          <c:smooth val="0"/>
          <c:extLst>
            <c:ext xmlns:c16="http://schemas.microsoft.com/office/drawing/2014/chart" uri="{C3380CC4-5D6E-409C-BE32-E72D297353CC}">
              <c16:uniqueId val="{00000000-24BB-4BCF-888B-BE33115D0DA8}"/>
            </c:ext>
          </c:extLst>
        </c:ser>
        <c:ser>
          <c:idx val="15"/>
          <c:order val="2"/>
          <c:tx>
            <c:strRef>
              <c:f>Outputs!$B$30</c:f>
              <c:strCache>
                <c:ptCount val="1"/>
                <c:pt idx="0">
                  <c:v>Option 1B</c:v>
                </c:pt>
              </c:strCache>
              <c:extLst xmlns:c15="http://schemas.microsoft.com/office/drawing/2012/chart"/>
            </c:strRef>
          </c:tx>
          <c:spPr>
            <a:ln w="19050" cap="rnd">
              <a:solidFill>
                <a:schemeClr val="accent4">
                  <a:lumMod val="80000"/>
                  <a:lumOff val="20000"/>
                </a:schemeClr>
              </a:solidFill>
              <a:round/>
            </a:ln>
            <a:effectLst/>
          </c:spPr>
          <c:marker>
            <c:symbol val="none"/>
          </c:marker>
          <c:xVal>
            <c:numRef>
              <c:f>Outputs!$D$14:$AG$14</c:f>
              <c:extLst xmlns:c15="http://schemas.microsoft.com/office/drawing/2012/chart"/>
            </c:numRef>
          </c:xVal>
          <c:yVal>
            <c:numRef>
              <c:f>Outputs!$D$35:$AG$35</c:f>
              <c:extLst xmlns:c15="http://schemas.microsoft.com/office/drawing/2012/chart"/>
            </c:numRef>
          </c:yVal>
          <c:smooth val="0"/>
          <c:extLst xmlns:c15="http://schemas.microsoft.com/office/drawing/2012/chart">
            <c:ext xmlns:c16="http://schemas.microsoft.com/office/drawing/2014/chart" uri="{C3380CC4-5D6E-409C-BE32-E72D297353CC}">
              <c16:uniqueId val="{0000000A-24BB-4BCF-888B-BE33115D0DA8}"/>
            </c:ext>
          </c:extLst>
        </c:ser>
        <c:ser>
          <c:idx val="17"/>
          <c:order val="4"/>
          <c:tx>
            <c:strRef>
              <c:f>Outputs!$B$168</c:f>
              <c:strCache>
                <c:ptCount val="1"/>
                <c:pt idx="0">
                  <c:v>Option 2</c:v>
                </c:pt>
              </c:strCache>
            </c:strRef>
          </c:tx>
          <c:spPr>
            <a:ln w="19050" cap="rnd">
              <a:solidFill>
                <a:schemeClr val="accent6">
                  <a:lumMod val="80000"/>
                  <a:lumOff val="20000"/>
                </a:schemeClr>
              </a:solidFill>
              <a:round/>
            </a:ln>
            <a:effectLst/>
          </c:spPr>
          <c:marker>
            <c:symbol val="none"/>
          </c:marker>
          <c:xVal>
            <c:numRef>
              <c:f>Outputs!$D$170:$AG$170</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Outputs!$D$173:$AG$173</c:f>
              <c:numCache>
                <c:formatCode>_(* #,##0_);_(* \(#,##0\);_(* "-"??_);_(@_)</c:formatCode>
                <c:ptCount val="30"/>
                <c:pt idx="0">
                  <c:v>278436.87957137165</c:v>
                </c:pt>
                <c:pt idx="1">
                  <c:v>297204.70349500491</c:v>
                </c:pt>
                <c:pt idx="2">
                  <c:v>168874.65072308262</c:v>
                </c:pt>
                <c:pt idx="3">
                  <c:v>189729.76823222468</c:v>
                </c:pt>
                <c:pt idx="4">
                  <c:v>189729.76823222468</c:v>
                </c:pt>
                <c:pt idx="5">
                  <c:v>210959.01780681187</c:v>
                </c:pt>
                <c:pt idx="6">
                  <c:v>210959.01780681187</c:v>
                </c:pt>
                <c:pt idx="7">
                  <c:v>204508.3938066377</c:v>
                </c:pt>
                <c:pt idx="8">
                  <c:v>204508.3938066377</c:v>
                </c:pt>
                <c:pt idx="9">
                  <c:v>206948.18031278072</c:v>
                </c:pt>
                <c:pt idx="10">
                  <c:v>206948.18031278072</c:v>
                </c:pt>
                <c:pt idx="11">
                  <c:v>205098.19315986955</c:v>
                </c:pt>
                <c:pt idx="12">
                  <c:v>205098.19315986955</c:v>
                </c:pt>
                <c:pt idx="13">
                  <c:v>204677.11497469028</c:v>
                </c:pt>
                <c:pt idx="14">
                  <c:v>204677.11497469028</c:v>
                </c:pt>
                <c:pt idx="15">
                  <c:v>235460.84056518428</c:v>
                </c:pt>
                <c:pt idx="16">
                  <c:v>235460.84056518428</c:v>
                </c:pt>
                <c:pt idx="17">
                  <c:v>235394.23290744744</c:v>
                </c:pt>
                <c:pt idx="18">
                  <c:v>235394.23290744744</c:v>
                </c:pt>
                <c:pt idx="19">
                  <c:v>234839.63347978302</c:v>
                </c:pt>
                <c:pt idx="20">
                  <c:v>234839.63347978302</c:v>
                </c:pt>
                <c:pt idx="21">
                  <c:v>234839.63347978302</c:v>
                </c:pt>
                <c:pt idx="22">
                  <c:v>234839.63347978302</c:v>
                </c:pt>
                <c:pt idx="23">
                  <c:v>234839.63347978302</c:v>
                </c:pt>
                <c:pt idx="24">
                  <c:v>234839.63347978302</c:v>
                </c:pt>
                <c:pt idx="25">
                  <c:v>234104.83462259287</c:v>
                </c:pt>
                <c:pt idx="26">
                  <c:v>234104.83462259287</c:v>
                </c:pt>
                <c:pt idx="27">
                  <c:v>234104.83462259287</c:v>
                </c:pt>
                <c:pt idx="28">
                  <c:v>234104.83462259287</c:v>
                </c:pt>
                <c:pt idx="29">
                  <c:v>234104.83462259287</c:v>
                </c:pt>
              </c:numCache>
            </c:numRef>
          </c:yVal>
          <c:smooth val="0"/>
          <c:extLst>
            <c:ext xmlns:c16="http://schemas.microsoft.com/office/drawing/2014/chart" uri="{C3380CC4-5D6E-409C-BE32-E72D297353CC}">
              <c16:uniqueId val="{00000003-24BB-4BCF-888B-BE33115D0DA8}"/>
            </c:ext>
          </c:extLst>
        </c:ser>
        <c:ser>
          <c:idx val="10"/>
          <c:order val="5"/>
          <c:tx>
            <c:strRef>
              <c:f>Outputs!$B$177</c:f>
              <c:strCache>
                <c:ptCount val="1"/>
                <c:pt idx="0">
                  <c:v>Option 6</c:v>
                </c:pt>
              </c:strCache>
            </c:strRef>
          </c:tx>
          <c:spPr>
            <a:ln w="19050" cap="rnd">
              <a:solidFill>
                <a:schemeClr val="accent5">
                  <a:lumMod val="60000"/>
                </a:schemeClr>
              </a:solidFill>
              <a:round/>
            </a:ln>
            <a:effectLst/>
          </c:spPr>
          <c:marker>
            <c:symbol val="none"/>
          </c:marker>
          <c:xVal>
            <c:numRef>
              <c:f>Outputs!$D$179:$AG$179</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Outputs!$D$182:$AG$182</c:f>
              <c:numCache>
                <c:formatCode>_(* #,##0_);_(* \(#,##0\);_(* "-"??_);_(@_)</c:formatCode>
                <c:ptCount val="30"/>
                <c:pt idx="0">
                  <c:v>278436.87957137165</c:v>
                </c:pt>
                <c:pt idx="1">
                  <c:v>297204.70349500491</c:v>
                </c:pt>
                <c:pt idx="2">
                  <c:v>168824.41307064128</c:v>
                </c:pt>
                <c:pt idx="3">
                  <c:v>189680.59682185159</c:v>
                </c:pt>
                <c:pt idx="4">
                  <c:v>189680.59682185159</c:v>
                </c:pt>
                <c:pt idx="5">
                  <c:v>210910.62492790326</c:v>
                </c:pt>
                <c:pt idx="6">
                  <c:v>210910.62492790326</c:v>
                </c:pt>
                <c:pt idx="7">
                  <c:v>204462.30733862033</c:v>
                </c:pt>
                <c:pt idx="8">
                  <c:v>204462.30733862033</c:v>
                </c:pt>
                <c:pt idx="9">
                  <c:v>206902.85171144037</c:v>
                </c:pt>
                <c:pt idx="10">
                  <c:v>206902.85171144037</c:v>
                </c:pt>
                <c:pt idx="11">
                  <c:v>205053.92544710572</c:v>
                </c:pt>
                <c:pt idx="12">
                  <c:v>205053.92544710572</c:v>
                </c:pt>
                <c:pt idx="13">
                  <c:v>204633.07936726013</c:v>
                </c:pt>
                <c:pt idx="14">
                  <c:v>204633.07936726013</c:v>
                </c:pt>
                <c:pt idx="15">
                  <c:v>235413.66560315649</c:v>
                </c:pt>
                <c:pt idx="16">
                  <c:v>235413.66560315649</c:v>
                </c:pt>
                <c:pt idx="17">
                  <c:v>235347.17748572759</c:v>
                </c:pt>
                <c:pt idx="18">
                  <c:v>235347.17748572759</c:v>
                </c:pt>
                <c:pt idx="19">
                  <c:v>234792.7286685353</c:v>
                </c:pt>
                <c:pt idx="20">
                  <c:v>234792.7286685353</c:v>
                </c:pt>
                <c:pt idx="21">
                  <c:v>234792.7286685353</c:v>
                </c:pt>
                <c:pt idx="22">
                  <c:v>234792.7286685353</c:v>
                </c:pt>
                <c:pt idx="23">
                  <c:v>234792.7286685353</c:v>
                </c:pt>
                <c:pt idx="24">
                  <c:v>234792.7286685353</c:v>
                </c:pt>
                <c:pt idx="25">
                  <c:v>234058.0807872047</c:v>
                </c:pt>
                <c:pt idx="26">
                  <c:v>234058.0807872047</c:v>
                </c:pt>
                <c:pt idx="27">
                  <c:v>234058.0807872047</c:v>
                </c:pt>
                <c:pt idx="28">
                  <c:v>234058.0807872047</c:v>
                </c:pt>
                <c:pt idx="29">
                  <c:v>234058.0807872047</c:v>
                </c:pt>
              </c:numCache>
            </c:numRef>
          </c:yVal>
          <c:smooth val="0"/>
          <c:extLst>
            <c:ext xmlns:c16="http://schemas.microsoft.com/office/drawing/2014/chart" uri="{C3380CC4-5D6E-409C-BE32-E72D297353CC}">
              <c16:uniqueId val="{00000004-24BB-4BCF-888B-BE33115D0DA8}"/>
            </c:ext>
          </c:extLst>
        </c:ser>
        <c:ser>
          <c:idx val="18"/>
          <c:order val="6"/>
          <c:tx>
            <c:strRef>
              <c:f>Outputs!$B$66</c:f>
              <c:strCache>
                <c:ptCount val="1"/>
                <c:pt idx="0">
                  <c:v>Option 8A</c:v>
                </c:pt>
              </c:strCache>
              <c:extLst xmlns:c15="http://schemas.microsoft.com/office/drawing/2012/chart"/>
            </c:strRef>
          </c:tx>
          <c:spPr>
            <a:ln w="19050" cap="rnd">
              <a:solidFill>
                <a:schemeClr val="accent1">
                  <a:lumMod val="80000"/>
                </a:schemeClr>
              </a:solidFill>
              <a:round/>
            </a:ln>
            <a:effectLst/>
          </c:spPr>
          <c:marker>
            <c:symbol val="none"/>
          </c:marker>
          <c:xVal>
            <c:numRef>
              <c:f>Outputs!$D$14:$AG$14</c:f>
              <c:extLst xmlns:c15="http://schemas.microsoft.com/office/drawing/2012/chart"/>
            </c:numRef>
          </c:xVal>
          <c:yVal>
            <c:numRef>
              <c:f>Outputs!$D$71:$AG$71</c:f>
              <c:extLst xmlns:c15="http://schemas.microsoft.com/office/drawing/2012/chart"/>
            </c:numRef>
          </c:yVal>
          <c:smooth val="0"/>
          <c:extLst xmlns:c15="http://schemas.microsoft.com/office/drawing/2012/chart">
            <c:ext xmlns:c16="http://schemas.microsoft.com/office/drawing/2014/chart" uri="{C3380CC4-5D6E-409C-BE32-E72D297353CC}">
              <c16:uniqueId val="{0000000B-24BB-4BCF-888B-BE33115D0DA8}"/>
            </c:ext>
          </c:extLst>
        </c:ser>
        <c:ser>
          <c:idx val="11"/>
          <c:order val="8"/>
          <c:tx>
            <c:strRef>
              <c:f>Outputs!$B$204</c:f>
              <c:strCache>
                <c:ptCount val="1"/>
                <c:pt idx="0">
                  <c:v>Option 10A</c:v>
                </c:pt>
              </c:strCache>
            </c:strRef>
          </c:tx>
          <c:spPr>
            <a:ln w="19050" cap="rnd">
              <a:solidFill>
                <a:schemeClr val="accent6">
                  <a:lumMod val="60000"/>
                </a:schemeClr>
              </a:solidFill>
              <a:round/>
            </a:ln>
            <a:effectLst/>
          </c:spPr>
          <c:marker>
            <c:symbol val="none"/>
          </c:marker>
          <c:xVal>
            <c:numRef>
              <c:f>Outputs!$D$206:$AG$206</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Outputs!$D$209:$AG$209</c:f>
              <c:numCache>
                <c:formatCode>_(* #,##0_);_(* \(#,##0\);_(* "-"??_);_(@_)</c:formatCode>
                <c:ptCount val="30"/>
                <c:pt idx="0">
                  <c:v>278436.87957137165</c:v>
                </c:pt>
                <c:pt idx="1">
                  <c:v>263270.76555360644</c:v>
                </c:pt>
                <c:pt idx="2">
                  <c:v>229722.39862835626</c:v>
                </c:pt>
                <c:pt idx="3">
                  <c:v>249312.68063645501</c:v>
                </c:pt>
                <c:pt idx="4">
                  <c:v>249312.68063645501</c:v>
                </c:pt>
                <c:pt idx="5">
                  <c:v>269580.38539741182</c:v>
                </c:pt>
                <c:pt idx="6">
                  <c:v>269580.38539741182</c:v>
                </c:pt>
                <c:pt idx="7">
                  <c:v>260455.06022020319</c:v>
                </c:pt>
                <c:pt idx="8">
                  <c:v>260455.06022020319</c:v>
                </c:pt>
                <c:pt idx="9">
                  <c:v>262015.96304573605</c:v>
                </c:pt>
                <c:pt idx="10">
                  <c:v>262015.96304573605</c:v>
                </c:pt>
                <c:pt idx="11">
                  <c:v>258895.12716426712</c:v>
                </c:pt>
                <c:pt idx="12">
                  <c:v>258895.12716426712</c:v>
                </c:pt>
                <c:pt idx="13">
                  <c:v>258186.918357205</c:v>
                </c:pt>
                <c:pt idx="14">
                  <c:v>258186.918357205</c:v>
                </c:pt>
                <c:pt idx="15">
                  <c:v>292697.91370478703</c:v>
                </c:pt>
                <c:pt idx="16">
                  <c:v>292697.91370478703</c:v>
                </c:pt>
                <c:pt idx="17">
                  <c:v>292485.95395244943</c:v>
                </c:pt>
                <c:pt idx="18">
                  <c:v>292485.95395244943</c:v>
                </c:pt>
                <c:pt idx="19">
                  <c:v>291756.69440303242</c:v>
                </c:pt>
                <c:pt idx="20">
                  <c:v>291756.69440303242</c:v>
                </c:pt>
                <c:pt idx="21">
                  <c:v>291756.69440303242</c:v>
                </c:pt>
                <c:pt idx="22">
                  <c:v>291756.69440303242</c:v>
                </c:pt>
                <c:pt idx="23">
                  <c:v>291756.69440303242</c:v>
                </c:pt>
                <c:pt idx="24">
                  <c:v>291756.69440303242</c:v>
                </c:pt>
                <c:pt idx="25">
                  <c:v>290846.81169120385</c:v>
                </c:pt>
                <c:pt idx="26">
                  <c:v>290846.81169120385</c:v>
                </c:pt>
                <c:pt idx="27">
                  <c:v>290846.81169120385</c:v>
                </c:pt>
                <c:pt idx="28">
                  <c:v>290846.81169120385</c:v>
                </c:pt>
                <c:pt idx="29">
                  <c:v>290846.81169120385</c:v>
                </c:pt>
              </c:numCache>
            </c:numRef>
          </c:yVal>
          <c:smooth val="0"/>
          <c:extLst>
            <c:ext xmlns:c16="http://schemas.microsoft.com/office/drawing/2014/chart" uri="{C3380CC4-5D6E-409C-BE32-E72D297353CC}">
              <c16:uniqueId val="{00000006-24BB-4BCF-888B-BE33115D0DA8}"/>
            </c:ext>
          </c:extLst>
        </c:ser>
        <c:ser>
          <c:idx val="20"/>
          <c:order val="9"/>
          <c:tx>
            <c:strRef>
              <c:f>Outputs!$B$93</c:f>
              <c:strCache>
                <c:ptCount val="1"/>
                <c:pt idx="0">
                  <c:v>Option 11A</c:v>
                </c:pt>
              </c:strCache>
            </c:strRef>
          </c:tx>
          <c:spPr>
            <a:ln w="19050" cap="rnd">
              <a:solidFill>
                <a:schemeClr val="accent3">
                  <a:lumMod val="80000"/>
                </a:schemeClr>
              </a:solidFill>
              <a:round/>
            </a:ln>
            <a:effectLst/>
          </c:spPr>
          <c:marker>
            <c:symbol val="none"/>
          </c:marker>
          <c:xVal>
            <c:numRef>
              <c:f>Outputs!$D$14:$AG$14</c:f>
            </c:numRef>
          </c:xVal>
          <c:yVal>
            <c:numRef>
              <c:f>Outputs!$D$98:$AG$98</c:f>
            </c:numRef>
          </c:yVal>
          <c:smooth val="0"/>
          <c:extLst>
            <c:ext xmlns:c16="http://schemas.microsoft.com/office/drawing/2014/chart" uri="{C3380CC4-5D6E-409C-BE32-E72D297353CC}">
              <c16:uniqueId val="{00000007-24BB-4BCF-888B-BE33115D0DA8}"/>
            </c:ext>
          </c:extLst>
        </c:ser>
        <c:ser>
          <c:idx val="21"/>
          <c:order val="10"/>
          <c:tx>
            <c:strRef>
              <c:f>Outputs!$B$102</c:f>
              <c:strCache>
                <c:ptCount val="1"/>
                <c:pt idx="0">
                  <c:v>Option 11B</c:v>
                </c:pt>
              </c:strCache>
              <c:extLst xmlns:c15="http://schemas.microsoft.com/office/drawing/2012/chart"/>
            </c:strRef>
          </c:tx>
          <c:spPr>
            <a:ln w="19050" cap="rnd">
              <a:solidFill>
                <a:schemeClr val="accent4">
                  <a:lumMod val="80000"/>
                </a:schemeClr>
              </a:solidFill>
              <a:round/>
            </a:ln>
            <a:effectLst/>
          </c:spPr>
          <c:marker>
            <c:symbol val="none"/>
          </c:marker>
          <c:xVal>
            <c:numRef>
              <c:f>Outputs!$D$14:$AG$14</c:f>
              <c:extLst xmlns:c15="http://schemas.microsoft.com/office/drawing/2012/chart"/>
            </c:numRef>
          </c:xVal>
          <c:yVal>
            <c:numRef>
              <c:f>Outputs!$D$107:$AG$107</c:f>
              <c:extLst xmlns:c15="http://schemas.microsoft.com/office/drawing/2012/chart"/>
            </c:numRef>
          </c:yVal>
          <c:smooth val="0"/>
          <c:extLst xmlns:c15="http://schemas.microsoft.com/office/drawing/2012/chart">
            <c:ext xmlns:c16="http://schemas.microsoft.com/office/drawing/2014/chart" uri="{C3380CC4-5D6E-409C-BE32-E72D297353CC}">
              <c16:uniqueId val="{0000000C-24BB-4BCF-888B-BE33115D0DA8}"/>
            </c:ext>
          </c:extLst>
        </c:ser>
        <c:ser>
          <c:idx val="22"/>
          <c:order val="11"/>
          <c:tx>
            <c:strRef>
              <c:f>Outputs!$B$231</c:f>
              <c:strCache>
                <c:ptCount val="1"/>
                <c:pt idx="0">
                  <c:v>Option 11C</c:v>
                </c:pt>
              </c:strCache>
            </c:strRef>
          </c:tx>
          <c:spPr>
            <a:ln w="19050" cap="rnd">
              <a:solidFill>
                <a:schemeClr val="accent5">
                  <a:lumMod val="80000"/>
                </a:schemeClr>
              </a:solidFill>
              <a:round/>
            </a:ln>
            <a:effectLst/>
          </c:spPr>
          <c:marker>
            <c:symbol val="none"/>
          </c:marker>
          <c:xVal>
            <c:numRef>
              <c:f>Outputs!$D$233:$AG$233</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Outputs!$D$236:$AG$236</c:f>
              <c:numCache>
                <c:formatCode>_(* #,##0_);_(* \(#,##0\);_(* "-"??_);_(@_)</c:formatCode>
                <c:ptCount val="30"/>
                <c:pt idx="0">
                  <c:v>278436.87957137165</c:v>
                </c:pt>
                <c:pt idx="1">
                  <c:v>297204.70349500491</c:v>
                </c:pt>
                <c:pt idx="2">
                  <c:v>234601.0887444198</c:v>
                </c:pt>
                <c:pt idx="3">
                  <c:v>134952.52243551117</c:v>
                </c:pt>
                <c:pt idx="4">
                  <c:v>134952.52243551117</c:v>
                </c:pt>
                <c:pt idx="5">
                  <c:v>148916.80927474546</c:v>
                </c:pt>
                <c:pt idx="6">
                  <c:v>148916.80927474546</c:v>
                </c:pt>
                <c:pt idx="7">
                  <c:v>144579.49070036993</c:v>
                </c:pt>
                <c:pt idx="8">
                  <c:v>144579.49070036993</c:v>
                </c:pt>
                <c:pt idx="9">
                  <c:v>146193.88917096626</c:v>
                </c:pt>
                <c:pt idx="10">
                  <c:v>146193.88917096626</c:v>
                </c:pt>
                <c:pt idx="11">
                  <c:v>144821.92137333384</c:v>
                </c:pt>
                <c:pt idx="12">
                  <c:v>144821.92137333384</c:v>
                </c:pt>
                <c:pt idx="13">
                  <c:v>144483.60155555297</c:v>
                </c:pt>
                <c:pt idx="14">
                  <c:v>144483.60155555297</c:v>
                </c:pt>
                <c:pt idx="15">
                  <c:v>165316.17341266479</c:v>
                </c:pt>
                <c:pt idx="16">
                  <c:v>165316.17341266479</c:v>
                </c:pt>
                <c:pt idx="17">
                  <c:v>165249.68529523592</c:v>
                </c:pt>
                <c:pt idx="18">
                  <c:v>165249.68529523592</c:v>
                </c:pt>
                <c:pt idx="19">
                  <c:v>164877.54257590559</c:v>
                </c:pt>
                <c:pt idx="20">
                  <c:v>164877.54257590559</c:v>
                </c:pt>
                <c:pt idx="21">
                  <c:v>164877.54257590559</c:v>
                </c:pt>
                <c:pt idx="22">
                  <c:v>164877.54257590559</c:v>
                </c:pt>
                <c:pt idx="23">
                  <c:v>164877.54257590559</c:v>
                </c:pt>
                <c:pt idx="24">
                  <c:v>164877.54257590559</c:v>
                </c:pt>
                <c:pt idx="25">
                  <c:v>164385.26105735954</c:v>
                </c:pt>
                <c:pt idx="26">
                  <c:v>164385.26105735954</c:v>
                </c:pt>
                <c:pt idx="27">
                  <c:v>164385.26105735954</c:v>
                </c:pt>
                <c:pt idx="28">
                  <c:v>164385.26105735954</c:v>
                </c:pt>
                <c:pt idx="29">
                  <c:v>164385.26105735954</c:v>
                </c:pt>
              </c:numCache>
            </c:numRef>
          </c:yVal>
          <c:smooth val="0"/>
          <c:extLst>
            <c:ext xmlns:c16="http://schemas.microsoft.com/office/drawing/2014/chart" uri="{C3380CC4-5D6E-409C-BE32-E72D297353CC}">
              <c16:uniqueId val="{00000008-24BB-4BCF-888B-BE33115D0DA8}"/>
            </c:ext>
          </c:extLst>
        </c:ser>
        <c:ser>
          <c:idx val="0"/>
          <c:order val="12"/>
          <c:tx>
            <c:strRef>
              <c:f>Outputs!$B$240</c:f>
              <c:strCache>
                <c:ptCount val="1"/>
                <c:pt idx="0">
                  <c:v>Option 12</c:v>
                </c:pt>
              </c:strCache>
            </c:strRef>
          </c:tx>
          <c:spPr>
            <a:ln w="19050" cap="rnd">
              <a:solidFill>
                <a:schemeClr val="accent1"/>
              </a:solidFill>
              <a:round/>
            </a:ln>
            <a:effectLst/>
          </c:spPr>
          <c:marker>
            <c:symbol val="none"/>
          </c:marker>
          <c:xVal>
            <c:numRef>
              <c:f>Outputs!$D$242:$AG$242</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Outputs!$D$245:$AG$245</c:f>
              <c:numCache>
                <c:formatCode>_(* #,##0_);_(* \(#,##0\);_(* "-"??_);_(@_)</c:formatCode>
                <c:ptCount val="30"/>
                <c:pt idx="0">
                  <c:v>278436.87957137165</c:v>
                </c:pt>
                <c:pt idx="1">
                  <c:v>297204.70349500491</c:v>
                </c:pt>
                <c:pt idx="2">
                  <c:v>145239.9155750564</c:v>
                </c:pt>
                <c:pt idx="3">
                  <c:v>159041.2632752381</c:v>
                </c:pt>
                <c:pt idx="4">
                  <c:v>159041.2632752381</c:v>
                </c:pt>
                <c:pt idx="5">
                  <c:v>177058.64623098687</c:v>
                </c:pt>
                <c:pt idx="6">
                  <c:v>177058.64623098687</c:v>
                </c:pt>
                <c:pt idx="7">
                  <c:v>172721.32765661133</c:v>
                </c:pt>
                <c:pt idx="8">
                  <c:v>172721.32765661133</c:v>
                </c:pt>
                <c:pt idx="9">
                  <c:v>173191.85376784479</c:v>
                </c:pt>
                <c:pt idx="10">
                  <c:v>173191.85376784479</c:v>
                </c:pt>
                <c:pt idx="11">
                  <c:v>171584.81059735437</c:v>
                </c:pt>
                <c:pt idx="12">
                  <c:v>171584.81059735437</c:v>
                </c:pt>
                <c:pt idx="13">
                  <c:v>171211.48845044107</c:v>
                </c:pt>
                <c:pt idx="14">
                  <c:v>171211.48845044107</c:v>
                </c:pt>
                <c:pt idx="15">
                  <c:v>203880.03412168735</c:v>
                </c:pt>
                <c:pt idx="16">
                  <c:v>203880.03412168735</c:v>
                </c:pt>
                <c:pt idx="17">
                  <c:v>203668.07436934975</c:v>
                </c:pt>
                <c:pt idx="18">
                  <c:v>203668.07436934975</c:v>
                </c:pt>
                <c:pt idx="19">
                  <c:v>203295.93165001943</c:v>
                </c:pt>
                <c:pt idx="20">
                  <c:v>203295.93165001943</c:v>
                </c:pt>
                <c:pt idx="21">
                  <c:v>203295.93165001943</c:v>
                </c:pt>
                <c:pt idx="22">
                  <c:v>203295.93165001943</c:v>
                </c:pt>
                <c:pt idx="23">
                  <c:v>203295.93165001943</c:v>
                </c:pt>
                <c:pt idx="24">
                  <c:v>203295.93165001943</c:v>
                </c:pt>
                <c:pt idx="25">
                  <c:v>202386.0489381908</c:v>
                </c:pt>
                <c:pt idx="26">
                  <c:v>202386.0489381908</c:v>
                </c:pt>
                <c:pt idx="27">
                  <c:v>202386.0489381908</c:v>
                </c:pt>
                <c:pt idx="28">
                  <c:v>202386.0489381908</c:v>
                </c:pt>
                <c:pt idx="29">
                  <c:v>202386.0489381908</c:v>
                </c:pt>
              </c:numCache>
            </c:numRef>
          </c:yVal>
          <c:smooth val="0"/>
          <c:extLst>
            <c:ext xmlns:c16="http://schemas.microsoft.com/office/drawing/2014/chart" uri="{C3380CC4-5D6E-409C-BE32-E72D297353CC}">
              <c16:uniqueId val="{00000009-24BB-4BCF-888B-BE33115D0DA8}"/>
            </c:ext>
          </c:extLst>
        </c:ser>
        <c:dLbls>
          <c:showLegendKey val="0"/>
          <c:showVal val="0"/>
          <c:showCatName val="0"/>
          <c:showSerName val="0"/>
          <c:showPercent val="0"/>
          <c:showBubbleSize val="0"/>
        </c:dLbls>
        <c:axId val="535284864"/>
        <c:axId val="535276336"/>
        <c:extLst>
          <c:ext xmlns:c15="http://schemas.microsoft.com/office/drawing/2012/chart" uri="{02D57815-91ED-43cb-92C2-25804820EDAC}">
            <c15:filteredScatterSeries>
              <c15:ser>
                <c:idx val="14"/>
                <c:order val="1"/>
                <c:tx>
                  <c:strRef>
                    <c:extLst>
                      <c:ext uri="{02D57815-91ED-43cb-92C2-25804820EDAC}">
                        <c15:formulaRef>
                          <c15:sqref>Outputs!$B$141</c15:sqref>
                        </c15:formulaRef>
                      </c:ext>
                    </c:extLst>
                    <c:strCache>
                      <c:ptCount val="1"/>
                      <c:pt idx="0">
                        <c:v>Option 1A</c:v>
                      </c:pt>
                    </c:strCache>
                  </c:strRef>
                </c:tx>
                <c:spPr>
                  <a:ln w="19050" cap="rnd">
                    <a:solidFill>
                      <a:schemeClr val="accent3">
                        <a:lumMod val="80000"/>
                        <a:lumOff val="20000"/>
                      </a:schemeClr>
                    </a:solidFill>
                    <a:round/>
                  </a:ln>
                  <a:effectLst/>
                </c:spPr>
                <c:marker>
                  <c:symbol val="none"/>
                </c:marker>
                <c:xVal>
                  <c:numRef>
                    <c:extLst>
                      <c:ext uri="{02D57815-91ED-43cb-92C2-25804820EDAC}">
                        <c15:formulaRef>
                          <c15:sqref>Outputs!$D$143:$AG$143</c15:sqref>
                        </c15:formulaRef>
                      </c:ext>
                    </c:extLst>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extLst>
                      <c:ext uri="{02D57815-91ED-43cb-92C2-25804820EDAC}">
                        <c15:formulaRef>
                          <c15:sqref>Outputs!$D$146:$AG$146</c15:sqref>
                        </c15:formulaRef>
                      </c:ext>
                    </c:extLst>
                    <c:numCache>
                      <c:formatCode>_(* #,##0_);_(* \(#,##0\);_(* "-"??_);_(@_)</c:formatCode>
                      <c:ptCount val="30"/>
                      <c:pt idx="0">
                        <c:v>261286.05720287678</c:v>
                      </c:pt>
                      <c:pt idx="1">
                        <c:v>280053.88112651004</c:v>
                      </c:pt>
                      <c:pt idx="2">
                        <c:v>280053.88112651004</c:v>
                      </c:pt>
                      <c:pt idx="3">
                        <c:v>299698.99826324207</c:v>
                      </c:pt>
                      <c:pt idx="4">
                        <c:v>299698.99826324207</c:v>
                      </c:pt>
                      <c:pt idx="5">
                        <c:v>268615.28080787358</c:v>
                      </c:pt>
                      <c:pt idx="6">
                        <c:v>268615.28080787358</c:v>
                      </c:pt>
                      <c:pt idx="7">
                        <c:v>259012.49521457759</c:v>
                      </c:pt>
                      <c:pt idx="8">
                        <c:v>259012.49521457759</c:v>
                      </c:pt>
                      <c:pt idx="9">
                        <c:v>258565.48644467274</c:v>
                      </c:pt>
                      <c:pt idx="10">
                        <c:v>222406.57935464202</c:v>
                      </c:pt>
                      <c:pt idx="11">
                        <c:v>218915.04632238334</c:v>
                      </c:pt>
                      <c:pt idx="12">
                        <c:v>218915.04632238334</c:v>
                      </c:pt>
                      <c:pt idx="13">
                        <c:v>218142.41487150022</c:v>
                      </c:pt>
                      <c:pt idx="14">
                        <c:v>144483.601555553</c:v>
                      </c:pt>
                      <c:pt idx="15">
                        <c:v>165316.17341266482</c:v>
                      </c:pt>
                      <c:pt idx="16">
                        <c:v>165316.17341266482</c:v>
                      </c:pt>
                      <c:pt idx="17">
                        <c:v>165249.68529523592</c:v>
                      </c:pt>
                      <c:pt idx="18">
                        <c:v>165249.68529523592</c:v>
                      </c:pt>
                      <c:pt idx="19">
                        <c:v>164877.54257590559</c:v>
                      </c:pt>
                      <c:pt idx="20">
                        <c:v>164877.54257590559</c:v>
                      </c:pt>
                      <c:pt idx="21">
                        <c:v>164877.54257590559</c:v>
                      </c:pt>
                      <c:pt idx="22">
                        <c:v>164877.54257590559</c:v>
                      </c:pt>
                      <c:pt idx="23">
                        <c:v>164877.54257590559</c:v>
                      </c:pt>
                      <c:pt idx="24">
                        <c:v>164877.54257590559</c:v>
                      </c:pt>
                      <c:pt idx="25">
                        <c:v>164385.26105735954</c:v>
                      </c:pt>
                      <c:pt idx="26">
                        <c:v>164385.26105735954</c:v>
                      </c:pt>
                      <c:pt idx="27">
                        <c:v>164385.26105735954</c:v>
                      </c:pt>
                      <c:pt idx="28">
                        <c:v>164385.26105735954</c:v>
                      </c:pt>
                      <c:pt idx="29">
                        <c:v>164385.26105735954</c:v>
                      </c:pt>
                    </c:numCache>
                  </c:numRef>
                </c:yVal>
                <c:smooth val="0"/>
                <c:extLst>
                  <c:ext xmlns:c16="http://schemas.microsoft.com/office/drawing/2014/chart" uri="{C3380CC4-5D6E-409C-BE32-E72D297353CC}">
                    <c16:uniqueId val="{00000001-24BB-4BCF-888B-BE33115D0DA8}"/>
                  </c:ext>
                </c:extLst>
              </c15:ser>
            </c15:filteredScatterSeries>
            <c15:filteredScatterSeries>
              <c15:ser>
                <c:idx val="16"/>
                <c:order val="3"/>
                <c:tx>
                  <c:strRef>
                    <c:extLst xmlns:c15="http://schemas.microsoft.com/office/drawing/2012/chart">
                      <c:ext xmlns:c15="http://schemas.microsoft.com/office/drawing/2012/chart" uri="{02D57815-91ED-43cb-92C2-25804820EDAC}">
                        <c15:formulaRef>
                          <c15:sqref>Outputs!$B$159</c15:sqref>
                        </c15:formulaRef>
                      </c:ext>
                    </c:extLst>
                    <c:strCache>
                      <c:ptCount val="1"/>
                      <c:pt idx="0">
                        <c:v>Option 1C</c:v>
                      </c:pt>
                    </c:strCache>
                  </c:strRef>
                </c:tx>
                <c:spPr>
                  <a:ln w="19050" cap="rnd">
                    <a:solidFill>
                      <a:schemeClr val="accent5">
                        <a:lumMod val="80000"/>
                        <a:lumOff val="2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Outputs!$D$161:$AG$161</c15:sqref>
                        </c15:formulaRef>
                      </c:ext>
                    </c:extLst>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extLst xmlns:c15="http://schemas.microsoft.com/office/drawing/2012/chart">
                      <c:ext xmlns:c15="http://schemas.microsoft.com/office/drawing/2012/chart" uri="{02D57815-91ED-43cb-92C2-25804820EDAC}">
                        <c15:formulaRef>
                          <c15:sqref>Outputs!$D$164:$AG$164</c15:sqref>
                        </c15:formulaRef>
                      </c:ext>
                    </c:extLst>
                    <c:numCache>
                      <c:formatCode>_(* #,##0_);_(* \(#,##0\);_(* "-"??_);_(@_)</c:formatCode>
                      <c:ptCount val="30"/>
                      <c:pt idx="0">
                        <c:v>261286.05720287678</c:v>
                      </c:pt>
                      <c:pt idx="1">
                        <c:v>280053.88112651004</c:v>
                      </c:pt>
                      <c:pt idx="2">
                        <c:v>280053.88112651004</c:v>
                      </c:pt>
                      <c:pt idx="3">
                        <c:v>299698.99826324207</c:v>
                      </c:pt>
                      <c:pt idx="4">
                        <c:v>299698.99826324207</c:v>
                      </c:pt>
                      <c:pt idx="5">
                        <c:v>268615.28080787358</c:v>
                      </c:pt>
                      <c:pt idx="6">
                        <c:v>268615.28080787358</c:v>
                      </c:pt>
                      <c:pt idx="7">
                        <c:v>259012.49521457759</c:v>
                      </c:pt>
                      <c:pt idx="8">
                        <c:v>259012.49521457759</c:v>
                      </c:pt>
                      <c:pt idx="9">
                        <c:v>258565.48644467274</c:v>
                      </c:pt>
                      <c:pt idx="10">
                        <c:v>222406.57935464202</c:v>
                      </c:pt>
                      <c:pt idx="11">
                        <c:v>218915.04632238334</c:v>
                      </c:pt>
                      <c:pt idx="12">
                        <c:v>218915.04632238334</c:v>
                      </c:pt>
                      <c:pt idx="13">
                        <c:v>218142.41487150022</c:v>
                      </c:pt>
                      <c:pt idx="14">
                        <c:v>144483.601555553</c:v>
                      </c:pt>
                      <c:pt idx="15">
                        <c:v>165316.17341266482</c:v>
                      </c:pt>
                      <c:pt idx="16">
                        <c:v>165316.17341266482</c:v>
                      </c:pt>
                      <c:pt idx="17">
                        <c:v>165249.68529523592</c:v>
                      </c:pt>
                      <c:pt idx="18">
                        <c:v>165249.68529523592</c:v>
                      </c:pt>
                      <c:pt idx="19">
                        <c:v>164877.54257590559</c:v>
                      </c:pt>
                      <c:pt idx="20">
                        <c:v>164877.54257590559</c:v>
                      </c:pt>
                      <c:pt idx="21">
                        <c:v>164877.54257590559</c:v>
                      </c:pt>
                      <c:pt idx="22">
                        <c:v>164877.54257590559</c:v>
                      </c:pt>
                      <c:pt idx="23">
                        <c:v>164877.54257590559</c:v>
                      </c:pt>
                      <c:pt idx="24">
                        <c:v>164877.54257590559</c:v>
                      </c:pt>
                      <c:pt idx="25">
                        <c:v>164385.26105735954</c:v>
                      </c:pt>
                      <c:pt idx="26">
                        <c:v>164385.26105735954</c:v>
                      </c:pt>
                      <c:pt idx="27">
                        <c:v>164385.26105735954</c:v>
                      </c:pt>
                      <c:pt idx="28">
                        <c:v>164385.26105735954</c:v>
                      </c:pt>
                      <c:pt idx="29">
                        <c:v>164385.26105735954</c:v>
                      </c:pt>
                    </c:numCache>
                  </c:numRef>
                </c:yVal>
                <c:smooth val="0"/>
                <c:extLst xmlns:c15="http://schemas.microsoft.com/office/drawing/2012/chart">
                  <c:ext xmlns:c16="http://schemas.microsoft.com/office/drawing/2014/chart" uri="{C3380CC4-5D6E-409C-BE32-E72D297353CC}">
                    <c16:uniqueId val="{00000002-24BB-4BCF-888B-BE33115D0DA8}"/>
                  </c:ext>
                </c:extLst>
              </c15:ser>
            </c15:filteredScatterSeries>
            <c15:filteredScatterSeries>
              <c15:ser>
                <c:idx val="19"/>
                <c:order val="7"/>
                <c:tx>
                  <c:strRef>
                    <c:extLst xmlns:c15="http://schemas.microsoft.com/office/drawing/2012/chart">
                      <c:ext xmlns:c15="http://schemas.microsoft.com/office/drawing/2012/chart" uri="{02D57815-91ED-43cb-92C2-25804820EDAC}">
                        <c15:formulaRef>
                          <c15:sqref>Outputs!$B$195</c15:sqref>
                        </c15:formulaRef>
                      </c:ext>
                    </c:extLst>
                    <c:strCache>
                      <c:ptCount val="1"/>
                      <c:pt idx="0">
                        <c:v>Option 8B</c:v>
                      </c:pt>
                    </c:strCache>
                  </c:strRef>
                </c:tx>
                <c:spPr>
                  <a:ln w="19050" cap="rnd">
                    <a:solidFill>
                      <a:schemeClr val="accent2">
                        <a:lumMod val="8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Outputs!$D$197:$AG$197</c15:sqref>
                        </c15:formulaRef>
                      </c:ext>
                    </c:extLst>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extLst xmlns:c15="http://schemas.microsoft.com/office/drawing/2012/chart">
                      <c:ext xmlns:c15="http://schemas.microsoft.com/office/drawing/2012/chart" uri="{02D57815-91ED-43cb-92C2-25804820EDAC}">
                        <c15:formulaRef>
                          <c15:sqref>Outputs!$D$200:$AG$200</c15:sqref>
                        </c15:formulaRef>
                      </c:ext>
                    </c:extLst>
                    <c:numCache>
                      <c:formatCode>_(* #,##0_);_(* \(#,##0\);_(* "-"??_);_(@_)</c:formatCode>
                      <c:ptCount val="30"/>
                      <c:pt idx="0">
                        <c:v>278436.87957137165</c:v>
                      </c:pt>
                      <c:pt idx="1">
                        <c:v>297204.70349500491</c:v>
                      </c:pt>
                      <c:pt idx="2">
                        <c:v>297204.70349500491</c:v>
                      </c:pt>
                      <c:pt idx="3">
                        <c:v>315431.18617302546</c:v>
                      </c:pt>
                      <c:pt idx="4">
                        <c:v>315431.18617302546</c:v>
                      </c:pt>
                      <c:pt idx="5">
                        <c:v>313904.4007714967</c:v>
                      </c:pt>
                      <c:pt idx="6">
                        <c:v>313904.4007714967</c:v>
                      </c:pt>
                      <c:pt idx="7">
                        <c:v>303318.1023746687</c:v>
                      </c:pt>
                      <c:pt idx="8">
                        <c:v>303318.1023746687</c:v>
                      </c:pt>
                      <c:pt idx="9">
                        <c:v>303961.47031906317</c:v>
                      </c:pt>
                      <c:pt idx="10">
                        <c:v>261875.29834903718</c:v>
                      </c:pt>
                      <c:pt idx="11">
                        <c:v>259512.37517345324</c:v>
                      </c:pt>
                      <c:pt idx="12">
                        <c:v>259512.37517345324</c:v>
                      </c:pt>
                      <c:pt idx="13">
                        <c:v>259003.18643594004</c:v>
                      </c:pt>
                      <c:pt idx="14">
                        <c:v>204633.07936726013</c:v>
                      </c:pt>
                      <c:pt idx="15">
                        <c:v>235413.66560315649</c:v>
                      </c:pt>
                      <c:pt idx="16">
                        <c:v>235413.66560315649</c:v>
                      </c:pt>
                      <c:pt idx="17">
                        <c:v>235347.17748572759</c:v>
                      </c:pt>
                      <c:pt idx="18">
                        <c:v>235347.17748572759</c:v>
                      </c:pt>
                      <c:pt idx="19">
                        <c:v>234792.7286685353</c:v>
                      </c:pt>
                      <c:pt idx="20">
                        <c:v>234792.7286685353</c:v>
                      </c:pt>
                      <c:pt idx="21">
                        <c:v>234792.7286685353</c:v>
                      </c:pt>
                      <c:pt idx="22">
                        <c:v>234792.7286685353</c:v>
                      </c:pt>
                      <c:pt idx="23">
                        <c:v>234792.7286685353</c:v>
                      </c:pt>
                      <c:pt idx="24">
                        <c:v>234792.7286685353</c:v>
                      </c:pt>
                      <c:pt idx="25">
                        <c:v>234058.0807872047</c:v>
                      </c:pt>
                      <c:pt idx="26">
                        <c:v>234058.0807872047</c:v>
                      </c:pt>
                      <c:pt idx="27">
                        <c:v>234058.0807872047</c:v>
                      </c:pt>
                      <c:pt idx="28">
                        <c:v>234058.0807872047</c:v>
                      </c:pt>
                      <c:pt idx="29">
                        <c:v>234058.0807872047</c:v>
                      </c:pt>
                    </c:numCache>
                  </c:numRef>
                </c:yVal>
                <c:smooth val="0"/>
                <c:extLst xmlns:c15="http://schemas.microsoft.com/office/drawing/2012/chart">
                  <c:ext xmlns:c16="http://schemas.microsoft.com/office/drawing/2014/chart" uri="{C3380CC4-5D6E-409C-BE32-E72D297353CC}">
                    <c16:uniqueId val="{00000005-24BB-4BCF-888B-BE33115D0DA8}"/>
                  </c:ext>
                </c:extLst>
              </c15:ser>
            </c15:filteredScatterSeries>
          </c:ext>
        </c:extLst>
      </c:scatterChart>
      <c:valAx>
        <c:axId val="535284864"/>
        <c:scaling>
          <c:orientation val="minMax"/>
          <c:max val="2055"/>
          <c:min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76336"/>
        <c:crosses val="autoZero"/>
        <c:crossBetween val="midCat"/>
      </c:valAx>
      <c:valAx>
        <c:axId val="53527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Use (CCF/y)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84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Outputs!$B$132</c:f>
              <c:strCache>
                <c:ptCount val="1"/>
                <c:pt idx="0">
                  <c:v>Option 0</c:v>
                </c:pt>
              </c:strCache>
            </c:strRef>
          </c:tx>
          <c:spPr>
            <a:ln w="19050" cap="rnd">
              <a:solidFill>
                <a:schemeClr val="accent1"/>
              </a:solidFill>
              <a:round/>
            </a:ln>
            <a:effectLst/>
          </c:spPr>
          <c:marker>
            <c:symbol val="none"/>
          </c:marker>
          <c:xVal>
            <c:numRef>
              <c:f>Outputs!$D$134:$AG$134</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Outputs!$D$138:$AG$138</c:f>
              <c:numCache>
                <c:formatCode>_(* #,##0_);_(* \(#,##0\);_(* "-"??_);_(@_)</c:formatCode>
                <c:ptCount val="30"/>
                <c:pt idx="0">
                  <c:v>217193.36570781891</c:v>
                </c:pt>
                <c:pt idx="1">
                  <c:v>217193.36570781891</c:v>
                </c:pt>
                <c:pt idx="2">
                  <c:v>202582.99814862272</c:v>
                </c:pt>
                <c:pt idx="3">
                  <c:v>200310.43789959594</c:v>
                </c:pt>
                <c:pt idx="4">
                  <c:v>200310.43789959594</c:v>
                </c:pt>
                <c:pt idx="5">
                  <c:v>184544.49340124018</c:v>
                </c:pt>
                <c:pt idx="6">
                  <c:v>184544.49340124018</c:v>
                </c:pt>
                <c:pt idx="7">
                  <c:v>139394.2730345749</c:v>
                </c:pt>
                <c:pt idx="8">
                  <c:v>139394.2730345749</c:v>
                </c:pt>
                <c:pt idx="9">
                  <c:v>137923.23928354547</c:v>
                </c:pt>
                <c:pt idx="10">
                  <c:v>137923.23928354547</c:v>
                </c:pt>
                <c:pt idx="11">
                  <c:v>135573.52607642504</c:v>
                </c:pt>
                <c:pt idx="12">
                  <c:v>135573.52607642504</c:v>
                </c:pt>
                <c:pt idx="13">
                  <c:v>134994.33858012786</c:v>
                </c:pt>
                <c:pt idx="14">
                  <c:v>134994.33858012786</c:v>
                </c:pt>
                <c:pt idx="15">
                  <c:v>141708.34905198013</c:v>
                </c:pt>
                <c:pt idx="16">
                  <c:v>141708.34905198013</c:v>
                </c:pt>
                <c:pt idx="17">
                  <c:v>141428.15831616017</c:v>
                </c:pt>
                <c:pt idx="18">
                  <c:v>141428.15831616017</c:v>
                </c:pt>
                <c:pt idx="19">
                  <c:v>141135.82050203838</c:v>
                </c:pt>
                <c:pt idx="20">
                  <c:v>141135.82050203838</c:v>
                </c:pt>
                <c:pt idx="21">
                  <c:v>141135.82050203838</c:v>
                </c:pt>
                <c:pt idx="22">
                  <c:v>141135.82050203838</c:v>
                </c:pt>
                <c:pt idx="23">
                  <c:v>141135.82050203838</c:v>
                </c:pt>
                <c:pt idx="24">
                  <c:v>141135.82050203838</c:v>
                </c:pt>
                <c:pt idx="25">
                  <c:v>140842.77346394261</c:v>
                </c:pt>
                <c:pt idx="26">
                  <c:v>140842.77346394261</c:v>
                </c:pt>
                <c:pt idx="27">
                  <c:v>140842.77346394261</c:v>
                </c:pt>
                <c:pt idx="28">
                  <c:v>140842.77346394261</c:v>
                </c:pt>
                <c:pt idx="29">
                  <c:v>140842.77346394261</c:v>
                </c:pt>
              </c:numCache>
            </c:numRef>
          </c:yVal>
          <c:smooth val="0"/>
          <c:extLst>
            <c:ext xmlns:c16="http://schemas.microsoft.com/office/drawing/2014/chart" uri="{C3380CC4-5D6E-409C-BE32-E72D297353CC}">
              <c16:uniqueId val="{00000000-37B4-4F70-92CF-2E3EEFB14350}"/>
            </c:ext>
          </c:extLst>
        </c:ser>
        <c:ser>
          <c:idx val="4"/>
          <c:order val="3"/>
          <c:tx>
            <c:strRef>
              <c:f>Outputs!$B$168</c:f>
              <c:strCache>
                <c:ptCount val="1"/>
                <c:pt idx="0">
                  <c:v>Option 2</c:v>
                </c:pt>
              </c:strCache>
            </c:strRef>
          </c:tx>
          <c:spPr>
            <a:ln w="19050" cap="rnd">
              <a:solidFill>
                <a:schemeClr val="accent5"/>
              </a:solidFill>
              <a:round/>
            </a:ln>
            <a:effectLst/>
          </c:spPr>
          <c:marker>
            <c:symbol val="none"/>
          </c:marker>
          <c:xVal>
            <c:numRef>
              <c:f>Outputs!$D$170:$AG$170</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Outputs!$D$174:$AG$174</c:f>
              <c:numCache>
                <c:formatCode>_(* #,##0_);_(* \(#,##0\);_(* "-"??_);_(@_)</c:formatCode>
                <c:ptCount val="30"/>
                <c:pt idx="0">
                  <c:v>210153.43197440394</c:v>
                </c:pt>
                <c:pt idx="1">
                  <c:v>210153.43197440394</c:v>
                </c:pt>
                <c:pt idx="2">
                  <c:v>88956.365125924262</c:v>
                </c:pt>
                <c:pt idx="3">
                  <c:v>87181.65800466681</c:v>
                </c:pt>
                <c:pt idx="4">
                  <c:v>87181.65800466681</c:v>
                </c:pt>
                <c:pt idx="5">
                  <c:v>85723.910793018702</c:v>
                </c:pt>
                <c:pt idx="6">
                  <c:v>85723.910793018702</c:v>
                </c:pt>
                <c:pt idx="7">
                  <c:v>82146.117973694709</c:v>
                </c:pt>
                <c:pt idx="8">
                  <c:v>82146.117973694709</c:v>
                </c:pt>
                <c:pt idx="9">
                  <c:v>80970.486187793897</c:v>
                </c:pt>
                <c:pt idx="10">
                  <c:v>80970.486187793897</c:v>
                </c:pt>
                <c:pt idx="11">
                  <c:v>79152.017210771068</c:v>
                </c:pt>
                <c:pt idx="12">
                  <c:v>79152.017210771068</c:v>
                </c:pt>
                <c:pt idx="13">
                  <c:v>78715.442828329265</c:v>
                </c:pt>
                <c:pt idx="14">
                  <c:v>78715.442828329265</c:v>
                </c:pt>
                <c:pt idx="15">
                  <c:v>83954.346559266647</c:v>
                </c:pt>
                <c:pt idx="16">
                  <c:v>83954.346559266647</c:v>
                </c:pt>
                <c:pt idx="17">
                  <c:v>83740.267759933864</c:v>
                </c:pt>
                <c:pt idx="18">
                  <c:v>83740.267759933864</c:v>
                </c:pt>
                <c:pt idx="19">
                  <c:v>83506.635033110389</c:v>
                </c:pt>
                <c:pt idx="20">
                  <c:v>83506.635033110389</c:v>
                </c:pt>
                <c:pt idx="21">
                  <c:v>83506.635033110389</c:v>
                </c:pt>
                <c:pt idx="22">
                  <c:v>83506.635033110389</c:v>
                </c:pt>
                <c:pt idx="23">
                  <c:v>83506.635033110389</c:v>
                </c:pt>
                <c:pt idx="24">
                  <c:v>83506.635033110389</c:v>
                </c:pt>
                <c:pt idx="25">
                  <c:v>83272.435503352215</c:v>
                </c:pt>
                <c:pt idx="26">
                  <c:v>83272.435503352215</c:v>
                </c:pt>
                <c:pt idx="27">
                  <c:v>83272.435503352215</c:v>
                </c:pt>
                <c:pt idx="28">
                  <c:v>83272.435503352215</c:v>
                </c:pt>
                <c:pt idx="29">
                  <c:v>83272.435503352215</c:v>
                </c:pt>
              </c:numCache>
            </c:numRef>
          </c:yVal>
          <c:smooth val="0"/>
          <c:extLst>
            <c:ext xmlns:c16="http://schemas.microsoft.com/office/drawing/2014/chart" uri="{C3380CC4-5D6E-409C-BE32-E72D297353CC}">
              <c16:uniqueId val="{00000003-37B4-4F70-92CF-2E3EEFB14350}"/>
            </c:ext>
          </c:extLst>
        </c:ser>
        <c:ser>
          <c:idx val="10"/>
          <c:order val="4"/>
          <c:tx>
            <c:strRef>
              <c:f>Outputs!$B$177</c:f>
              <c:strCache>
                <c:ptCount val="1"/>
                <c:pt idx="0">
                  <c:v>Option 6</c:v>
                </c:pt>
              </c:strCache>
            </c:strRef>
          </c:tx>
          <c:spPr>
            <a:ln w="19050" cap="rnd">
              <a:solidFill>
                <a:schemeClr val="accent5">
                  <a:lumMod val="60000"/>
                </a:schemeClr>
              </a:solidFill>
              <a:round/>
            </a:ln>
            <a:effectLst/>
          </c:spPr>
          <c:marker>
            <c:symbol val="none"/>
          </c:marker>
          <c:xVal>
            <c:numRef>
              <c:f>Outputs!$D$179:$AG$179</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Outputs!$D$183:$AG$183</c:f>
              <c:numCache>
                <c:formatCode>_(* #,##0_);_(* \(#,##0\);_(* "-"??_);_(@_)</c:formatCode>
                <c:ptCount val="30"/>
                <c:pt idx="0">
                  <c:v>210153.43197440394</c:v>
                </c:pt>
                <c:pt idx="1">
                  <c:v>210153.43197440394</c:v>
                </c:pt>
                <c:pt idx="2">
                  <c:v>55889.246862786407</c:v>
                </c:pt>
                <c:pt idx="3">
                  <c:v>54703.055564602313</c:v>
                </c:pt>
                <c:pt idx="4">
                  <c:v>54703.055564602313</c:v>
                </c:pt>
                <c:pt idx="5">
                  <c:v>53836.941502818641</c:v>
                </c:pt>
                <c:pt idx="6">
                  <c:v>53836.941502818641</c:v>
                </c:pt>
                <c:pt idx="7">
                  <c:v>51271.065881609138</c:v>
                </c:pt>
                <c:pt idx="8">
                  <c:v>51271.065881609138</c:v>
                </c:pt>
                <c:pt idx="9">
                  <c:v>50427.941337708959</c:v>
                </c:pt>
                <c:pt idx="10">
                  <c:v>50427.941337708959</c:v>
                </c:pt>
                <c:pt idx="11">
                  <c:v>49247.705783944533</c:v>
                </c:pt>
                <c:pt idx="12">
                  <c:v>49247.705783944533</c:v>
                </c:pt>
                <c:pt idx="13">
                  <c:v>48989.48925391271</c:v>
                </c:pt>
                <c:pt idx="14">
                  <c:v>48989.48925391271</c:v>
                </c:pt>
                <c:pt idx="15">
                  <c:v>52482.012402808534</c:v>
                </c:pt>
                <c:pt idx="16">
                  <c:v>52482.012402808534</c:v>
                </c:pt>
                <c:pt idx="17">
                  <c:v>52349.0241468483</c:v>
                </c:pt>
                <c:pt idx="18">
                  <c:v>52349.0241468483</c:v>
                </c:pt>
                <c:pt idx="19">
                  <c:v>52181.470420753474</c:v>
                </c:pt>
                <c:pt idx="20">
                  <c:v>52181.470420753474</c:v>
                </c:pt>
                <c:pt idx="21">
                  <c:v>52181.470420753474</c:v>
                </c:pt>
                <c:pt idx="22">
                  <c:v>52181.470420753474</c:v>
                </c:pt>
                <c:pt idx="23">
                  <c:v>52181.470420753474</c:v>
                </c:pt>
                <c:pt idx="24">
                  <c:v>52181.470420753474</c:v>
                </c:pt>
                <c:pt idx="25">
                  <c:v>52013.510202190912</c:v>
                </c:pt>
                <c:pt idx="26">
                  <c:v>52013.510202190912</c:v>
                </c:pt>
                <c:pt idx="27">
                  <c:v>52013.510202190912</c:v>
                </c:pt>
                <c:pt idx="28">
                  <c:v>52013.510202190912</c:v>
                </c:pt>
                <c:pt idx="29">
                  <c:v>52013.510202190912</c:v>
                </c:pt>
              </c:numCache>
            </c:numRef>
          </c:yVal>
          <c:smooth val="0"/>
          <c:extLst>
            <c:ext xmlns:c16="http://schemas.microsoft.com/office/drawing/2014/chart" uri="{C3380CC4-5D6E-409C-BE32-E72D297353CC}">
              <c16:uniqueId val="{00000004-37B4-4F70-92CF-2E3EEFB14350}"/>
            </c:ext>
          </c:extLst>
        </c:ser>
        <c:ser>
          <c:idx val="11"/>
          <c:order val="6"/>
          <c:tx>
            <c:strRef>
              <c:f>Outputs!$B$204</c:f>
              <c:strCache>
                <c:ptCount val="1"/>
                <c:pt idx="0">
                  <c:v>Option 10A</c:v>
                </c:pt>
              </c:strCache>
            </c:strRef>
          </c:tx>
          <c:spPr>
            <a:ln w="19050" cap="rnd">
              <a:solidFill>
                <a:schemeClr val="accent6">
                  <a:lumMod val="60000"/>
                </a:schemeClr>
              </a:solidFill>
              <a:round/>
            </a:ln>
            <a:effectLst/>
          </c:spPr>
          <c:marker>
            <c:symbol val="none"/>
          </c:marker>
          <c:xVal>
            <c:numRef>
              <c:f>Outputs!$D$206:$AG$206</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Outputs!$D$210:$AG$210</c:f>
              <c:numCache>
                <c:formatCode>_(* #,##0_);_(* \(#,##0\);_(* "-"??_);_(@_)</c:formatCode>
                <c:ptCount val="30"/>
                <c:pt idx="0">
                  <c:v>210153.43197440394</c:v>
                </c:pt>
                <c:pt idx="1">
                  <c:v>206054.71323645054</c:v>
                </c:pt>
                <c:pt idx="2">
                  <c:v>125137.67441031734</c:v>
                </c:pt>
                <c:pt idx="3">
                  <c:v>123351.93965411482</c:v>
                </c:pt>
                <c:pt idx="4">
                  <c:v>123351.93965411482</c:v>
                </c:pt>
                <c:pt idx="5">
                  <c:v>121775.80885895705</c:v>
                </c:pt>
                <c:pt idx="6">
                  <c:v>121775.80885895705</c:v>
                </c:pt>
                <c:pt idx="7">
                  <c:v>118352.08367300108</c:v>
                </c:pt>
                <c:pt idx="8">
                  <c:v>118352.08367300108</c:v>
                </c:pt>
                <c:pt idx="9">
                  <c:v>117227.07717931611</c:v>
                </c:pt>
                <c:pt idx="10">
                  <c:v>117227.07717931611</c:v>
                </c:pt>
                <c:pt idx="11">
                  <c:v>115361.74516432689</c:v>
                </c:pt>
                <c:pt idx="12">
                  <c:v>115361.74516432689</c:v>
                </c:pt>
                <c:pt idx="13">
                  <c:v>114888.53247131864</c:v>
                </c:pt>
                <c:pt idx="14">
                  <c:v>114888.53247131864</c:v>
                </c:pt>
                <c:pt idx="15">
                  <c:v>120169.17439143371</c:v>
                </c:pt>
                <c:pt idx="16">
                  <c:v>120169.17439143371</c:v>
                </c:pt>
                <c:pt idx="17">
                  <c:v>119943.56344670377</c:v>
                </c:pt>
                <c:pt idx="18">
                  <c:v>119943.56344670377</c:v>
                </c:pt>
                <c:pt idx="19">
                  <c:v>119719.99145931289</c:v>
                </c:pt>
                <c:pt idx="20">
                  <c:v>119719.99145931289</c:v>
                </c:pt>
                <c:pt idx="21">
                  <c:v>119719.99145931289</c:v>
                </c:pt>
                <c:pt idx="22">
                  <c:v>119719.99145931289</c:v>
                </c:pt>
                <c:pt idx="23">
                  <c:v>119719.99145931289</c:v>
                </c:pt>
                <c:pt idx="24">
                  <c:v>119719.99145931289</c:v>
                </c:pt>
                <c:pt idx="25">
                  <c:v>119495.87707676919</c:v>
                </c:pt>
                <c:pt idx="26">
                  <c:v>119495.87707676919</c:v>
                </c:pt>
                <c:pt idx="27">
                  <c:v>119495.87707676919</c:v>
                </c:pt>
                <c:pt idx="28">
                  <c:v>119495.87707676919</c:v>
                </c:pt>
                <c:pt idx="29">
                  <c:v>119495.87707676919</c:v>
                </c:pt>
              </c:numCache>
            </c:numRef>
          </c:yVal>
          <c:smooth val="0"/>
          <c:extLst>
            <c:ext xmlns:c16="http://schemas.microsoft.com/office/drawing/2014/chart" uri="{C3380CC4-5D6E-409C-BE32-E72D297353CC}">
              <c16:uniqueId val="{00000006-37B4-4F70-92CF-2E3EEFB14350}"/>
            </c:ext>
          </c:extLst>
        </c:ser>
        <c:ser>
          <c:idx val="9"/>
          <c:order val="8"/>
          <c:tx>
            <c:strRef>
              <c:f>Outputs!$B$231</c:f>
              <c:strCache>
                <c:ptCount val="1"/>
                <c:pt idx="0">
                  <c:v>Option 11C</c:v>
                </c:pt>
              </c:strCache>
            </c:strRef>
          </c:tx>
          <c:spPr>
            <a:ln w="19050" cap="rnd">
              <a:solidFill>
                <a:schemeClr val="accent4">
                  <a:lumMod val="60000"/>
                </a:schemeClr>
              </a:solidFill>
              <a:round/>
            </a:ln>
            <a:effectLst/>
          </c:spPr>
          <c:marker>
            <c:symbol val="none"/>
          </c:marker>
          <c:xVal>
            <c:numRef>
              <c:f>Outputs!$D$233:$AG$233</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Outputs!$D$237:$AG$237</c:f>
              <c:numCache>
                <c:formatCode>_(* #,##0_);_(* \(#,##0\);_(* "-"??_);_(@_)</c:formatCode>
                <c:ptCount val="30"/>
                <c:pt idx="0">
                  <c:v>210153.43197440394</c:v>
                </c:pt>
                <c:pt idx="1">
                  <c:v>210153.43197440394</c:v>
                </c:pt>
                <c:pt idx="2">
                  <c:v>154505.91752922372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extLst>
            <c:ext xmlns:c16="http://schemas.microsoft.com/office/drawing/2014/chart" uri="{C3380CC4-5D6E-409C-BE32-E72D297353CC}">
              <c16:uniqueId val="{00000008-37B4-4F70-92CF-2E3EEFB14350}"/>
            </c:ext>
          </c:extLst>
        </c:ser>
        <c:ser>
          <c:idx val="12"/>
          <c:order val="9"/>
          <c:tx>
            <c:strRef>
              <c:f>Outputs!$B$240</c:f>
              <c:strCache>
                <c:ptCount val="1"/>
                <c:pt idx="0">
                  <c:v>Option 12</c:v>
                </c:pt>
              </c:strCache>
            </c:strRef>
          </c:tx>
          <c:spPr>
            <a:ln w="19050" cap="rnd">
              <a:solidFill>
                <a:schemeClr val="accent1">
                  <a:lumMod val="80000"/>
                  <a:lumOff val="20000"/>
                </a:schemeClr>
              </a:solidFill>
              <a:round/>
            </a:ln>
            <a:effectLst/>
          </c:spPr>
          <c:marker>
            <c:symbol val="none"/>
          </c:marker>
          <c:xVal>
            <c:numRef>
              <c:f>Outputs!$D$242:$AG$242</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Outputs!$D$246:$AG$246</c:f>
              <c:numCache>
                <c:formatCode>_(* #,##0_);_(* \(#,##0\);_(* "-"??_);_(@_)</c:formatCode>
                <c:ptCount val="30"/>
                <c:pt idx="0">
                  <c:v>210153.43197440394</c:v>
                </c:pt>
                <c:pt idx="1">
                  <c:v>210153.43197440394</c:v>
                </c:pt>
                <c:pt idx="2">
                  <c:v>17246.337834109967</c:v>
                </c:pt>
                <c:pt idx="3">
                  <c:v>17246.337834109967</c:v>
                </c:pt>
                <c:pt idx="4">
                  <c:v>17246.337834109967</c:v>
                </c:pt>
                <c:pt idx="5">
                  <c:v>17246.337834109967</c:v>
                </c:pt>
                <c:pt idx="6">
                  <c:v>17246.337834109967</c:v>
                </c:pt>
                <c:pt idx="7">
                  <c:v>17246.337834109967</c:v>
                </c:pt>
                <c:pt idx="8">
                  <c:v>17246.337834109967</c:v>
                </c:pt>
                <c:pt idx="9">
                  <c:v>15775.304083080562</c:v>
                </c:pt>
                <c:pt idx="10">
                  <c:v>15775.304083080562</c:v>
                </c:pt>
                <c:pt idx="11">
                  <c:v>15557.482932846015</c:v>
                </c:pt>
                <c:pt idx="12">
                  <c:v>15557.482932846015</c:v>
                </c:pt>
                <c:pt idx="13">
                  <c:v>15531.206502435245</c:v>
                </c:pt>
                <c:pt idx="14">
                  <c:v>15531.206502435245</c:v>
                </c:pt>
                <c:pt idx="15">
                  <c:v>21399.138979808795</c:v>
                </c:pt>
                <c:pt idx="16">
                  <c:v>21399.138979808795</c:v>
                </c:pt>
                <c:pt idx="17">
                  <c:v>21118.948243988834</c:v>
                </c:pt>
                <c:pt idx="18">
                  <c:v>21118.948243988834</c:v>
                </c:pt>
                <c:pt idx="19">
                  <c:v>21118.948243988834</c:v>
                </c:pt>
                <c:pt idx="20">
                  <c:v>21118.948243988834</c:v>
                </c:pt>
                <c:pt idx="21">
                  <c:v>21118.948243988834</c:v>
                </c:pt>
                <c:pt idx="22">
                  <c:v>21118.948243988834</c:v>
                </c:pt>
                <c:pt idx="23">
                  <c:v>21118.948243988834</c:v>
                </c:pt>
                <c:pt idx="24">
                  <c:v>21118.948243988834</c:v>
                </c:pt>
                <c:pt idx="25">
                  <c:v>20825.901205893064</c:v>
                </c:pt>
                <c:pt idx="26">
                  <c:v>20825.901205893064</c:v>
                </c:pt>
                <c:pt idx="27">
                  <c:v>20825.901205893064</c:v>
                </c:pt>
                <c:pt idx="28">
                  <c:v>20825.901205893064</c:v>
                </c:pt>
                <c:pt idx="29">
                  <c:v>20825.901205893064</c:v>
                </c:pt>
              </c:numCache>
            </c:numRef>
          </c:yVal>
          <c:smooth val="0"/>
          <c:extLst>
            <c:ext xmlns:c16="http://schemas.microsoft.com/office/drawing/2014/chart" uri="{C3380CC4-5D6E-409C-BE32-E72D297353CC}">
              <c16:uniqueId val="{00000009-37B4-4F70-92CF-2E3EEFB14350}"/>
            </c:ext>
          </c:extLst>
        </c:ser>
        <c:dLbls>
          <c:showLegendKey val="0"/>
          <c:showVal val="0"/>
          <c:showCatName val="0"/>
          <c:showSerName val="0"/>
          <c:showPercent val="0"/>
          <c:showBubbleSize val="0"/>
        </c:dLbls>
        <c:axId val="535284864"/>
        <c:axId val="535276336"/>
        <c:extLst>
          <c:ext xmlns:c15="http://schemas.microsoft.com/office/drawing/2012/chart" uri="{02D57815-91ED-43cb-92C2-25804820EDAC}">
            <c15:filteredScatterSeries>
              <c15:ser>
                <c:idx val="1"/>
                <c:order val="1"/>
                <c:tx>
                  <c:strRef>
                    <c:extLst>
                      <c:ext uri="{02D57815-91ED-43cb-92C2-25804820EDAC}">
                        <c15:formulaRef>
                          <c15:sqref>Outputs!$B$141</c15:sqref>
                        </c15:formulaRef>
                      </c:ext>
                    </c:extLst>
                    <c:strCache>
                      <c:ptCount val="1"/>
                      <c:pt idx="0">
                        <c:v>Option 1A</c:v>
                      </c:pt>
                    </c:strCache>
                  </c:strRef>
                </c:tx>
                <c:spPr>
                  <a:ln w="19050" cap="rnd">
                    <a:solidFill>
                      <a:schemeClr val="accent2"/>
                    </a:solidFill>
                    <a:round/>
                  </a:ln>
                  <a:effectLst/>
                </c:spPr>
                <c:marker>
                  <c:symbol val="none"/>
                </c:marker>
                <c:xVal>
                  <c:numRef>
                    <c:extLst>
                      <c:ext uri="{02D57815-91ED-43cb-92C2-25804820EDAC}">
                        <c15:formulaRef>
                          <c15:sqref>Outputs!$D$143:$AG$143</c15:sqref>
                        </c15:formulaRef>
                      </c:ext>
                    </c:extLst>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extLst>
                      <c:ext uri="{02D57815-91ED-43cb-92C2-25804820EDAC}">
                        <c15:formulaRef>
                          <c15:sqref>Outputs!$D$147:$AG$147</c15:sqref>
                        </c15:formulaRef>
                      </c:ext>
                    </c:extLst>
                    <c:numCache>
                      <c:formatCode>_(* #,##0_);_(* \(#,##0\);_(* "-"??_);_(@_)</c:formatCode>
                      <c:ptCount val="30"/>
                      <c:pt idx="0">
                        <c:v>198922.1023747992</c:v>
                      </c:pt>
                      <c:pt idx="1">
                        <c:v>198922.1023747992</c:v>
                      </c:pt>
                      <c:pt idx="2">
                        <c:v>198922.1023747992</c:v>
                      </c:pt>
                      <c:pt idx="3">
                        <c:v>196675.17029264136</c:v>
                      </c:pt>
                      <c:pt idx="4">
                        <c:v>196675.17029264136</c:v>
                      </c:pt>
                      <c:pt idx="5">
                        <c:v>162534.27347190946</c:v>
                      </c:pt>
                      <c:pt idx="6">
                        <c:v>162534.27347190946</c:v>
                      </c:pt>
                      <c:pt idx="7">
                        <c:v>157508.99883711879</c:v>
                      </c:pt>
                      <c:pt idx="8">
                        <c:v>157508.99883711879</c:v>
                      </c:pt>
                      <c:pt idx="9">
                        <c:v>155421.25719233381</c:v>
                      </c:pt>
                      <c:pt idx="10">
                        <c:v>137828.18526455632</c:v>
                      </c:pt>
                      <c:pt idx="11">
                        <c:v>135235.56477230618</c:v>
                      </c:pt>
                      <c:pt idx="12">
                        <c:v>135235.56477230618</c:v>
                      </c:pt>
                      <c:pt idx="13">
                        <c:v>134603.6816280756</c:v>
                      </c:pt>
                      <c:pt idx="14">
                        <c:v>45398.21607412809</c:v>
                      </c:pt>
                      <c:pt idx="15">
                        <c:v>48261.89223139231</c:v>
                      </c:pt>
                      <c:pt idx="16">
                        <c:v>48261.89223139231</c:v>
                      </c:pt>
                      <c:pt idx="17">
                        <c:v>48138.257320063916</c:v>
                      </c:pt>
                      <c:pt idx="18">
                        <c:v>48138.257320063916</c:v>
                      </c:pt>
                      <c:pt idx="19">
                        <c:v>48018.576087139052</c:v>
                      </c:pt>
                      <c:pt idx="20">
                        <c:v>48018.576087139052</c:v>
                      </c:pt>
                      <c:pt idx="21">
                        <c:v>48018.576087139052</c:v>
                      </c:pt>
                      <c:pt idx="22">
                        <c:v>48018.576087139052</c:v>
                      </c:pt>
                      <c:pt idx="23">
                        <c:v>48018.576087139052</c:v>
                      </c:pt>
                      <c:pt idx="24">
                        <c:v>48018.576087139052</c:v>
                      </c:pt>
                      <c:pt idx="25">
                        <c:v>47898.604502451512</c:v>
                      </c:pt>
                      <c:pt idx="26">
                        <c:v>47898.604502451512</c:v>
                      </c:pt>
                      <c:pt idx="27">
                        <c:v>47898.604502451512</c:v>
                      </c:pt>
                      <c:pt idx="28">
                        <c:v>47898.604502451512</c:v>
                      </c:pt>
                      <c:pt idx="29">
                        <c:v>47898.604502451512</c:v>
                      </c:pt>
                    </c:numCache>
                  </c:numRef>
                </c:yVal>
                <c:smooth val="0"/>
                <c:extLst>
                  <c:ext xmlns:c16="http://schemas.microsoft.com/office/drawing/2014/chart" uri="{C3380CC4-5D6E-409C-BE32-E72D297353CC}">
                    <c16:uniqueId val="{00000001-37B4-4F70-92CF-2E3EEFB14350}"/>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Outputs!$B$159</c15:sqref>
                        </c15:formulaRef>
                      </c:ext>
                    </c:extLst>
                    <c:strCache>
                      <c:ptCount val="1"/>
                      <c:pt idx="0">
                        <c:v>Option 1C</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Outputs!$D$161:$AG$161</c15:sqref>
                        </c15:formulaRef>
                      </c:ext>
                    </c:extLst>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extLst xmlns:c15="http://schemas.microsoft.com/office/drawing/2012/chart">
                      <c:ext xmlns:c15="http://schemas.microsoft.com/office/drawing/2012/chart" uri="{02D57815-91ED-43cb-92C2-25804820EDAC}">
                        <c15:formulaRef>
                          <c15:sqref>Outputs!$D$165:$AG$165</c15:sqref>
                        </c15:formulaRef>
                      </c:ext>
                    </c:extLst>
                    <c:numCache>
                      <c:formatCode>_(* #,##0_);_(* \(#,##0\);_(* "-"??_);_(@_)</c:formatCode>
                      <c:ptCount val="30"/>
                      <c:pt idx="0">
                        <c:v>193760.6289561204</c:v>
                      </c:pt>
                      <c:pt idx="1">
                        <c:v>193760.6289561204</c:v>
                      </c:pt>
                      <c:pt idx="2">
                        <c:v>193760.6289561204</c:v>
                      </c:pt>
                      <c:pt idx="3">
                        <c:v>191910.32947982568</c:v>
                      </c:pt>
                      <c:pt idx="4">
                        <c:v>191910.32947982568</c:v>
                      </c:pt>
                      <c:pt idx="5">
                        <c:v>143699.09214542786</c:v>
                      </c:pt>
                      <c:pt idx="6">
                        <c:v>143699.09214542786</c:v>
                      </c:pt>
                      <c:pt idx="7">
                        <c:v>139212.33056348795</c:v>
                      </c:pt>
                      <c:pt idx="8">
                        <c:v>139212.33056348795</c:v>
                      </c:pt>
                      <c:pt idx="9">
                        <c:v>137124.588918703</c:v>
                      </c:pt>
                      <c:pt idx="10">
                        <c:v>112076.45634538807</c:v>
                      </c:pt>
                      <c:pt idx="11">
                        <c:v>109795.87191595521</c:v>
                      </c:pt>
                      <c:pt idx="12">
                        <c:v>109795.87191595521</c:v>
                      </c:pt>
                      <c:pt idx="13">
                        <c:v>109241.06406340495</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extLst xmlns:c15="http://schemas.microsoft.com/office/drawing/2012/chart">
                  <c:ext xmlns:c16="http://schemas.microsoft.com/office/drawing/2014/chart" uri="{C3380CC4-5D6E-409C-BE32-E72D297353CC}">
                    <c16:uniqueId val="{00000002-37B4-4F70-92CF-2E3EEFB14350}"/>
                  </c:ext>
                </c:extLst>
              </c15:ser>
            </c15:filteredScatterSeries>
            <c15:filteredScatterSeries>
              <c15:ser>
                <c:idx val="6"/>
                <c:order val="5"/>
                <c:tx>
                  <c:strRef>
                    <c:extLst xmlns:c15="http://schemas.microsoft.com/office/drawing/2012/chart">
                      <c:ext xmlns:c15="http://schemas.microsoft.com/office/drawing/2012/chart" uri="{02D57815-91ED-43cb-92C2-25804820EDAC}">
                        <c15:formulaRef>
                          <c15:sqref>Outputs!$B$195</c15:sqref>
                        </c15:formulaRef>
                      </c:ext>
                    </c:extLst>
                    <c:strCache>
                      <c:ptCount val="1"/>
                      <c:pt idx="0">
                        <c:v>Option 8B</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Outputs!$D$197:$AG$197</c15:sqref>
                        </c15:formulaRef>
                      </c:ext>
                    </c:extLst>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extLst xmlns:c15="http://schemas.microsoft.com/office/drawing/2012/chart">
                      <c:ext xmlns:c15="http://schemas.microsoft.com/office/drawing/2012/chart" uri="{02D57815-91ED-43cb-92C2-25804820EDAC}">
                        <c15:formulaRef>
                          <c15:sqref>Outputs!$D$201:$AG$201</c15:sqref>
                        </c15:formulaRef>
                      </c:ext>
                    </c:extLst>
                    <c:numCache>
                      <c:formatCode>_(* #,##0_);_(* \(#,##0\);_(* "-"??_);_(@_)</c:formatCode>
                      <c:ptCount val="30"/>
                      <c:pt idx="0">
                        <c:v>210153.43197440394</c:v>
                      </c:pt>
                      <c:pt idx="1">
                        <c:v>210153.43197440394</c:v>
                      </c:pt>
                      <c:pt idx="2">
                        <c:v>210153.43197440394</c:v>
                      </c:pt>
                      <c:pt idx="3">
                        <c:v>206928.13638288132</c:v>
                      </c:pt>
                      <c:pt idx="4">
                        <c:v>206928.13638288132</c:v>
                      </c:pt>
                      <c:pt idx="5">
                        <c:v>179607.38166146507</c:v>
                      </c:pt>
                      <c:pt idx="6">
                        <c:v>179607.38166146507</c:v>
                      </c:pt>
                      <c:pt idx="7">
                        <c:v>174800.37734035822</c:v>
                      </c:pt>
                      <c:pt idx="8">
                        <c:v>174800.37734035822</c:v>
                      </c:pt>
                      <c:pt idx="9">
                        <c:v>172712.63569557326</c:v>
                      </c:pt>
                      <c:pt idx="10">
                        <c:v>116775.15415578688</c:v>
                      </c:pt>
                      <c:pt idx="11">
                        <c:v>116178.0548727486</c:v>
                      </c:pt>
                      <c:pt idx="12">
                        <c:v>116178.0548727486</c:v>
                      </c:pt>
                      <c:pt idx="13">
                        <c:v>116075.42908570489</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extLst xmlns:c15="http://schemas.microsoft.com/office/drawing/2012/chart">
                  <c:ext xmlns:c16="http://schemas.microsoft.com/office/drawing/2014/chart" uri="{C3380CC4-5D6E-409C-BE32-E72D297353CC}">
                    <c16:uniqueId val="{00000005-37B4-4F70-92CF-2E3EEFB14350}"/>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Outputs!$B$213</c15:sqref>
                        </c15:formulaRef>
                      </c:ext>
                    </c:extLst>
                    <c:strCache>
                      <c:ptCount val="1"/>
                      <c:pt idx="0">
                        <c:v>Option 11A</c:v>
                      </c:pt>
                    </c:strCache>
                  </c:strRef>
                </c:tx>
                <c:spPr>
                  <a:ln w="19050" cap="rnd">
                    <a:solidFill>
                      <a:schemeClr val="accent2">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Outputs!$D$215:$AG$215</c15:sqref>
                        </c15:formulaRef>
                      </c:ext>
                    </c:extLst>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extLst xmlns:c15="http://schemas.microsoft.com/office/drawing/2012/chart">
                      <c:ext xmlns:c15="http://schemas.microsoft.com/office/drawing/2012/chart" uri="{02D57815-91ED-43cb-92C2-25804820EDAC}">
                        <c15:formulaRef>
                          <c15:sqref>Outputs!$D$219:$AG$219</c15:sqref>
                        </c15:formulaRef>
                      </c:ext>
                    </c:extLst>
                    <c:numCache>
                      <c:formatCode>_(* #,##0_);_(* \(#,##0\);_(* "-"??_);_(@_)</c:formatCode>
                      <c:ptCount val="30"/>
                      <c:pt idx="0">
                        <c:v>210153.43197440394</c:v>
                      </c:pt>
                      <c:pt idx="1">
                        <c:v>210153.43197440394</c:v>
                      </c:pt>
                      <c:pt idx="2">
                        <c:v>171429.44765523117</c:v>
                      </c:pt>
                      <c:pt idx="3">
                        <c:v>49978.696019347546</c:v>
                      </c:pt>
                      <c:pt idx="4">
                        <c:v>49978.696019347546</c:v>
                      </c:pt>
                      <c:pt idx="5">
                        <c:v>49109.983701325014</c:v>
                      </c:pt>
                      <c:pt idx="6">
                        <c:v>49109.983701325014</c:v>
                      </c:pt>
                      <c:pt idx="7">
                        <c:v>47277.215400461086</c:v>
                      </c:pt>
                      <c:pt idx="8">
                        <c:v>47277.215400461086</c:v>
                      </c:pt>
                      <c:pt idx="9">
                        <c:v>46674.983583389527</c:v>
                      </c:pt>
                      <c:pt idx="10">
                        <c:v>46674.983583389527</c:v>
                      </c:pt>
                      <c:pt idx="11">
                        <c:v>45659.180161100958</c:v>
                      </c:pt>
                      <c:pt idx="12">
                        <c:v>45659.180161100958</c:v>
                      </c:pt>
                      <c:pt idx="13">
                        <c:v>45398.216074128097</c:v>
                      </c:pt>
                      <c:pt idx="14">
                        <c:v>45398.216074128097</c:v>
                      </c:pt>
                      <c:pt idx="15">
                        <c:v>48261.892231392318</c:v>
                      </c:pt>
                      <c:pt idx="16">
                        <c:v>48261.892231392318</c:v>
                      </c:pt>
                      <c:pt idx="17">
                        <c:v>48138.257320063931</c:v>
                      </c:pt>
                      <c:pt idx="18">
                        <c:v>48138.257320063931</c:v>
                      </c:pt>
                      <c:pt idx="19">
                        <c:v>48018.576087139052</c:v>
                      </c:pt>
                      <c:pt idx="20">
                        <c:v>48018.576087139052</c:v>
                      </c:pt>
                      <c:pt idx="21">
                        <c:v>48018.576087139052</c:v>
                      </c:pt>
                      <c:pt idx="22">
                        <c:v>48018.576087139052</c:v>
                      </c:pt>
                      <c:pt idx="23">
                        <c:v>48018.576087139052</c:v>
                      </c:pt>
                      <c:pt idx="24">
                        <c:v>48018.576087139052</c:v>
                      </c:pt>
                      <c:pt idx="25">
                        <c:v>47898.604502451512</c:v>
                      </c:pt>
                      <c:pt idx="26">
                        <c:v>47898.604502451512</c:v>
                      </c:pt>
                      <c:pt idx="27">
                        <c:v>47898.604502451512</c:v>
                      </c:pt>
                      <c:pt idx="28">
                        <c:v>47898.604502451512</c:v>
                      </c:pt>
                      <c:pt idx="29">
                        <c:v>47898.604502451512</c:v>
                      </c:pt>
                    </c:numCache>
                  </c:numRef>
                </c:yVal>
                <c:smooth val="0"/>
                <c:extLst xmlns:c15="http://schemas.microsoft.com/office/drawing/2012/chart">
                  <c:ext xmlns:c16="http://schemas.microsoft.com/office/drawing/2014/chart" uri="{C3380CC4-5D6E-409C-BE32-E72D297353CC}">
                    <c16:uniqueId val="{00000007-37B4-4F70-92CF-2E3EEFB14350}"/>
                  </c:ext>
                </c:extLst>
              </c15:ser>
            </c15:filteredScatterSeries>
          </c:ext>
        </c:extLst>
      </c:scatterChart>
      <c:valAx>
        <c:axId val="535284864"/>
        <c:scaling>
          <c:orientation val="minMax"/>
          <c:max val="2055"/>
          <c:min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76336"/>
        <c:crosses val="autoZero"/>
        <c:crossBetween val="midCat"/>
      </c:valAx>
      <c:valAx>
        <c:axId val="53527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 Emissions (tons CO</a:t>
                </a:r>
                <a:r>
                  <a:rPr lang="en-US" baseline="-25000"/>
                  <a:t>2</a:t>
                </a:r>
                <a:r>
                  <a:rPr lang="en-US"/>
                  <a:t>-eq/y)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84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Outputs!$B$340:$C$340</c:f>
              <c:strCache>
                <c:ptCount val="2"/>
                <c:pt idx="0">
                  <c:v>2</c:v>
                </c:pt>
                <c:pt idx="1">
                  <c:v>New</c:v>
                </c:pt>
              </c:strCache>
            </c:strRef>
          </c:tx>
          <c:spPr>
            <a:ln w="28575" cap="rnd">
              <a:solidFill>
                <a:schemeClr val="accent5"/>
              </a:solidFill>
              <a:round/>
            </a:ln>
            <a:effectLst/>
          </c:spPr>
          <c:marker>
            <c:symbol val="none"/>
          </c:marker>
          <c:cat>
            <c:numRef>
              <c:f>Outputs!$D$339:$AG$339</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cat>
          <c:val>
            <c:numRef>
              <c:f>Outputs!$D$340:$AG$340</c:f>
              <c:numCache>
                <c:formatCode>_(* #,##0_);_(* \(#,##0\);_(* "-"??_);_(@_)</c:formatCode>
                <c:ptCount val="30"/>
                <c:pt idx="0">
                  <c:v>210153.43197440394</c:v>
                </c:pt>
                <c:pt idx="1">
                  <c:v>210153.43197440394</c:v>
                </c:pt>
                <c:pt idx="2">
                  <c:v>88956.365125924262</c:v>
                </c:pt>
                <c:pt idx="3">
                  <c:v>87181.65800466681</c:v>
                </c:pt>
                <c:pt idx="4">
                  <c:v>87181.65800466681</c:v>
                </c:pt>
                <c:pt idx="5">
                  <c:v>85723.910793018702</c:v>
                </c:pt>
                <c:pt idx="6">
                  <c:v>85723.910793018702</c:v>
                </c:pt>
                <c:pt idx="7">
                  <c:v>82146.117973694709</c:v>
                </c:pt>
                <c:pt idx="8">
                  <c:v>82146.117973694709</c:v>
                </c:pt>
                <c:pt idx="9">
                  <c:v>80970.486187793897</c:v>
                </c:pt>
                <c:pt idx="10">
                  <c:v>80970.486187793897</c:v>
                </c:pt>
                <c:pt idx="11">
                  <c:v>79152.017210771068</c:v>
                </c:pt>
                <c:pt idx="12">
                  <c:v>79152.017210771068</c:v>
                </c:pt>
                <c:pt idx="13">
                  <c:v>78715.442828329265</c:v>
                </c:pt>
                <c:pt idx="14">
                  <c:v>78715.442828329265</c:v>
                </c:pt>
                <c:pt idx="15">
                  <c:v>83954.346559266647</c:v>
                </c:pt>
                <c:pt idx="16">
                  <c:v>83954.346559266647</c:v>
                </c:pt>
                <c:pt idx="17">
                  <c:v>83740.267759933864</c:v>
                </c:pt>
                <c:pt idx="18">
                  <c:v>83740.267759933864</c:v>
                </c:pt>
                <c:pt idx="19">
                  <c:v>83506.635033110389</c:v>
                </c:pt>
                <c:pt idx="20">
                  <c:v>83506.635033110389</c:v>
                </c:pt>
                <c:pt idx="21">
                  <c:v>83506.635033110389</c:v>
                </c:pt>
                <c:pt idx="22">
                  <c:v>83506.635033110389</c:v>
                </c:pt>
                <c:pt idx="23">
                  <c:v>83506.635033110389</c:v>
                </c:pt>
                <c:pt idx="24">
                  <c:v>83506.635033110389</c:v>
                </c:pt>
                <c:pt idx="25">
                  <c:v>83272.435503352215</c:v>
                </c:pt>
                <c:pt idx="26">
                  <c:v>83272.435503352215</c:v>
                </c:pt>
                <c:pt idx="27">
                  <c:v>83272.435503352215</c:v>
                </c:pt>
                <c:pt idx="28">
                  <c:v>83272.435503352215</c:v>
                </c:pt>
                <c:pt idx="29">
                  <c:v>83272.435503352215</c:v>
                </c:pt>
              </c:numCache>
            </c:numRef>
          </c:val>
          <c:smooth val="0"/>
          <c:extLst>
            <c:ext xmlns:c16="http://schemas.microsoft.com/office/drawing/2014/chart" uri="{C3380CC4-5D6E-409C-BE32-E72D297353CC}">
              <c16:uniqueId val="{00000000-112A-4C35-A9DC-7387BBC2B36D}"/>
            </c:ext>
          </c:extLst>
        </c:ser>
        <c:ser>
          <c:idx val="5"/>
          <c:order val="1"/>
          <c:tx>
            <c:strRef>
              <c:f>Outputs!$B$342:$C$342</c:f>
              <c:strCache>
                <c:ptCount val="2"/>
                <c:pt idx="0">
                  <c:v>2</c:v>
                </c:pt>
                <c:pt idx="1">
                  <c:v>Old</c:v>
                </c:pt>
              </c:strCache>
            </c:strRef>
          </c:tx>
          <c:spPr>
            <a:ln w="28575" cap="rnd">
              <a:solidFill>
                <a:schemeClr val="accent5">
                  <a:lumMod val="40000"/>
                  <a:lumOff val="60000"/>
                </a:schemeClr>
              </a:solidFill>
              <a:round/>
            </a:ln>
            <a:effectLst/>
          </c:spPr>
          <c:marker>
            <c:symbol val="none"/>
          </c:marker>
          <c:cat>
            <c:numRef>
              <c:f>Outputs!$D$339:$AG$339</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cat>
          <c:val>
            <c:numRef>
              <c:f>Outputs!$D$342:$AG$342</c:f>
              <c:numCache>
                <c:formatCode>_(* #,##0_);_(* \(#,##0\);_(* "-"??_);_(@_)</c:formatCode>
                <c:ptCount val="30"/>
                <c:pt idx="0">
                  <c:v>210153.43197440394</c:v>
                </c:pt>
                <c:pt idx="1">
                  <c:v>210426.19601803014</c:v>
                </c:pt>
                <c:pt idx="2">
                  <c:v>210409.68967873455</c:v>
                </c:pt>
                <c:pt idx="3">
                  <c:v>208613.82009258575</c:v>
                </c:pt>
                <c:pt idx="4">
                  <c:v>208484.73107593789</c:v>
                </c:pt>
                <c:pt idx="5">
                  <c:v>193318.88328959458</c:v>
                </c:pt>
                <c:pt idx="6">
                  <c:v>193318.88328959458</c:v>
                </c:pt>
                <c:pt idx="7">
                  <c:v>187640.96661446089</c:v>
                </c:pt>
                <c:pt idx="8">
                  <c:v>187640.96661446089</c:v>
                </c:pt>
                <c:pt idx="9">
                  <c:v>185553.22496967594</c:v>
                </c:pt>
                <c:pt idx="10">
                  <c:v>159399.0695289647</c:v>
                </c:pt>
                <c:pt idx="11">
                  <c:v>157319.73487243964</c:v>
                </c:pt>
                <c:pt idx="12">
                  <c:v>157319.73487243964</c:v>
                </c:pt>
                <c:pt idx="13">
                  <c:v>156838.32448628437</c:v>
                </c:pt>
                <c:pt idx="14">
                  <c:v>78715.442828329265</c:v>
                </c:pt>
                <c:pt idx="15">
                  <c:v>83954.346559266647</c:v>
                </c:pt>
                <c:pt idx="16">
                  <c:v>83954.346559266647</c:v>
                </c:pt>
                <c:pt idx="17">
                  <c:v>83740.267759933864</c:v>
                </c:pt>
                <c:pt idx="18">
                  <c:v>83740.267759933864</c:v>
                </c:pt>
                <c:pt idx="19">
                  <c:v>83506.635033110389</c:v>
                </c:pt>
                <c:pt idx="20">
                  <c:v>83506.635033110389</c:v>
                </c:pt>
                <c:pt idx="21">
                  <c:v>83506.635033110389</c:v>
                </c:pt>
                <c:pt idx="22">
                  <c:v>83506.635033110389</c:v>
                </c:pt>
                <c:pt idx="23">
                  <c:v>83506.635033110389</c:v>
                </c:pt>
                <c:pt idx="24">
                  <c:v>83506.635033110389</c:v>
                </c:pt>
                <c:pt idx="25">
                  <c:v>83272.435503352215</c:v>
                </c:pt>
                <c:pt idx="26">
                  <c:v>83272.435503352215</c:v>
                </c:pt>
                <c:pt idx="27">
                  <c:v>83272.435503352215</c:v>
                </c:pt>
                <c:pt idx="28">
                  <c:v>83272.435503352215</c:v>
                </c:pt>
                <c:pt idx="29">
                  <c:v>83272.435503352215</c:v>
                </c:pt>
              </c:numCache>
            </c:numRef>
          </c:val>
          <c:smooth val="0"/>
          <c:extLst>
            <c:ext xmlns:c16="http://schemas.microsoft.com/office/drawing/2014/chart" uri="{C3380CC4-5D6E-409C-BE32-E72D297353CC}">
              <c16:uniqueId val="{00000005-112A-4C35-A9DC-7387BBC2B36D}"/>
            </c:ext>
          </c:extLst>
        </c:ser>
        <c:ser>
          <c:idx val="3"/>
          <c:order val="2"/>
          <c:tx>
            <c:strRef>
              <c:f>Outputs!$B$341:$C$341</c:f>
              <c:strCache>
                <c:ptCount val="2"/>
                <c:pt idx="0">
                  <c:v>11c-E</c:v>
                </c:pt>
                <c:pt idx="1">
                  <c:v>New</c:v>
                </c:pt>
              </c:strCache>
            </c:strRef>
          </c:tx>
          <c:spPr>
            <a:ln w="28575" cap="rnd">
              <a:solidFill>
                <a:schemeClr val="accent2"/>
              </a:solidFill>
              <a:round/>
            </a:ln>
            <a:effectLst/>
          </c:spPr>
          <c:marker>
            <c:symbol val="none"/>
          </c:marker>
          <c:cat>
            <c:numRef>
              <c:f>Outputs!$D$339:$AG$339</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cat>
          <c:val>
            <c:numRef>
              <c:f>Outputs!$D$341:$AG$341</c:f>
              <c:numCache>
                <c:formatCode>_(* #,##0_);_(* \(#,##0\);_(* "-"??_);_(@_)</c:formatCode>
                <c:ptCount val="30"/>
                <c:pt idx="0">
                  <c:v>210153.43197440394</c:v>
                </c:pt>
                <c:pt idx="1">
                  <c:v>210153.43197440394</c:v>
                </c:pt>
                <c:pt idx="2">
                  <c:v>154505.91752922372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3-112A-4C35-A9DC-7387BBC2B36D}"/>
            </c:ext>
          </c:extLst>
        </c:ser>
        <c:ser>
          <c:idx val="8"/>
          <c:order val="3"/>
          <c:tx>
            <c:strRef>
              <c:f>Outputs!$B$343:$C$343</c:f>
              <c:strCache>
                <c:ptCount val="2"/>
                <c:pt idx="0">
                  <c:v>11c-E</c:v>
                </c:pt>
                <c:pt idx="1">
                  <c:v>Old</c:v>
                </c:pt>
              </c:strCache>
            </c:strRef>
          </c:tx>
          <c:spPr>
            <a:ln w="28575" cap="rnd">
              <a:solidFill>
                <a:schemeClr val="accent2">
                  <a:lumMod val="40000"/>
                  <a:lumOff val="60000"/>
                </a:schemeClr>
              </a:solidFill>
              <a:round/>
            </a:ln>
            <a:effectLst/>
          </c:spPr>
          <c:marker>
            <c:symbol val="none"/>
          </c:marker>
          <c:cat>
            <c:numRef>
              <c:f>Outputs!$D$339:$AG$339</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cat>
          <c:val>
            <c:numRef>
              <c:f>Outputs!$D$343:$AG$343</c:f>
              <c:numCache>
                <c:formatCode>_(* #,##0_);_(* \(#,##0\);_(* "-"??_);_(@_)</c:formatCode>
                <c:ptCount val="30"/>
                <c:pt idx="0">
                  <c:v>210255.25684146525</c:v>
                </c:pt>
                <c:pt idx="1">
                  <c:v>210522.50777363521</c:v>
                </c:pt>
                <c:pt idx="2">
                  <c:v>210500.17312025896</c:v>
                </c:pt>
                <c:pt idx="3">
                  <c:v>208698.16001740511</c:v>
                </c:pt>
                <c:pt idx="4">
                  <c:v>208562.61228142786</c:v>
                </c:pt>
                <c:pt idx="5">
                  <c:v>184896.72887017202</c:v>
                </c:pt>
                <c:pt idx="6">
                  <c:v>184369.40115582617</c:v>
                </c:pt>
                <c:pt idx="7">
                  <c:v>178714.91826602435</c:v>
                </c:pt>
                <c:pt idx="8">
                  <c:v>178181.15444015604</c:v>
                </c:pt>
                <c:pt idx="9">
                  <c:v>175537.85440915183</c:v>
                </c:pt>
                <c:pt idx="10">
                  <c:v>121190.36721443314</c:v>
                </c:pt>
                <c:pt idx="11">
                  <c:v>119363.65873093692</c:v>
                </c:pt>
                <c:pt idx="12">
                  <c:v>118163.8931353345</c:v>
                </c:pt>
                <c:pt idx="13">
                  <c:v>116816.5629810231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8-112A-4C35-A9DC-7387BBC2B36D}"/>
            </c:ext>
          </c:extLst>
        </c:ser>
        <c:dLbls>
          <c:showLegendKey val="0"/>
          <c:showVal val="0"/>
          <c:showCatName val="0"/>
          <c:showSerName val="0"/>
          <c:showPercent val="0"/>
          <c:showBubbleSize val="0"/>
        </c:dLbls>
        <c:smooth val="0"/>
        <c:axId val="764773896"/>
        <c:axId val="764774552"/>
      </c:lineChart>
      <c:catAx>
        <c:axId val="764773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74552"/>
        <c:crosses val="autoZero"/>
        <c:auto val="1"/>
        <c:lblAlgn val="ctr"/>
        <c:lblOffset val="100"/>
        <c:noMultiLvlLbl val="0"/>
      </c:catAx>
      <c:valAx>
        <c:axId val="764774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Carbon emissions (tons CO2-eq/y)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73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Outputs!$B$132</c:f>
              <c:strCache>
                <c:ptCount val="1"/>
                <c:pt idx="0">
                  <c:v>Option 0</c:v>
                </c:pt>
              </c:strCache>
            </c:strRef>
          </c:tx>
          <c:spPr>
            <a:ln w="19050" cap="rnd">
              <a:solidFill>
                <a:schemeClr val="accent1"/>
              </a:solidFill>
              <a:round/>
            </a:ln>
            <a:effectLst/>
          </c:spPr>
          <c:marker>
            <c:symbol val="none"/>
          </c:marker>
          <c:xVal>
            <c:numRef>
              <c:f>Outputs!$D$134:$AG$134</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Outputs!$D$135:$AG$135</c:f>
              <c:numCache>
                <c:formatCode>_(* #,##0_);_(* \(#,##0\);_(* "-"??_);_(@_)</c:formatCode>
                <c:ptCount val="30"/>
                <c:pt idx="0">
                  <c:v>0</c:v>
                </c:pt>
                <c:pt idx="1">
                  <c:v>0</c:v>
                </c:pt>
                <c:pt idx="2">
                  <c:v>0</c:v>
                </c:pt>
                <c:pt idx="3">
                  <c:v>0</c:v>
                </c:pt>
                <c:pt idx="4">
                  <c:v>0</c:v>
                </c:pt>
                <c:pt idx="5">
                  <c:v>16120936.061962306</c:v>
                </c:pt>
                <c:pt idx="6">
                  <c:v>16120936.061962306</c:v>
                </c:pt>
                <c:pt idx="7">
                  <c:v>15369930.189866841</c:v>
                </c:pt>
                <c:pt idx="8">
                  <c:v>15369930.189866841</c:v>
                </c:pt>
                <c:pt idx="9">
                  <c:v>15619355.110337764</c:v>
                </c:pt>
                <c:pt idx="10">
                  <c:v>15619355.110337764</c:v>
                </c:pt>
                <c:pt idx="11">
                  <c:v>14493235.714921474</c:v>
                </c:pt>
                <c:pt idx="12">
                  <c:v>14493235.714921474</c:v>
                </c:pt>
                <c:pt idx="13">
                  <c:v>14406600.08308357</c:v>
                </c:pt>
                <c:pt idx="14">
                  <c:v>14406600.08308357</c:v>
                </c:pt>
                <c:pt idx="15">
                  <c:v>56453362.99320361</c:v>
                </c:pt>
                <c:pt idx="16">
                  <c:v>56453362.99320361</c:v>
                </c:pt>
                <c:pt idx="17">
                  <c:v>56453362.99320361</c:v>
                </c:pt>
                <c:pt idx="18">
                  <c:v>56453362.99320361</c:v>
                </c:pt>
                <c:pt idx="19">
                  <c:v>55851163.225441098</c:v>
                </c:pt>
                <c:pt idx="20">
                  <c:v>55851163.225441098</c:v>
                </c:pt>
                <c:pt idx="21">
                  <c:v>55851163.225441098</c:v>
                </c:pt>
                <c:pt idx="22">
                  <c:v>55851163.225441098</c:v>
                </c:pt>
                <c:pt idx="23">
                  <c:v>55851163.225441098</c:v>
                </c:pt>
                <c:pt idx="24">
                  <c:v>55851163.225441098</c:v>
                </c:pt>
                <c:pt idx="25">
                  <c:v>55108147.051527828</c:v>
                </c:pt>
                <c:pt idx="26">
                  <c:v>55108147.051527828</c:v>
                </c:pt>
                <c:pt idx="27">
                  <c:v>55108147.051527828</c:v>
                </c:pt>
                <c:pt idx="28">
                  <c:v>55108147.051527828</c:v>
                </c:pt>
                <c:pt idx="29">
                  <c:v>55108147.051527828</c:v>
                </c:pt>
              </c:numCache>
            </c:numRef>
          </c:yVal>
          <c:smooth val="0"/>
          <c:extLst>
            <c:ext xmlns:c16="http://schemas.microsoft.com/office/drawing/2014/chart" uri="{C3380CC4-5D6E-409C-BE32-E72D297353CC}">
              <c16:uniqueId val="{00000000-288F-4F22-BFC9-EF10050B8291}"/>
            </c:ext>
          </c:extLst>
        </c:ser>
        <c:ser>
          <c:idx val="1"/>
          <c:order val="1"/>
          <c:tx>
            <c:strRef>
              <c:f>Outputs!$B$141</c:f>
              <c:strCache>
                <c:ptCount val="1"/>
                <c:pt idx="0">
                  <c:v>Option 1A</c:v>
                </c:pt>
              </c:strCache>
            </c:strRef>
          </c:tx>
          <c:spPr>
            <a:ln w="19050" cap="rnd">
              <a:solidFill>
                <a:schemeClr val="accent2"/>
              </a:solidFill>
              <a:round/>
            </a:ln>
            <a:effectLst/>
          </c:spPr>
          <c:marker>
            <c:symbol val="none"/>
          </c:marker>
          <c:xVal>
            <c:numRef>
              <c:f>Outputs!$D$143:$AG$143</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Outputs!$D$144:$AG$144</c:f>
              <c:numCache>
                <c:formatCode>_(* #,##0_);_(* \(#,##0\);_(* "-"??_);_(@_)</c:formatCode>
                <c:ptCount val="30"/>
                <c:pt idx="0">
                  <c:v>20641256.461636871</c:v>
                </c:pt>
                <c:pt idx="1">
                  <c:v>20641256.461636871</c:v>
                </c:pt>
                <c:pt idx="2">
                  <c:v>20641256.461636871</c:v>
                </c:pt>
                <c:pt idx="3">
                  <c:v>20057383.255155746</c:v>
                </c:pt>
                <c:pt idx="4">
                  <c:v>20057383.255155746</c:v>
                </c:pt>
                <c:pt idx="5">
                  <c:v>70900161.062808499</c:v>
                </c:pt>
                <c:pt idx="6">
                  <c:v>70900161.062808499</c:v>
                </c:pt>
                <c:pt idx="7">
                  <c:v>67248921.251742601</c:v>
                </c:pt>
                <c:pt idx="8">
                  <c:v>67248921.251742601</c:v>
                </c:pt>
                <c:pt idx="9">
                  <c:v>67846283.46209161</c:v>
                </c:pt>
                <c:pt idx="10">
                  <c:v>120965437.05477171</c:v>
                </c:pt>
                <c:pt idx="11">
                  <c:v>120791014.57495978</c:v>
                </c:pt>
                <c:pt idx="12">
                  <c:v>120791014.57495978</c:v>
                </c:pt>
                <c:pt idx="13">
                  <c:v>120747962.18037227</c:v>
                </c:pt>
                <c:pt idx="14">
                  <c:v>175303168.25067636</c:v>
                </c:pt>
                <c:pt idx="15">
                  <c:v>214989280.68852437</c:v>
                </c:pt>
                <c:pt idx="16">
                  <c:v>214989280.68852437</c:v>
                </c:pt>
                <c:pt idx="17">
                  <c:v>214989280.68852437</c:v>
                </c:pt>
                <c:pt idx="18">
                  <c:v>214989280.68852437</c:v>
                </c:pt>
                <c:pt idx="19">
                  <c:v>214430341.91332072</c:v>
                </c:pt>
                <c:pt idx="20">
                  <c:v>214430341.91332072</c:v>
                </c:pt>
                <c:pt idx="21">
                  <c:v>214430341.91332072</c:v>
                </c:pt>
                <c:pt idx="22">
                  <c:v>214430341.91332072</c:v>
                </c:pt>
                <c:pt idx="23">
                  <c:v>214430341.91332072</c:v>
                </c:pt>
                <c:pt idx="24">
                  <c:v>214430341.91332072</c:v>
                </c:pt>
                <c:pt idx="25">
                  <c:v>213744838.95229453</c:v>
                </c:pt>
                <c:pt idx="26">
                  <c:v>213744838.95229453</c:v>
                </c:pt>
                <c:pt idx="27">
                  <c:v>213744838.95229453</c:v>
                </c:pt>
                <c:pt idx="28">
                  <c:v>213744838.95229453</c:v>
                </c:pt>
                <c:pt idx="29">
                  <c:v>213744838.95229453</c:v>
                </c:pt>
              </c:numCache>
            </c:numRef>
          </c:yVal>
          <c:smooth val="0"/>
          <c:extLst>
            <c:ext xmlns:c16="http://schemas.microsoft.com/office/drawing/2014/chart" uri="{C3380CC4-5D6E-409C-BE32-E72D297353CC}">
              <c16:uniqueId val="{00000001-288F-4F22-BFC9-EF10050B8291}"/>
            </c:ext>
          </c:extLst>
        </c:ser>
        <c:ser>
          <c:idx val="2"/>
          <c:order val="2"/>
          <c:tx>
            <c:strRef>
              <c:f>Outputs!$B$30</c:f>
              <c:strCache>
                <c:ptCount val="1"/>
                <c:pt idx="0">
                  <c:v>Option 1B</c:v>
                </c:pt>
              </c:strCache>
              <c:extLst xmlns:c15="http://schemas.microsoft.com/office/drawing/2012/chart"/>
            </c:strRef>
          </c:tx>
          <c:spPr>
            <a:ln w="19050" cap="rnd">
              <a:solidFill>
                <a:schemeClr val="accent3"/>
              </a:solidFill>
              <a:round/>
            </a:ln>
            <a:effectLst/>
          </c:spPr>
          <c:marker>
            <c:symbol val="none"/>
          </c:marker>
          <c:xVal>
            <c:numRef>
              <c:f>Outputs!$D$14:$AG$14</c:f>
              <c:extLst xmlns:c15="http://schemas.microsoft.com/office/drawing/2012/chart"/>
            </c:numRef>
          </c:xVal>
          <c:yVal>
            <c:numRef>
              <c:f>Outputs!$D$33:$AG$33</c:f>
              <c:extLst xmlns:c15="http://schemas.microsoft.com/office/drawing/2012/chart"/>
            </c:numRef>
          </c:yVal>
          <c:smooth val="0"/>
          <c:extLst xmlns:c15="http://schemas.microsoft.com/office/drawing/2012/chart">
            <c:ext xmlns:c16="http://schemas.microsoft.com/office/drawing/2014/chart" uri="{C3380CC4-5D6E-409C-BE32-E72D297353CC}">
              <c16:uniqueId val="{00000007-288F-4F22-BFC9-EF10050B8291}"/>
            </c:ext>
          </c:extLst>
        </c:ser>
        <c:ser>
          <c:idx val="3"/>
          <c:order val="3"/>
          <c:tx>
            <c:strRef>
              <c:f>Outputs!$B$159</c:f>
              <c:strCache>
                <c:ptCount val="1"/>
                <c:pt idx="0">
                  <c:v>Option 1C</c:v>
                </c:pt>
              </c:strCache>
            </c:strRef>
          </c:tx>
          <c:spPr>
            <a:ln w="19050" cap="rnd">
              <a:solidFill>
                <a:schemeClr val="accent4"/>
              </a:solidFill>
              <a:round/>
            </a:ln>
            <a:effectLst/>
          </c:spPr>
          <c:marker>
            <c:symbol val="none"/>
          </c:marker>
          <c:xVal>
            <c:numRef>
              <c:f>Outputs!$D$161:$AG$161</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Outputs!$D$162:$AG$162</c:f>
              <c:numCache>
                <c:formatCode>_(* #,##0_);_(* \(#,##0\);_(* "-"??_);_(@_)</c:formatCode>
                <c:ptCount val="30"/>
                <c:pt idx="0">
                  <c:v>30759933.538222048</c:v>
                </c:pt>
                <c:pt idx="1">
                  <c:v>30759933.538222048</c:v>
                </c:pt>
                <c:pt idx="2">
                  <c:v>30759933.538222048</c:v>
                </c:pt>
                <c:pt idx="3">
                  <c:v>29646735.000699997</c:v>
                </c:pt>
                <c:pt idx="4">
                  <c:v>29646735.000699997</c:v>
                </c:pt>
                <c:pt idx="5">
                  <c:v>106387961.58038113</c:v>
                </c:pt>
                <c:pt idx="6">
                  <c:v>106387961.58038113</c:v>
                </c:pt>
                <c:pt idx="7">
                  <c:v>102094360.53733748</c:v>
                </c:pt>
                <c:pt idx="8">
                  <c:v>102094360.53733748</c:v>
                </c:pt>
                <c:pt idx="9">
                  <c:v>102689691.88932908</c:v>
                </c:pt>
                <c:pt idx="10">
                  <c:v>166606299.67795473</c:v>
                </c:pt>
                <c:pt idx="11">
                  <c:v>165942244.04951635</c:v>
                </c:pt>
                <c:pt idx="12">
                  <c:v>165942244.04951635</c:v>
                </c:pt>
                <c:pt idx="13">
                  <c:v>165794496.71247479</c:v>
                </c:pt>
                <c:pt idx="14">
                  <c:v>260074297.75379011</c:v>
                </c:pt>
                <c:pt idx="15">
                  <c:v>303633784.12180173</c:v>
                </c:pt>
                <c:pt idx="16">
                  <c:v>303633784.12180173</c:v>
                </c:pt>
                <c:pt idx="17">
                  <c:v>303390755.77581608</c:v>
                </c:pt>
                <c:pt idx="18">
                  <c:v>303390755.77581608</c:v>
                </c:pt>
                <c:pt idx="19">
                  <c:v>302681496.42961389</c:v>
                </c:pt>
                <c:pt idx="20">
                  <c:v>302681496.42961389</c:v>
                </c:pt>
                <c:pt idx="21">
                  <c:v>302681496.42961389</c:v>
                </c:pt>
                <c:pt idx="22">
                  <c:v>302681496.42961389</c:v>
                </c:pt>
                <c:pt idx="23">
                  <c:v>302681496.42961389</c:v>
                </c:pt>
                <c:pt idx="24">
                  <c:v>302681496.42961389</c:v>
                </c:pt>
                <c:pt idx="25">
                  <c:v>301848063.43947595</c:v>
                </c:pt>
                <c:pt idx="26">
                  <c:v>301848063.43947595</c:v>
                </c:pt>
                <c:pt idx="27">
                  <c:v>301848063.43947595</c:v>
                </c:pt>
                <c:pt idx="28">
                  <c:v>301848063.43947595</c:v>
                </c:pt>
                <c:pt idx="29">
                  <c:v>301848063.43947595</c:v>
                </c:pt>
              </c:numCache>
            </c:numRef>
          </c:yVal>
          <c:smooth val="0"/>
          <c:extLst>
            <c:ext xmlns:c16="http://schemas.microsoft.com/office/drawing/2014/chart" uri="{C3380CC4-5D6E-409C-BE32-E72D297353CC}">
              <c16:uniqueId val="{00000002-288F-4F22-BFC9-EF10050B8291}"/>
            </c:ext>
          </c:extLst>
        </c:ser>
        <c:ser>
          <c:idx val="4"/>
          <c:order val="4"/>
          <c:tx>
            <c:strRef>
              <c:f>Outputs!$B$168</c:f>
              <c:strCache>
                <c:ptCount val="1"/>
                <c:pt idx="0">
                  <c:v>Option 2</c:v>
                </c:pt>
              </c:strCache>
            </c:strRef>
          </c:tx>
          <c:spPr>
            <a:ln w="19050" cap="rnd">
              <a:solidFill>
                <a:schemeClr val="accent5"/>
              </a:solidFill>
              <a:round/>
            </a:ln>
            <a:effectLst/>
          </c:spPr>
          <c:marker>
            <c:symbol val="none"/>
          </c:marker>
          <c:xVal>
            <c:numRef>
              <c:f>Outputs!$D$170:$AG$170</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Outputs!$D$171:$AG$171</c:f>
              <c:numCache>
                <c:formatCode>_(* #,##0_);_(* \(#,##0\);_(* "-"??_);_(@_)</c:formatCode>
                <c:ptCount val="30"/>
                <c:pt idx="0">
                  <c:v>0</c:v>
                </c:pt>
                <c:pt idx="1">
                  <c:v>2865758.5345967412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extLst>
            <c:ext xmlns:c16="http://schemas.microsoft.com/office/drawing/2014/chart" uri="{C3380CC4-5D6E-409C-BE32-E72D297353CC}">
              <c16:uniqueId val="{00000003-288F-4F22-BFC9-EF10050B8291}"/>
            </c:ext>
          </c:extLst>
        </c:ser>
        <c:ser>
          <c:idx val="10"/>
          <c:order val="5"/>
          <c:tx>
            <c:strRef>
              <c:f>Outputs!$B$177</c:f>
              <c:strCache>
                <c:ptCount val="1"/>
                <c:pt idx="0">
                  <c:v>Option 6</c:v>
                </c:pt>
              </c:strCache>
            </c:strRef>
          </c:tx>
          <c:spPr>
            <a:ln w="19050" cap="rnd">
              <a:solidFill>
                <a:schemeClr val="accent5">
                  <a:lumMod val="60000"/>
                </a:schemeClr>
              </a:solidFill>
              <a:round/>
            </a:ln>
            <a:effectLst/>
          </c:spPr>
          <c:marker>
            <c:symbol val="none"/>
          </c:marker>
          <c:xVal>
            <c:numRef>
              <c:f>Outputs!$D$179:$AG$179</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Outputs!$D$180:$AG$180</c:f>
              <c:numCache>
                <c:formatCode>_(* #,##0_);_(* \(#,##0\);_(* "-"??_);_(@_)</c:formatCode>
                <c:ptCount val="30"/>
                <c:pt idx="0">
                  <c:v>0</c:v>
                </c:pt>
                <c:pt idx="1">
                  <c:v>2865758.5345967412</c:v>
                </c:pt>
                <c:pt idx="2">
                  <c:v>213515470.00814971</c:v>
                </c:pt>
                <c:pt idx="3">
                  <c:v>229465787.09521624</c:v>
                </c:pt>
                <c:pt idx="4">
                  <c:v>229465787.09521624</c:v>
                </c:pt>
                <c:pt idx="5">
                  <c:v>234269958.37737536</c:v>
                </c:pt>
                <c:pt idx="6">
                  <c:v>234269958.37737536</c:v>
                </c:pt>
                <c:pt idx="7">
                  <c:v>223444695.67282408</c:v>
                </c:pt>
                <c:pt idx="8">
                  <c:v>223444695.67282408</c:v>
                </c:pt>
                <c:pt idx="9">
                  <c:v>223635944.05278075</c:v>
                </c:pt>
                <c:pt idx="10">
                  <c:v>223635944.05278075</c:v>
                </c:pt>
                <c:pt idx="11">
                  <c:v>221889618.50614679</c:v>
                </c:pt>
                <c:pt idx="12">
                  <c:v>221889618.50614679</c:v>
                </c:pt>
                <c:pt idx="13">
                  <c:v>221508563.44931492</c:v>
                </c:pt>
                <c:pt idx="14">
                  <c:v>221508563.44931492</c:v>
                </c:pt>
                <c:pt idx="15">
                  <c:v>263195564.81473142</c:v>
                </c:pt>
                <c:pt idx="16">
                  <c:v>263195564.81473142</c:v>
                </c:pt>
                <c:pt idx="17">
                  <c:v>263082526.47690898</c:v>
                </c:pt>
                <c:pt idx="18">
                  <c:v>263082526.47690898</c:v>
                </c:pt>
                <c:pt idx="19">
                  <c:v>262508797.67526135</c:v>
                </c:pt>
                <c:pt idx="20">
                  <c:v>262508797.67526135</c:v>
                </c:pt>
                <c:pt idx="21">
                  <c:v>262508797.67526135</c:v>
                </c:pt>
                <c:pt idx="22">
                  <c:v>262508797.67526135</c:v>
                </c:pt>
                <c:pt idx="23">
                  <c:v>262508797.67526135</c:v>
                </c:pt>
                <c:pt idx="24">
                  <c:v>262508797.67526135</c:v>
                </c:pt>
                <c:pt idx="25">
                  <c:v>261801987.10315412</c:v>
                </c:pt>
                <c:pt idx="26">
                  <c:v>261801987.10315412</c:v>
                </c:pt>
                <c:pt idx="27">
                  <c:v>261801987.10315412</c:v>
                </c:pt>
                <c:pt idx="28">
                  <c:v>261801987.10315412</c:v>
                </c:pt>
                <c:pt idx="29">
                  <c:v>261801987.10315412</c:v>
                </c:pt>
              </c:numCache>
            </c:numRef>
          </c:yVal>
          <c:smooth val="0"/>
          <c:extLst>
            <c:ext xmlns:c16="http://schemas.microsoft.com/office/drawing/2014/chart" uri="{C3380CC4-5D6E-409C-BE32-E72D297353CC}">
              <c16:uniqueId val="{00000001-0225-4D9F-8F86-C8158FA00F0E}"/>
            </c:ext>
          </c:extLst>
        </c:ser>
        <c:ser>
          <c:idx val="5"/>
          <c:order val="6"/>
          <c:tx>
            <c:strRef>
              <c:f>Outputs!$B$66</c:f>
              <c:strCache>
                <c:ptCount val="1"/>
                <c:pt idx="0">
                  <c:v>Option 8A</c:v>
                </c:pt>
              </c:strCache>
              <c:extLst xmlns:c15="http://schemas.microsoft.com/office/drawing/2012/chart"/>
            </c:strRef>
          </c:tx>
          <c:spPr>
            <a:ln w="19050" cap="rnd">
              <a:solidFill>
                <a:schemeClr val="accent6"/>
              </a:solidFill>
              <a:round/>
            </a:ln>
            <a:effectLst/>
          </c:spPr>
          <c:marker>
            <c:symbol val="none"/>
          </c:marker>
          <c:xVal>
            <c:numRef>
              <c:f>Outputs!$D$14:$AG$14</c:f>
              <c:extLst xmlns:c15="http://schemas.microsoft.com/office/drawing/2012/chart"/>
            </c:numRef>
          </c:xVal>
          <c:yVal>
            <c:numRef>
              <c:f>Outputs!$D$69:$AG$69</c:f>
              <c:extLst xmlns:c15="http://schemas.microsoft.com/office/drawing/2012/chart"/>
            </c:numRef>
          </c:yVal>
          <c:smooth val="0"/>
          <c:extLst xmlns:c15="http://schemas.microsoft.com/office/drawing/2012/chart">
            <c:ext xmlns:c16="http://schemas.microsoft.com/office/drawing/2014/chart" uri="{C3380CC4-5D6E-409C-BE32-E72D297353CC}">
              <c16:uniqueId val="{00000008-288F-4F22-BFC9-EF10050B8291}"/>
            </c:ext>
          </c:extLst>
        </c:ser>
        <c:ser>
          <c:idx val="6"/>
          <c:order val="7"/>
          <c:tx>
            <c:strRef>
              <c:f>Outputs!$B$195</c:f>
              <c:strCache>
                <c:ptCount val="1"/>
                <c:pt idx="0">
                  <c:v>Option 8B</c:v>
                </c:pt>
              </c:strCache>
            </c:strRef>
          </c:tx>
          <c:spPr>
            <a:ln w="19050" cap="rnd">
              <a:solidFill>
                <a:schemeClr val="accent1">
                  <a:lumMod val="60000"/>
                </a:schemeClr>
              </a:solidFill>
              <a:round/>
            </a:ln>
            <a:effectLst/>
          </c:spPr>
          <c:marker>
            <c:symbol val="none"/>
          </c:marker>
          <c:xVal>
            <c:numRef>
              <c:f>Outputs!$D$197:$AG$197</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Outputs!$D$198:$AG$198</c:f>
              <c:numCache>
                <c:formatCode>_(* #,##0_);_(* \(#,##0\);_(* "-"??_);_(@_)</c:formatCode>
                <c:ptCount val="30"/>
                <c:pt idx="0">
                  <c:v>0</c:v>
                </c:pt>
                <c:pt idx="1">
                  <c:v>0</c:v>
                </c:pt>
                <c:pt idx="2">
                  <c:v>0</c:v>
                </c:pt>
                <c:pt idx="3">
                  <c:v>8385065.6061556414</c:v>
                </c:pt>
                <c:pt idx="4">
                  <c:v>8385065.6061556414</c:v>
                </c:pt>
                <c:pt idx="5">
                  <c:v>73500800.169956744</c:v>
                </c:pt>
                <c:pt idx="6">
                  <c:v>73500800.169956744</c:v>
                </c:pt>
                <c:pt idx="7">
                  <c:v>67497954.153766885</c:v>
                </c:pt>
                <c:pt idx="8">
                  <c:v>67497954.153766885</c:v>
                </c:pt>
                <c:pt idx="9">
                  <c:v>67497954.153766885</c:v>
                </c:pt>
                <c:pt idx="10">
                  <c:v>150522086.15353557</c:v>
                </c:pt>
                <c:pt idx="11">
                  <c:v>147732911.5786992</c:v>
                </c:pt>
                <c:pt idx="12">
                  <c:v>147732911.5786992</c:v>
                </c:pt>
                <c:pt idx="13">
                  <c:v>147102575.21018684</c:v>
                </c:pt>
                <c:pt idx="14">
                  <c:v>275939051.7016111</c:v>
                </c:pt>
                <c:pt idx="15">
                  <c:v>320894511.19102746</c:v>
                </c:pt>
                <c:pt idx="16">
                  <c:v>320894511.19102746</c:v>
                </c:pt>
                <c:pt idx="17">
                  <c:v>320599486.84177649</c:v>
                </c:pt>
                <c:pt idx="18">
                  <c:v>320599486.84177649</c:v>
                </c:pt>
                <c:pt idx="19">
                  <c:v>319796471.3704766</c:v>
                </c:pt>
                <c:pt idx="20">
                  <c:v>319796471.3704766</c:v>
                </c:pt>
                <c:pt idx="21">
                  <c:v>319796471.3704766</c:v>
                </c:pt>
                <c:pt idx="22">
                  <c:v>319796471.3704766</c:v>
                </c:pt>
                <c:pt idx="23">
                  <c:v>319796471.3704766</c:v>
                </c:pt>
                <c:pt idx="24">
                  <c:v>319796471.3704766</c:v>
                </c:pt>
                <c:pt idx="25">
                  <c:v>318859817.86950195</c:v>
                </c:pt>
                <c:pt idx="26">
                  <c:v>318859817.86950195</c:v>
                </c:pt>
                <c:pt idx="27">
                  <c:v>318859817.86950195</c:v>
                </c:pt>
                <c:pt idx="28">
                  <c:v>318859817.86950195</c:v>
                </c:pt>
                <c:pt idx="29">
                  <c:v>318859817.86950195</c:v>
                </c:pt>
              </c:numCache>
            </c:numRef>
          </c:yVal>
          <c:smooth val="0"/>
          <c:extLst>
            <c:ext xmlns:c16="http://schemas.microsoft.com/office/drawing/2014/chart" uri="{C3380CC4-5D6E-409C-BE32-E72D297353CC}">
              <c16:uniqueId val="{00000004-288F-4F22-BFC9-EF10050B8291}"/>
            </c:ext>
          </c:extLst>
        </c:ser>
        <c:ser>
          <c:idx val="11"/>
          <c:order val="8"/>
          <c:tx>
            <c:strRef>
              <c:f>Outputs!$B$204</c:f>
              <c:strCache>
                <c:ptCount val="1"/>
                <c:pt idx="0">
                  <c:v>Option 10A</c:v>
                </c:pt>
              </c:strCache>
            </c:strRef>
          </c:tx>
          <c:spPr>
            <a:ln w="19050" cap="rnd">
              <a:solidFill>
                <a:schemeClr val="accent6">
                  <a:lumMod val="60000"/>
                </a:schemeClr>
              </a:solidFill>
              <a:round/>
            </a:ln>
            <a:effectLst/>
          </c:spPr>
          <c:marker>
            <c:symbol val="none"/>
          </c:marker>
          <c:xVal>
            <c:numRef>
              <c:f>Outputs!$D$206:$AG$206</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Outputs!$D$207:$AG$207</c:f>
              <c:numCache>
                <c:formatCode>_(* #,##0_);_(* \(#,##0\);_(* "-"??_);_(@_)</c:formatCode>
                <c:ptCount val="30"/>
                <c:pt idx="0">
                  <c:v>0</c:v>
                </c:pt>
                <c:pt idx="1">
                  <c:v>47837563.678282395</c:v>
                </c:pt>
                <c:pt idx="2">
                  <c:v>168997147.24434036</c:v>
                </c:pt>
                <c:pt idx="3">
                  <c:v>186004902.54178959</c:v>
                </c:pt>
                <c:pt idx="4">
                  <c:v>186004902.54178959</c:v>
                </c:pt>
                <c:pt idx="5">
                  <c:v>192394342.89682317</c:v>
                </c:pt>
                <c:pt idx="6">
                  <c:v>192394342.89682317</c:v>
                </c:pt>
                <c:pt idx="7">
                  <c:v>181395211.20034271</c:v>
                </c:pt>
                <c:pt idx="8">
                  <c:v>181395211.20034271</c:v>
                </c:pt>
                <c:pt idx="9">
                  <c:v>181654503.7405248</c:v>
                </c:pt>
                <c:pt idx="10">
                  <c:v>181654503.7405248</c:v>
                </c:pt>
                <c:pt idx="11">
                  <c:v>180550748.01953286</c:v>
                </c:pt>
                <c:pt idx="12">
                  <c:v>180550748.01953286</c:v>
                </c:pt>
                <c:pt idx="13">
                  <c:v>180464890.10379493</c:v>
                </c:pt>
                <c:pt idx="14">
                  <c:v>180464890.10379493</c:v>
                </c:pt>
                <c:pt idx="15">
                  <c:v>221514950.29348302</c:v>
                </c:pt>
                <c:pt idx="16">
                  <c:v>221514950.29348302</c:v>
                </c:pt>
                <c:pt idx="17">
                  <c:v>221514950.29348302</c:v>
                </c:pt>
                <c:pt idx="18">
                  <c:v>221514950.29348302</c:v>
                </c:pt>
                <c:pt idx="19">
                  <c:v>220926206.14733073</c:v>
                </c:pt>
                <c:pt idx="20">
                  <c:v>220926206.14733073</c:v>
                </c:pt>
                <c:pt idx="21">
                  <c:v>220926206.14733073</c:v>
                </c:pt>
                <c:pt idx="22">
                  <c:v>220926206.14733073</c:v>
                </c:pt>
                <c:pt idx="23">
                  <c:v>220926206.14733073</c:v>
                </c:pt>
                <c:pt idx="24">
                  <c:v>220926206.14733073</c:v>
                </c:pt>
                <c:pt idx="25">
                  <c:v>220199433.46492535</c:v>
                </c:pt>
                <c:pt idx="26">
                  <c:v>220199433.46492535</c:v>
                </c:pt>
                <c:pt idx="27">
                  <c:v>220199433.46492535</c:v>
                </c:pt>
                <c:pt idx="28">
                  <c:v>220199433.46492535</c:v>
                </c:pt>
                <c:pt idx="29">
                  <c:v>220199433.46492535</c:v>
                </c:pt>
              </c:numCache>
            </c:numRef>
          </c:yVal>
          <c:smooth val="0"/>
          <c:extLst>
            <c:ext xmlns:c16="http://schemas.microsoft.com/office/drawing/2014/chart" uri="{C3380CC4-5D6E-409C-BE32-E72D297353CC}">
              <c16:uniqueId val="{00000002-0225-4D9F-8F86-C8158FA00F0E}"/>
            </c:ext>
          </c:extLst>
        </c:ser>
        <c:ser>
          <c:idx val="7"/>
          <c:order val="9"/>
          <c:tx>
            <c:strRef>
              <c:f>Outputs!$B$213</c:f>
              <c:strCache>
                <c:ptCount val="1"/>
                <c:pt idx="0">
                  <c:v>Option 11A</c:v>
                </c:pt>
              </c:strCache>
            </c:strRef>
          </c:tx>
          <c:spPr>
            <a:ln w="19050" cap="rnd">
              <a:solidFill>
                <a:schemeClr val="accent2">
                  <a:lumMod val="60000"/>
                </a:schemeClr>
              </a:solidFill>
              <a:round/>
            </a:ln>
            <a:effectLst/>
          </c:spPr>
          <c:marker>
            <c:symbol val="none"/>
          </c:marker>
          <c:xVal>
            <c:numRef>
              <c:f>Outputs!$D$215:$AG$215</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Outputs!$D$216:$AG$216</c:f>
              <c:numCache>
                <c:formatCode>_(* #,##0_);_(* \(#,##0\);_(* "-"??_);_(@_)</c:formatCode>
                <c:ptCount val="30"/>
                <c:pt idx="0">
                  <c:v>1011886.434656</c:v>
                </c:pt>
                <c:pt idx="1">
                  <c:v>3877644.969252741</c:v>
                </c:pt>
                <c:pt idx="2">
                  <c:v>79202580.460640982</c:v>
                </c:pt>
                <c:pt idx="3">
                  <c:v>155992314.02002826</c:v>
                </c:pt>
                <c:pt idx="4">
                  <c:v>155992314.02002826</c:v>
                </c:pt>
                <c:pt idx="5">
                  <c:v>157184785.36225882</c:v>
                </c:pt>
                <c:pt idx="6">
                  <c:v>157184785.36225882</c:v>
                </c:pt>
                <c:pt idx="7">
                  <c:v>147426684.6333445</c:v>
                </c:pt>
                <c:pt idx="8">
                  <c:v>147426684.6333445</c:v>
                </c:pt>
                <c:pt idx="9">
                  <c:v>147081317.94345322</c:v>
                </c:pt>
                <c:pt idx="10">
                  <c:v>147081317.94345322</c:v>
                </c:pt>
                <c:pt idx="11">
                  <c:v>146298589.33860078</c:v>
                </c:pt>
                <c:pt idx="12">
                  <c:v>146298589.33860078</c:v>
                </c:pt>
                <c:pt idx="13">
                  <c:v>146271369.27510077</c:v>
                </c:pt>
                <c:pt idx="14">
                  <c:v>146271369.27510077</c:v>
                </c:pt>
                <c:pt idx="15">
                  <c:v>181155964.49022081</c:v>
                </c:pt>
                <c:pt idx="16">
                  <c:v>181155964.49022081</c:v>
                </c:pt>
                <c:pt idx="17">
                  <c:v>181155964.49022081</c:v>
                </c:pt>
                <c:pt idx="18">
                  <c:v>181155964.49022081</c:v>
                </c:pt>
                <c:pt idx="19">
                  <c:v>180685017.73386261</c:v>
                </c:pt>
                <c:pt idx="20">
                  <c:v>180685017.73386261</c:v>
                </c:pt>
                <c:pt idx="21">
                  <c:v>180685017.73386261</c:v>
                </c:pt>
                <c:pt idx="22">
                  <c:v>180685017.73386261</c:v>
                </c:pt>
                <c:pt idx="23">
                  <c:v>180685017.73386261</c:v>
                </c:pt>
                <c:pt idx="24">
                  <c:v>180685017.73386261</c:v>
                </c:pt>
                <c:pt idx="25">
                  <c:v>180116495.53108713</c:v>
                </c:pt>
                <c:pt idx="26">
                  <c:v>180116495.53108713</c:v>
                </c:pt>
                <c:pt idx="27">
                  <c:v>180116495.53108713</c:v>
                </c:pt>
                <c:pt idx="28">
                  <c:v>180116495.53108713</c:v>
                </c:pt>
                <c:pt idx="29">
                  <c:v>180116495.53108713</c:v>
                </c:pt>
              </c:numCache>
            </c:numRef>
          </c:yVal>
          <c:smooth val="0"/>
          <c:extLst>
            <c:ext xmlns:c16="http://schemas.microsoft.com/office/drawing/2014/chart" uri="{C3380CC4-5D6E-409C-BE32-E72D297353CC}">
              <c16:uniqueId val="{00000005-288F-4F22-BFC9-EF10050B8291}"/>
            </c:ext>
          </c:extLst>
        </c:ser>
        <c:ser>
          <c:idx val="8"/>
          <c:order val="10"/>
          <c:tx>
            <c:strRef>
              <c:f>Outputs!$B$102</c:f>
              <c:strCache>
                <c:ptCount val="1"/>
                <c:pt idx="0">
                  <c:v>Option 11B</c:v>
                </c:pt>
              </c:strCache>
              <c:extLst xmlns:c15="http://schemas.microsoft.com/office/drawing/2012/chart"/>
            </c:strRef>
          </c:tx>
          <c:spPr>
            <a:ln w="19050" cap="rnd">
              <a:solidFill>
                <a:schemeClr val="accent3">
                  <a:lumMod val="60000"/>
                </a:schemeClr>
              </a:solidFill>
              <a:round/>
            </a:ln>
            <a:effectLst/>
          </c:spPr>
          <c:marker>
            <c:symbol val="none"/>
          </c:marker>
          <c:xVal>
            <c:numRef>
              <c:f>Outputs!$D$14:$AG$14</c:f>
              <c:extLst xmlns:c15="http://schemas.microsoft.com/office/drawing/2012/chart"/>
            </c:numRef>
          </c:xVal>
          <c:yVal>
            <c:numRef>
              <c:f>Outputs!$D$105:$AG$105</c:f>
              <c:extLst xmlns:c15="http://schemas.microsoft.com/office/drawing/2012/chart"/>
            </c:numRef>
          </c:yVal>
          <c:smooth val="0"/>
          <c:extLst xmlns:c15="http://schemas.microsoft.com/office/drawing/2012/chart">
            <c:ext xmlns:c16="http://schemas.microsoft.com/office/drawing/2014/chart" uri="{C3380CC4-5D6E-409C-BE32-E72D297353CC}">
              <c16:uniqueId val="{00000009-288F-4F22-BFC9-EF10050B8291}"/>
            </c:ext>
          </c:extLst>
        </c:ser>
        <c:ser>
          <c:idx val="9"/>
          <c:order val="11"/>
          <c:tx>
            <c:strRef>
              <c:f>Outputs!$B$231</c:f>
              <c:strCache>
                <c:ptCount val="1"/>
                <c:pt idx="0">
                  <c:v>Option 11C</c:v>
                </c:pt>
              </c:strCache>
            </c:strRef>
          </c:tx>
          <c:spPr>
            <a:ln w="19050" cap="rnd">
              <a:solidFill>
                <a:schemeClr val="accent4">
                  <a:lumMod val="60000"/>
                </a:schemeClr>
              </a:solidFill>
              <a:round/>
            </a:ln>
            <a:effectLst/>
          </c:spPr>
          <c:marker>
            <c:symbol val="none"/>
          </c:marker>
          <c:xVal>
            <c:numRef>
              <c:f>Outputs!$D$233:$AG$233</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Outputs!$D$234:$AG$234</c:f>
              <c:numCache>
                <c:formatCode>_(* #,##0_);_(* \(#,##0\);_(* "-"??_);_(@_)</c:formatCode>
                <c:ptCount val="30"/>
                <c:pt idx="0">
                  <c:v>1011886.434656</c:v>
                </c:pt>
                <c:pt idx="1">
                  <c:v>3877644.969252741</c:v>
                </c:pt>
                <c:pt idx="2">
                  <c:v>107335630.53078811</c:v>
                </c:pt>
                <c:pt idx="3">
                  <c:v>248041141.17284435</c:v>
                </c:pt>
                <c:pt idx="4">
                  <c:v>248041141.17284435</c:v>
                </c:pt>
                <c:pt idx="5">
                  <c:v>247366116.42451665</c:v>
                </c:pt>
                <c:pt idx="6">
                  <c:v>247366116.42451665</c:v>
                </c:pt>
                <c:pt idx="7">
                  <c:v>235378791.15010735</c:v>
                </c:pt>
                <c:pt idx="8">
                  <c:v>235378791.15010735</c:v>
                </c:pt>
                <c:pt idx="9">
                  <c:v>234219175.95363569</c:v>
                </c:pt>
                <c:pt idx="10">
                  <c:v>234219175.95363569</c:v>
                </c:pt>
                <c:pt idx="11">
                  <c:v>231623330.39256436</c:v>
                </c:pt>
                <c:pt idx="12">
                  <c:v>231623330.39256436</c:v>
                </c:pt>
                <c:pt idx="13">
                  <c:v>231042498.77821451</c:v>
                </c:pt>
                <c:pt idx="14">
                  <c:v>231042498.77821451</c:v>
                </c:pt>
                <c:pt idx="15">
                  <c:v>269800467.92349821</c:v>
                </c:pt>
                <c:pt idx="16">
                  <c:v>269800467.92349821</c:v>
                </c:pt>
                <c:pt idx="17">
                  <c:v>269557439.5775125</c:v>
                </c:pt>
                <c:pt idx="18">
                  <c:v>269557439.5775125</c:v>
                </c:pt>
                <c:pt idx="19">
                  <c:v>268936172.25015575</c:v>
                </c:pt>
                <c:pt idx="20">
                  <c:v>268936172.25015575</c:v>
                </c:pt>
                <c:pt idx="21">
                  <c:v>268936172.25015575</c:v>
                </c:pt>
                <c:pt idx="22">
                  <c:v>268936172.25015575</c:v>
                </c:pt>
                <c:pt idx="23">
                  <c:v>268936172.25015575</c:v>
                </c:pt>
                <c:pt idx="24">
                  <c:v>268936172.25015575</c:v>
                </c:pt>
                <c:pt idx="25">
                  <c:v>268219720.01826859</c:v>
                </c:pt>
                <c:pt idx="26">
                  <c:v>268219720.01826859</c:v>
                </c:pt>
                <c:pt idx="27">
                  <c:v>268219720.01826859</c:v>
                </c:pt>
                <c:pt idx="28">
                  <c:v>268219720.01826859</c:v>
                </c:pt>
                <c:pt idx="29">
                  <c:v>268219720.01826859</c:v>
                </c:pt>
              </c:numCache>
            </c:numRef>
          </c:yVal>
          <c:smooth val="0"/>
          <c:extLst>
            <c:ext xmlns:c16="http://schemas.microsoft.com/office/drawing/2014/chart" uri="{C3380CC4-5D6E-409C-BE32-E72D297353CC}">
              <c16:uniqueId val="{00000006-288F-4F22-BFC9-EF10050B8291}"/>
            </c:ext>
          </c:extLst>
        </c:ser>
        <c:ser>
          <c:idx val="12"/>
          <c:order val="12"/>
          <c:tx>
            <c:strRef>
              <c:f>Outputs!$B$240</c:f>
              <c:strCache>
                <c:ptCount val="1"/>
                <c:pt idx="0">
                  <c:v>Option 12</c:v>
                </c:pt>
              </c:strCache>
            </c:strRef>
          </c:tx>
          <c:spPr>
            <a:ln w="19050" cap="rnd">
              <a:solidFill>
                <a:schemeClr val="accent1">
                  <a:lumMod val="80000"/>
                  <a:lumOff val="20000"/>
                </a:schemeClr>
              </a:solidFill>
              <a:round/>
            </a:ln>
            <a:effectLst/>
          </c:spPr>
          <c:marker>
            <c:symbol val="none"/>
          </c:marker>
          <c:xVal>
            <c:numRef>
              <c:f>Outputs!$D$242:$AG$242</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Outputs!$D$243:$AG$243</c:f>
              <c:numCache>
                <c:formatCode>_(* #,##0_);_(* \(#,##0\);_(* "-"??_);_(@_)</c:formatCode>
                <c:ptCount val="30"/>
                <c:pt idx="0">
                  <c:v>0</c:v>
                </c:pt>
                <c:pt idx="1">
                  <c:v>2865758.5345967412</c:v>
                </c:pt>
                <c:pt idx="2">
                  <c:v>226071828.52306879</c:v>
                </c:pt>
                <c:pt idx="3">
                  <c:v>239769654.17453831</c:v>
                </c:pt>
                <c:pt idx="4">
                  <c:v>239769654.17453831</c:v>
                </c:pt>
                <c:pt idx="5">
                  <c:v>243575227.44877559</c:v>
                </c:pt>
                <c:pt idx="6">
                  <c:v>243575227.44877559</c:v>
                </c:pt>
                <c:pt idx="7">
                  <c:v>230569005.56431952</c:v>
                </c:pt>
                <c:pt idx="8">
                  <c:v>230569005.56431952</c:v>
                </c:pt>
                <c:pt idx="9">
                  <c:v>233025410.55370659</c:v>
                </c:pt>
                <c:pt idx="10">
                  <c:v>233025410.55370659</c:v>
                </c:pt>
                <c:pt idx="11">
                  <c:v>230656887.80436453</c:v>
                </c:pt>
                <c:pt idx="12">
                  <c:v>230656887.80436453</c:v>
                </c:pt>
                <c:pt idx="13">
                  <c:v>230089670.12696138</c:v>
                </c:pt>
                <c:pt idx="14">
                  <c:v>230089670.12696138</c:v>
                </c:pt>
                <c:pt idx="15">
                  <c:v>263403700.68009204</c:v>
                </c:pt>
                <c:pt idx="16">
                  <c:v>263403700.68009204</c:v>
                </c:pt>
                <c:pt idx="17">
                  <c:v>263792946.31438899</c:v>
                </c:pt>
                <c:pt idx="18">
                  <c:v>263792946.31438899</c:v>
                </c:pt>
                <c:pt idx="19">
                  <c:v>263083686.96818683</c:v>
                </c:pt>
                <c:pt idx="20">
                  <c:v>263083686.96818683</c:v>
                </c:pt>
                <c:pt idx="21">
                  <c:v>263083686.96818683</c:v>
                </c:pt>
                <c:pt idx="22">
                  <c:v>263083686.96818683</c:v>
                </c:pt>
                <c:pt idx="23">
                  <c:v>263083686.96818683</c:v>
                </c:pt>
                <c:pt idx="24">
                  <c:v>263083686.96818683</c:v>
                </c:pt>
                <c:pt idx="25">
                  <c:v>262832276.47282746</c:v>
                </c:pt>
                <c:pt idx="26">
                  <c:v>262832276.47282746</c:v>
                </c:pt>
                <c:pt idx="27">
                  <c:v>262832276.47282746</c:v>
                </c:pt>
                <c:pt idx="28">
                  <c:v>262832276.47282746</c:v>
                </c:pt>
                <c:pt idx="29">
                  <c:v>262832276.47282746</c:v>
                </c:pt>
              </c:numCache>
            </c:numRef>
          </c:yVal>
          <c:smooth val="0"/>
          <c:extLst>
            <c:ext xmlns:c16="http://schemas.microsoft.com/office/drawing/2014/chart" uri="{C3380CC4-5D6E-409C-BE32-E72D297353CC}">
              <c16:uniqueId val="{00000003-0225-4D9F-8F86-C8158FA00F0E}"/>
            </c:ext>
          </c:extLst>
        </c:ser>
        <c:dLbls>
          <c:showLegendKey val="0"/>
          <c:showVal val="0"/>
          <c:showCatName val="0"/>
          <c:showSerName val="0"/>
          <c:showPercent val="0"/>
          <c:showBubbleSize val="0"/>
        </c:dLbls>
        <c:axId val="535284864"/>
        <c:axId val="535276336"/>
        <c:extLst/>
      </c:scatterChart>
      <c:valAx>
        <c:axId val="535284864"/>
        <c:scaling>
          <c:orientation val="minMax"/>
          <c:max val="2055"/>
          <c:min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76336"/>
        <c:crosses val="autoZero"/>
        <c:crossBetween val="midCat"/>
      </c:valAx>
      <c:valAx>
        <c:axId val="53527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Electricity Use (kWh/y)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84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Outputs!$B$132</c:f>
              <c:strCache>
                <c:ptCount val="1"/>
                <c:pt idx="0">
                  <c:v>Option 0</c:v>
                </c:pt>
              </c:strCache>
            </c:strRef>
          </c:tx>
          <c:spPr>
            <a:ln w="19050" cap="rnd">
              <a:solidFill>
                <a:schemeClr val="accent1"/>
              </a:solidFill>
              <a:round/>
            </a:ln>
            <a:effectLst/>
          </c:spPr>
          <c:marker>
            <c:symbol val="none"/>
          </c:marker>
          <c:xVal>
            <c:numRef>
              <c:f>Outputs!$D$134:$AG$134</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Outputs!$D$136:$AG$136</c:f>
              <c:numCache>
                <c:formatCode>_(* #,##0_);_(* \(#,##0\);_(* "-"??_);_(@_)</c:formatCode>
                <c:ptCount val="30"/>
                <c:pt idx="0">
                  <c:v>32306018.995659515</c:v>
                </c:pt>
                <c:pt idx="1">
                  <c:v>32306018.995659515</c:v>
                </c:pt>
                <c:pt idx="2">
                  <c:v>30132827.331343558</c:v>
                </c:pt>
                <c:pt idx="3">
                  <c:v>29794799.628082097</c:v>
                </c:pt>
                <c:pt idx="4">
                  <c:v>29794799.628082097</c:v>
                </c:pt>
                <c:pt idx="5">
                  <c:v>27449723.843706705</c:v>
                </c:pt>
                <c:pt idx="6">
                  <c:v>27449723.843706705</c:v>
                </c:pt>
                <c:pt idx="7">
                  <c:v>20733939.16920644</c:v>
                </c:pt>
                <c:pt idx="8">
                  <c:v>20733939.16920644</c:v>
                </c:pt>
                <c:pt idx="9">
                  <c:v>20515133.018525284</c:v>
                </c:pt>
                <c:pt idx="10">
                  <c:v>20515133.018525284</c:v>
                </c:pt>
                <c:pt idx="11">
                  <c:v>20165629.343511086</c:v>
                </c:pt>
                <c:pt idx="12">
                  <c:v>20165629.343511086</c:v>
                </c:pt>
                <c:pt idx="13">
                  <c:v>20079479.187881581</c:v>
                </c:pt>
                <c:pt idx="14">
                  <c:v>20079479.187881581</c:v>
                </c:pt>
                <c:pt idx="15">
                  <c:v>21078142.05741189</c:v>
                </c:pt>
                <c:pt idx="16">
                  <c:v>21078142.05741189</c:v>
                </c:pt>
                <c:pt idx="17">
                  <c:v>21036465.612994228</c:v>
                </c:pt>
                <c:pt idx="18">
                  <c:v>21036465.612994228</c:v>
                </c:pt>
                <c:pt idx="19">
                  <c:v>20992982.374243401</c:v>
                </c:pt>
                <c:pt idx="20">
                  <c:v>20992982.374243401</c:v>
                </c:pt>
                <c:pt idx="21">
                  <c:v>20992982.374243401</c:v>
                </c:pt>
                <c:pt idx="22">
                  <c:v>20992982.374243401</c:v>
                </c:pt>
                <c:pt idx="23">
                  <c:v>20992982.374243401</c:v>
                </c:pt>
                <c:pt idx="24">
                  <c:v>20992982.374243401</c:v>
                </c:pt>
                <c:pt idx="25">
                  <c:v>20949393.643305462</c:v>
                </c:pt>
                <c:pt idx="26">
                  <c:v>20949393.643305462</c:v>
                </c:pt>
                <c:pt idx="27">
                  <c:v>20949393.643305462</c:v>
                </c:pt>
                <c:pt idx="28">
                  <c:v>20949393.643305462</c:v>
                </c:pt>
                <c:pt idx="29">
                  <c:v>20949393.643305462</c:v>
                </c:pt>
              </c:numCache>
            </c:numRef>
          </c:yVal>
          <c:smooth val="0"/>
          <c:extLst>
            <c:ext xmlns:c16="http://schemas.microsoft.com/office/drawing/2014/chart" uri="{C3380CC4-5D6E-409C-BE32-E72D297353CC}">
              <c16:uniqueId val="{00000000-E079-4A4A-A7D0-776393F91212}"/>
            </c:ext>
          </c:extLst>
        </c:ser>
        <c:ser>
          <c:idx val="1"/>
          <c:order val="1"/>
          <c:tx>
            <c:strRef>
              <c:f>Outputs!$B$141</c:f>
              <c:strCache>
                <c:ptCount val="1"/>
                <c:pt idx="0">
                  <c:v>Option 1A</c:v>
                </c:pt>
              </c:strCache>
            </c:strRef>
          </c:tx>
          <c:spPr>
            <a:ln w="19050" cap="rnd">
              <a:solidFill>
                <a:schemeClr val="accent2"/>
              </a:solidFill>
              <a:round/>
            </a:ln>
            <a:effectLst/>
          </c:spPr>
          <c:marker>
            <c:symbol val="none"/>
          </c:marker>
          <c:xVal>
            <c:numRef>
              <c:f>Outputs!$D$143:$AG$143</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Outputs!$D$145:$AG$145</c:f>
              <c:numCache>
                <c:formatCode>_(* #,##0_);_(* \(#,##0\);_(* "-"??_);_(@_)</c:formatCode>
                <c:ptCount val="30"/>
                <c:pt idx="0">
                  <c:v>29588294.269641411</c:v>
                </c:pt>
                <c:pt idx="1">
                  <c:v>29588294.269641411</c:v>
                </c:pt>
                <c:pt idx="2">
                  <c:v>29588294.269641411</c:v>
                </c:pt>
                <c:pt idx="3">
                  <c:v>29254078.579896081</c:v>
                </c:pt>
                <c:pt idx="4">
                  <c:v>29254078.579896081</c:v>
                </c:pt>
                <c:pt idx="5">
                  <c:v>24175855.045650672</c:v>
                </c:pt>
                <c:pt idx="6">
                  <c:v>24175855.045650672</c:v>
                </c:pt>
                <c:pt idx="7">
                  <c:v>23428380.014445752</c:v>
                </c:pt>
                <c:pt idx="8">
                  <c:v>23428380.014445752</c:v>
                </c:pt>
                <c:pt idx="9">
                  <c:v>23117842.807129826</c:v>
                </c:pt>
                <c:pt idx="10">
                  <c:v>20500994.387112349</c:v>
                </c:pt>
                <c:pt idx="11">
                  <c:v>20115359.924484037</c:v>
                </c:pt>
                <c:pt idx="12">
                  <c:v>20115359.924484037</c:v>
                </c:pt>
                <c:pt idx="13">
                  <c:v>20021371.653737262</c:v>
                </c:pt>
                <c:pt idx="14">
                  <c:v>6752672.3299312945</c:v>
                </c:pt>
                <c:pt idx="15">
                  <c:v>7178624.4580384223</c:v>
                </c:pt>
                <c:pt idx="16">
                  <c:v>7178624.4580384223</c:v>
                </c:pt>
                <c:pt idx="17">
                  <c:v>7160234.6155085405</c:v>
                </c:pt>
                <c:pt idx="18">
                  <c:v>7160234.6155085405</c:v>
                </c:pt>
                <c:pt idx="19">
                  <c:v>7142432.8554423703</c:v>
                </c:pt>
                <c:pt idx="20">
                  <c:v>7142432.8554423703</c:v>
                </c:pt>
                <c:pt idx="21">
                  <c:v>7142432.8554423703</c:v>
                </c:pt>
                <c:pt idx="22">
                  <c:v>7142432.8554423703</c:v>
                </c:pt>
                <c:pt idx="23">
                  <c:v>7142432.8554423703</c:v>
                </c:pt>
                <c:pt idx="24">
                  <c:v>7142432.8554423703</c:v>
                </c:pt>
                <c:pt idx="25">
                  <c:v>7124587.9075489389</c:v>
                </c:pt>
                <c:pt idx="26">
                  <c:v>7124587.9075489389</c:v>
                </c:pt>
                <c:pt idx="27">
                  <c:v>7124587.9075489389</c:v>
                </c:pt>
                <c:pt idx="28">
                  <c:v>7124587.9075489389</c:v>
                </c:pt>
                <c:pt idx="29">
                  <c:v>7124587.9075489389</c:v>
                </c:pt>
              </c:numCache>
            </c:numRef>
          </c:yVal>
          <c:smooth val="0"/>
          <c:extLst>
            <c:ext xmlns:c16="http://schemas.microsoft.com/office/drawing/2014/chart" uri="{C3380CC4-5D6E-409C-BE32-E72D297353CC}">
              <c16:uniqueId val="{00000001-E079-4A4A-A7D0-776393F91212}"/>
            </c:ext>
          </c:extLst>
        </c:ser>
        <c:ser>
          <c:idx val="3"/>
          <c:order val="2"/>
          <c:tx>
            <c:strRef>
              <c:f>Outputs!$B$159</c:f>
              <c:strCache>
                <c:ptCount val="1"/>
                <c:pt idx="0">
                  <c:v>Option 1C</c:v>
                </c:pt>
              </c:strCache>
            </c:strRef>
          </c:tx>
          <c:spPr>
            <a:ln w="19050" cap="rnd">
              <a:solidFill>
                <a:schemeClr val="accent4"/>
              </a:solidFill>
              <a:round/>
            </a:ln>
            <a:effectLst/>
          </c:spPr>
          <c:marker>
            <c:symbol val="none"/>
          </c:marker>
          <c:xVal>
            <c:numRef>
              <c:f>Outputs!$D$161:$AG$161</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Outputs!$D$163:$AG$163</c:f>
              <c:numCache>
                <c:formatCode>_(* #,##0_);_(* \(#,##0\);_(* "-"??_);_(@_)</c:formatCode>
                <c:ptCount val="30"/>
                <c:pt idx="0">
                  <c:v>28820560.60629487</c:v>
                </c:pt>
                <c:pt idx="1">
                  <c:v>28820560.60629487</c:v>
                </c:pt>
                <c:pt idx="2">
                  <c:v>28820560.60629487</c:v>
                </c:pt>
                <c:pt idx="3">
                  <c:v>28545341.288089495</c:v>
                </c:pt>
                <c:pt idx="4">
                  <c:v>28545341.288089495</c:v>
                </c:pt>
                <c:pt idx="5">
                  <c:v>21374251.397505261</c:v>
                </c:pt>
                <c:pt idx="6">
                  <c:v>21374251.397505261</c:v>
                </c:pt>
                <c:pt idx="7">
                  <c:v>20706876.478281714</c:v>
                </c:pt>
                <c:pt idx="8">
                  <c:v>20706876.478281714</c:v>
                </c:pt>
                <c:pt idx="9">
                  <c:v>20396339.270965789</c:v>
                </c:pt>
                <c:pt idx="10">
                  <c:v>16670601.866040172</c:v>
                </c:pt>
                <c:pt idx="11">
                  <c:v>16331380.62114461</c:v>
                </c:pt>
                <c:pt idx="12">
                  <c:v>16331380.62114461</c:v>
                </c:pt>
                <c:pt idx="13">
                  <c:v>16248856.769805884</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extLst>
            <c:ext xmlns:c16="http://schemas.microsoft.com/office/drawing/2014/chart" uri="{C3380CC4-5D6E-409C-BE32-E72D297353CC}">
              <c16:uniqueId val="{00000002-E079-4A4A-A7D0-776393F91212}"/>
            </c:ext>
          </c:extLst>
        </c:ser>
        <c:ser>
          <c:idx val="4"/>
          <c:order val="3"/>
          <c:tx>
            <c:strRef>
              <c:f>Outputs!$B$168</c:f>
              <c:strCache>
                <c:ptCount val="1"/>
                <c:pt idx="0">
                  <c:v>Option 2</c:v>
                </c:pt>
              </c:strCache>
            </c:strRef>
          </c:tx>
          <c:spPr>
            <a:ln w="19050" cap="rnd">
              <a:solidFill>
                <a:schemeClr val="accent5"/>
              </a:solidFill>
              <a:round/>
            </a:ln>
            <a:effectLst/>
          </c:spPr>
          <c:marker>
            <c:symbol val="none"/>
          </c:marker>
          <c:xVal>
            <c:numRef>
              <c:f>Outputs!$D$170:$AG$170</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Outputs!$D$172:$AG$172</c:f>
              <c:numCache>
                <c:formatCode>_(* #,##0_);_(* \(#,##0\);_(* "-"??_);_(@_)</c:formatCode>
                <c:ptCount val="30"/>
                <c:pt idx="0">
                  <c:v>31258877.283118241</c:v>
                </c:pt>
                <c:pt idx="1">
                  <c:v>31258877.283118241</c:v>
                </c:pt>
                <c:pt idx="2">
                  <c:v>13231647.348791353</c:v>
                </c:pt>
                <c:pt idx="3">
                  <c:v>12967671.873370046</c:v>
                </c:pt>
                <c:pt idx="4">
                  <c:v>12967671.873370046</c:v>
                </c:pt>
                <c:pt idx="5">
                  <c:v>12750842.004018847</c:v>
                </c:pt>
                <c:pt idx="6">
                  <c:v>12750842.004018847</c:v>
                </c:pt>
                <c:pt idx="7">
                  <c:v>12218669.935102589</c:v>
                </c:pt>
                <c:pt idx="8">
                  <c:v>12218669.935102589</c:v>
                </c:pt>
                <c:pt idx="9">
                  <c:v>12043802.794555094</c:v>
                </c:pt>
                <c:pt idx="10">
                  <c:v>12043802.794555094</c:v>
                </c:pt>
                <c:pt idx="11">
                  <c:v>11773318.044142656</c:v>
                </c:pt>
                <c:pt idx="12">
                  <c:v>11773318.044142656</c:v>
                </c:pt>
                <c:pt idx="13">
                  <c:v>11708380.608110853</c:v>
                </c:pt>
                <c:pt idx="14">
                  <c:v>11708380.608110853</c:v>
                </c:pt>
                <c:pt idx="15">
                  <c:v>12487631.497734144</c:v>
                </c:pt>
                <c:pt idx="16">
                  <c:v>12487631.497734144</c:v>
                </c:pt>
                <c:pt idx="17">
                  <c:v>12455788.749060519</c:v>
                </c:pt>
                <c:pt idx="18">
                  <c:v>12455788.749060519</c:v>
                </c:pt>
                <c:pt idx="19">
                  <c:v>12421037.488191342</c:v>
                </c:pt>
                <c:pt idx="20">
                  <c:v>12421037.488191342</c:v>
                </c:pt>
                <c:pt idx="21">
                  <c:v>12421037.488191342</c:v>
                </c:pt>
                <c:pt idx="22">
                  <c:v>12421037.488191342</c:v>
                </c:pt>
                <c:pt idx="23">
                  <c:v>12421037.488191342</c:v>
                </c:pt>
                <c:pt idx="24">
                  <c:v>12421037.488191342</c:v>
                </c:pt>
                <c:pt idx="25">
                  <c:v>12386201.919284876</c:v>
                </c:pt>
                <c:pt idx="26">
                  <c:v>12386201.919284876</c:v>
                </c:pt>
                <c:pt idx="27">
                  <c:v>12386201.919284876</c:v>
                </c:pt>
                <c:pt idx="28">
                  <c:v>12386201.919284876</c:v>
                </c:pt>
                <c:pt idx="29">
                  <c:v>12386201.919284876</c:v>
                </c:pt>
              </c:numCache>
            </c:numRef>
          </c:yVal>
          <c:smooth val="0"/>
          <c:extLst>
            <c:ext xmlns:c16="http://schemas.microsoft.com/office/drawing/2014/chart" uri="{C3380CC4-5D6E-409C-BE32-E72D297353CC}">
              <c16:uniqueId val="{00000003-E079-4A4A-A7D0-776393F91212}"/>
            </c:ext>
          </c:extLst>
        </c:ser>
        <c:ser>
          <c:idx val="11"/>
          <c:order val="4"/>
          <c:tx>
            <c:strRef>
              <c:f>Outputs!$B$177</c:f>
              <c:strCache>
                <c:ptCount val="1"/>
                <c:pt idx="0">
                  <c:v>Option 6</c:v>
                </c:pt>
              </c:strCache>
            </c:strRef>
          </c:tx>
          <c:spPr>
            <a:ln w="19050" cap="rnd">
              <a:solidFill>
                <a:schemeClr val="accent6">
                  <a:lumMod val="60000"/>
                </a:schemeClr>
              </a:solidFill>
              <a:round/>
            </a:ln>
            <a:effectLst/>
          </c:spPr>
          <c:marker>
            <c:symbol val="none"/>
          </c:marker>
          <c:xVal>
            <c:numRef>
              <c:f>Outputs!$D$179:$AG$179</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Outputs!$D$181:$AG$181</c:f>
              <c:numCache>
                <c:formatCode>_(* #,##0_);_(* \(#,##0\);_(* "-"??_);_(@_)</c:formatCode>
                <c:ptCount val="30"/>
                <c:pt idx="0">
                  <c:v>31258877.283118241</c:v>
                </c:pt>
                <c:pt idx="1">
                  <c:v>31258877.283118241</c:v>
                </c:pt>
                <c:pt idx="2">
                  <c:v>8313140.9880687799</c:v>
                </c:pt>
                <c:pt idx="3">
                  <c:v>8136703.1927119317</c:v>
                </c:pt>
                <c:pt idx="4">
                  <c:v>8136703.1927119317</c:v>
                </c:pt>
                <c:pt idx="5">
                  <c:v>8007874.6843401222</c:v>
                </c:pt>
                <c:pt idx="6">
                  <c:v>8007874.6843401222</c:v>
                </c:pt>
                <c:pt idx="7">
                  <c:v>7626218.3372912602</c:v>
                </c:pt>
                <c:pt idx="8">
                  <c:v>7626218.3372912602</c:v>
                </c:pt>
                <c:pt idx="9">
                  <c:v>7500809.3615512364</c:v>
                </c:pt>
                <c:pt idx="10">
                  <c:v>7500809.3615512364</c:v>
                </c:pt>
                <c:pt idx="11">
                  <c:v>7325257.4422050472</c:v>
                </c:pt>
                <c:pt idx="12">
                  <c:v>7325257.4422050472</c:v>
                </c:pt>
                <c:pt idx="13">
                  <c:v>7286849.5097296908</c:v>
                </c:pt>
                <c:pt idx="14">
                  <c:v>7286849.5097296908</c:v>
                </c:pt>
                <c:pt idx="15">
                  <c:v>7806338.301771313</c:v>
                </c:pt>
                <c:pt idx="16">
                  <c:v>7806338.301771313</c:v>
                </c:pt>
                <c:pt idx="17">
                  <c:v>7786557.2135725571</c:v>
                </c:pt>
                <c:pt idx="18">
                  <c:v>7786557.2135725571</c:v>
                </c:pt>
                <c:pt idx="19">
                  <c:v>7761634.7494799159</c:v>
                </c:pt>
                <c:pt idx="20">
                  <c:v>7761634.7494799159</c:v>
                </c:pt>
                <c:pt idx="21">
                  <c:v>7761634.7494799159</c:v>
                </c:pt>
                <c:pt idx="22">
                  <c:v>7761634.7494799159</c:v>
                </c:pt>
                <c:pt idx="23">
                  <c:v>7761634.7494799159</c:v>
                </c:pt>
                <c:pt idx="24">
                  <c:v>7761634.7494799159</c:v>
                </c:pt>
                <c:pt idx="25">
                  <c:v>7736651.8224291112</c:v>
                </c:pt>
                <c:pt idx="26">
                  <c:v>7736651.8224291112</c:v>
                </c:pt>
                <c:pt idx="27">
                  <c:v>7736651.8224291112</c:v>
                </c:pt>
                <c:pt idx="28">
                  <c:v>7736651.8224291112</c:v>
                </c:pt>
                <c:pt idx="29">
                  <c:v>7736651.8224291112</c:v>
                </c:pt>
              </c:numCache>
            </c:numRef>
          </c:yVal>
          <c:smooth val="0"/>
          <c:extLst>
            <c:ext xmlns:c16="http://schemas.microsoft.com/office/drawing/2014/chart" uri="{C3380CC4-5D6E-409C-BE32-E72D297353CC}">
              <c16:uniqueId val="{00000000-2F90-4385-BD37-ADA064BD2459}"/>
            </c:ext>
          </c:extLst>
        </c:ser>
        <c:ser>
          <c:idx val="10"/>
          <c:order val="5"/>
          <c:tx>
            <c:strRef>
              <c:f>Outputs!$B$195</c:f>
              <c:strCache>
                <c:ptCount val="1"/>
                <c:pt idx="0">
                  <c:v>Option 8B</c:v>
                </c:pt>
              </c:strCache>
            </c:strRef>
          </c:tx>
          <c:spPr>
            <a:ln w="19050" cap="rnd">
              <a:solidFill>
                <a:schemeClr val="accent5">
                  <a:lumMod val="60000"/>
                </a:schemeClr>
              </a:solidFill>
              <a:round/>
            </a:ln>
            <a:effectLst/>
          </c:spPr>
          <c:marker>
            <c:symbol val="none"/>
          </c:marker>
          <c:xVal>
            <c:numRef>
              <c:f>Outputs!$D$197:$AG$197</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Outputs!$D$199:$AG$199</c:f>
              <c:numCache>
                <c:formatCode>_(* #,##0_);_(* \(#,##0\);_(* "-"??_);_(@_)</c:formatCode>
                <c:ptCount val="30"/>
                <c:pt idx="0">
                  <c:v>31258877.283118241</c:v>
                </c:pt>
                <c:pt idx="1">
                  <c:v>31258877.283118241</c:v>
                </c:pt>
                <c:pt idx="2">
                  <c:v>31258877.283118241</c:v>
                </c:pt>
                <c:pt idx="3">
                  <c:v>30779136.751878824</c:v>
                </c:pt>
                <c:pt idx="4">
                  <c:v>30779136.751878824</c:v>
                </c:pt>
                <c:pt idx="5">
                  <c:v>26715362.436630234</c:v>
                </c:pt>
                <c:pt idx="6">
                  <c:v>26715362.436630234</c:v>
                </c:pt>
                <c:pt idx="7">
                  <c:v>26000353.613023683</c:v>
                </c:pt>
                <c:pt idx="8">
                  <c:v>26000353.613023683</c:v>
                </c:pt>
                <c:pt idx="9">
                  <c:v>25689816.405707758</c:v>
                </c:pt>
                <c:pt idx="10">
                  <c:v>17369500.84125939</c:v>
                </c:pt>
                <c:pt idx="11">
                  <c:v>17280686.43057394</c:v>
                </c:pt>
                <c:pt idx="12">
                  <c:v>17280686.43057394</c:v>
                </c:pt>
                <c:pt idx="13">
                  <c:v>17265421.55075188</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extLst>
            <c:ext xmlns:c16="http://schemas.microsoft.com/office/drawing/2014/chart" uri="{C3380CC4-5D6E-409C-BE32-E72D297353CC}">
              <c16:uniqueId val="{00000000-2689-4885-B396-12980956AF47}"/>
            </c:ext>
          </c:extLst>
        </c:ser>
        <c:ser>
          <c:idx val="12"/>
          <c:order val="6"/>
          <c:tx>
            <c:strRef>
              <c:f>Outputs!$B$204</c:f>
              <c:strCache>
                <c:ptCount val="1"/>
                <c:pt idx="0">
                  <c:v>Option 10A</c:v>
                </c:pt>
              </c:strCache>
            </c:strRef>
          </c:tx>
          <c:spPr>
            <a:ln w="19050" cap="rnd">
              <a:solidFill>
                <a:schemeClr val="accent1">
                  <a:lumMod val="80000"/>
                  <a:lumOff val="20000"/>
                </a:schemeClr>
              </a:solidFill>
              <a:round/>
            </a:ln>
            <a:effectLst/>
          </c:spPr>
          <c:marker>
            <c:symbol val="none"/>
          </c:marker>
          <c:xVal>
            <c:numRef>
              <c:f>Outputs!$D$206:$AG$206</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Outputs!$D$208:$AG$208</c:f>
              <c:numCache>
                <c:formatCode>_(* #,##0_);_(* \(#,##0\);_(* "-"??_);_(@_)</c:formatCode>
                <c:ptCount val="30"/>
                <c:pt idx="0">
                  <c:v>31258877.283118241</c:v>
                </c:pt>
                <c:pt idx="1">
                  <c:v>30649221.067447647</c:v>
                </c:pt>
                <c:pt idx="2">
                  <c:v>18613368.200255442</c:v>
                </c:pt>
                <c:pt idx="3">
                  <c:v>18347752.43999923</c:v>
                </c:pt>
                <c:pt idx="4">
                  <c:v>18347752.43999923</c:v>
                </c:pt>
                <c:pt idx="5">
                  <c:v>18113313.827005364</c:v>
                </c:pt>
                <c:pt idx="6">
                  <c:v>18113313.827005364</c:v>
                </c:pt>
                <c:pt idx="7">
                  <c:v>17604058.258664448</c:v>
                </c:pt>
                <c:pt idx="8">
                  <c:v>17604058.258664448</c:v>
                </c:pt>
                <c:pt idx="9">
                  <c:v>17436721.282063976</c:v>
                </c:pt>
                <c:pt idx="10">
                  <c:v>17436721.282063976</c:v>
                </c:pt>
                <c:pt idx="11">
                  <c:v>17159265.977142181</c:v>
                </c:pt>
                <c:pt idx="12">
                  <c:v>17159265.977142181</c:v>
                </c:pt>
                <c:pt idx="13">
                  <c:v>17088878.844462093</c:v>
                </c:pt>
                <c:pt idx="14">
                  <c:v>17088878.844462093</c:v>
                </c:pt>
                <c:pt idx="15">
                  <c:v>17874338.002593145</c:v>
                </c:pt>
                <c:pt idx="16">
                  <c:v>17874338.002593145</c:v>
                </c:pt>
                <c:pt idx="17">
                  <c:v>17840779.92662558</c:v>
                </c:pt>
                <c:pt idx="18">
                  <c:v>17840779.92662558</c:v>
                </c:pt>
                <c:pt idx="19">
                  <c:v>17807525.131535459</c:v>
                </c:pt>
                <c:pt idx="20">
                  <c:v>17807525.131535459</c:v>
                </c:pt>
                <c:pt idx="21">
                  <c:v>17807525.131535459</c:v>
                </c:pt>
                <c:pt idx="22">
                  <c:v>17807525.131535459</c:v>
                </c:pt>
                <c:pt idx="23">
                  <c:v>17807525.131535459</c:v>
                </c:pt>
                <c:pt idx="24">
                  <c:v>17807525.131535459</c:v>
                </c:pt>
                <c:pt idx="25">
                  <c:v>17774189.658897694</c:v>
                </c:pt>
                <c:pt idx="26">
                  <c:v>17774189.658897694</c:v>
                </c:pt>
                <c:pt idx="27">
                  <c:v>17774189.658897694</c:v>
                </c:pt>
                <c:pt idx="28">
                  <c:v>17774189.658897694</c:v>
                </c:pt>
                <c:pt idx="29">
                  <c:v>17774189.658897694</c:v>
                </c:pt>
              </c:numCache>
            </c:numRef>
          </c:yVal>
          <c:smooth val="0"/>
          <c:extLst>
            <c:ext xmlns:c16="http://schemas.microsoft.com/office/drawing/2014/chart" uri="{C3380CC4-5D6E-409C-BE32-E72D297353CC}">
              <c16:uniqueId val="{00000001-2F90-4385-BD37-ADA064BD2459}"/>
            </c:ext>
          </c:extLst>
        </c:ser>
        <c:ser>
          <c:idx val="7"/>
          <c:order val="7"/>
          <c:tx>
            <c:strRef>
              <c:f>Outputs!$B$213</c:f>
              <c:strCache>
                <c:ptCount val="1"/>
                <c:pt idx="0">
                  <c:v>Option 11A</c:v>
                </c:pt>
              </c:strCache>
            </c:strRef>
          </c:tx>
          <c:spPr>
            <a:ln w="19050" cap="rnd">
              <a:solidFill>
                <a:schemeClr val="accent2">
                  <a:lumMod val="60000"/>
                </a:schemeClr>
              </a:solidFill>
              <a:round/>
            </a:ln>
            <a:effectLst/>
          </c:spPr>
          <c:marker>
            <c:symbol val="none"/>
          </c:marker>
          <c:xVal>
            <c:numRef>
              <c:f>Outputs!$D$215:$AG$215</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Outputs!$D$217:$AG$217</c:f>
              <c:numCache>
                <c:formatCode>_(* #,##0_);_(* \(#,##0\);_(* "-"??_);_(@_)</c:formatCode>
                <c:ptCount val="30"/>
                <c:pt idx="0">
                  <c:v>31258877.283118241</c:v>
                </c:pt>
                <c:pt idx="1">
                  <c:v>31258877.283118241</c:v>
                </c:pt>
                <c:pt idx="2">
                  <c:v>25498951.01223132</c:v>
                </c:pt>
                <c:pt idx="3">
                  <c:v>7433987.2109694406</c:v>
                </c:pt>
                <c:pt idx="4">
                  <c:v>7433987.2109694406</c:v>
                </c:pt>
                <c:pt idx="5">
                  <c:v>7304772.229856465</c:v>
                </c:pt>
                <c:pt idx="6">
                  <c:v>7304772.229856465</c:v>
                </c:pt>
                <c:pt idx="7">
                  <c:v>7032160.5533929924</c:v>
                </c:pt>
                <c:pt idx="8">
                  <c:v>7032160.5533929924</c:v>
                </c:pt>
                <c:pt idx="9">
                  <c:v>6942582.7135786889</c:v>
                </c:pt>
                <c:pt idx="10">
                  <c:v>6942582.7135786889</c:v>
                </c:pt>
                <c:pt idx="11">
                  <c:v>6791488.942600172</c:v>
                </c:pt>
                <c:pt idx="12">
                  <c:v>6791488.942600172</c:v>
                </c:pt>
                <c:pt idx="13">
                  <c:v>6752672.3299312955</c:v>
                </c:pt>
                <c:pt idx="14">
                  <c:v>6752672.3299312955</c:v>
                </c:pt>
                <c:pt idx="15">
                  <c:v>7178624.4580384232</c:v>
                </c:pt>
                <c:pt idx="16">
                  <c:v>7178624.4580384232</c:v>
                </c:pt>
                <c:pt idx="17">
                  <c:v>7160234.6155085424</c:v>
                </c:pt>
                <c:pt idx="18">
                  <c:v>7160234.6155085424</c:v>
                </c:pt>
                <c:pt idx="19">
                  <c:v>7142432.8554423703</c:v>
                </c:pt>
                <c:pt idx="20">
                  <c:v>7142432.8554423703</c:v>
                </c:pt>
                <c:pt idx="21">
                  <c:v>7142432.8554423703</c:v>
                </c:pt>
                <c:pt idx="22">
                  <c:v>7142432.8554423703</c:v>
                </c:pt>
                <c:pt idx="23">
                  <c:v>7142432.8554423703</c:v>
                </c:pt>
                <c:pt idx="24">
                  <c:v>7142432.8554423703</c:v>
                </c:pt>
                <c:pt idx="25">
                  <c:v>7124587.9075489389</c:v>
                </c:pt>
                <c:pt idx="26">
                  <c:v>7124587.9075489389</c:v>
                </c:pt>
                <c:pt idx="27">
                  <c:v>7124587.9075489389</c:v>
                </c:pt>
                <c:pt idx="28">
                  <c:v>7124587.9075489389</c:v>
                </c:pt>
                <c:pt idx="29">
                  <c:v>7124587.9075489389</c:v>
                </c:pt>
              </c:numCache>
            </c:numRef>
          </c:yVal>
          <c:smooth val="0"/>
          <c:extLst>
            <c:ext xmlns:c16="http://schemas.microsoft.com/office/drawing/2014/chart" uri="{C3380CC4-5D6E-409C-BE32-E72D297353CC}">
              <c16:uniqueId val="{00000005-E079-4A4A-A7D0-776393F91212}"/>
            </c:ext>
          </c:extLst>
        </c:ser>
        <c:ser>
          <c:idx val="2"/>
          <c:order val="8"/>
          <c:tx>
            <c:strRef>
              <c:f>Outputs!$B$30</c:f>
              <c:strCache>
                <c:ptCount val="1"/>
                <c:pt idx="0">
                  <c:v>Option 1B</c:v>
                </c:pt>
              </c:strCache>
              <c:extLst xmlns:c15="http://schemas.microsoft.com/office/drawing/2012/chart"/>
            </c:strRef>
          </c:tx>
          <c:spPr>
            <a:ln w="19050" cap="rnd">
              <a:solidFill>
                <a:schemeClr val="accent3"/>
              </a:solidFill>
              <a:round/>
            </a:ln>
            <a:effectLst/>
          </c:spPr>
          <c:marker>
            <c:symbol val="none"/>
          </c:marker>
          <c:xVal>
            <c:numRef>
              <c:f>Outputs!$D$14:$AG$14</c:f>
              <c:extLst xmlns:c15="http://schemas.microsoft.com/office/drawing/2012/chart"/>
            </c:numRef>
          </c:xVal>
          <c:yVal>
            <c:numRef>
              <c:f>Outputs!$D$34:$AG$34</c:f>
              <c:extLst xmlns:c15="http://schemas.microsoft.com/office/drawing/2012/chart"/>
            </c:numRef>
          </c:yVal>
          <c:smooth val="0"/>
          <c:extLst xmlns:c15="http://schemas.microsoft.com/office/drawing/2012/chart">
            <c:ext xmlns:c16="http://schemas.microsoft.com/office/drawing/2014/chart" uri="{C3380CC4-5D6E-409C-BE32-E72D297353CC}">
              <c16:uniqueId val="{00000007-E079-4A4A-A7D0-776393F91212}"/>
            </c:ext>
          </c:extLst>
        </c:ser>
        <c:ser>
          <c:idx val="9"/>
          <c:order val="9"/>
          <c:tx>
            <c:strRef>
              <c:f>Outputs!$B$231</c:f>
              <c:strCache>
                <c:ptCount val="1"/>
                <c:pt idx="0">
                  <c:v>Option 11C</c:v>
                </c:pt>
              </c:strCache>
            </c:strRef>
          </c:tx>
          <c:spPr>
            <a:ln w="19050" cap="rnd">
              <a:solidFill>
                <a:schemeClr val="accent4">
                  <a:lumMod val="60000"/>
                </a:schemeClr>
              </a:solidFill>
              <a:round/>
            </a:ln>
            <a:effectLst/>
          </c:spPr>
          <c:marker>
            <c:symbol val="none"/>
          </c:marker>
          <c:xVal>
            <c:numRef>
              <c:f>Outputs!$D$233:$AG$233</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Outputs!$D$235:$AG$235</c:f>
              <c:numCache>
                <c:formatCode>_(* #,##0_);_(* \(#,##0\);_(* "-"??_);_(@_)</c:formatCode>
                <c:ptCount val="30"/>
                <c:pt idx="0">
                  <c:v>31258877.283118241</c:v>
                </c:pt>
                <c:pt idx="1">
                  <c:v>31258877.283118241</c:v>
                </c:pt>
                <c:pt idx="2">
                  <c:v>22981692.329201803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extLst>
            <c:ext xmlns:c16="http://schemas.microsoft.com/office/drawing/2014/chart" uri="{C3380CC4-5D6E-409C-BE32-E72D297353CC}">
              <c16:uniqueId val="{00000006-E079-4A4A-A7D0-776393F91212}"/>
            </c:ext>
          </c:extLst>
        </c:ser>
        <c:ser>
          <c:idx val="5"/>
          <c:order val="10"/>
          <c:tx>
            <c:strRef>
              <c:f>Outputs!$B$66</c:f>
              <c:strCache>
                <c:ptCount val="1"/>
                <c:pt idx="0">
                  <c:v>Option 8A</c:v>
                </c:pt>
              </c:strCache>
              <c:extLst xmlns:c15="http://schemas.microsoft.com/office/drawing/2012/chart"/>
            </c:strRef>
          </c:tx>
          <c:spPr>
            <a:ln w="19050" cap="rnd">
              <a:solidFill>
                <a:schemeClr val="accent6"/>
              </a:solidFill>
              <a:round/>
            </a:ln>
            <a:effectLst/>
          </c:spPr>
          <c:marker>
            <c:symbol val="none"/>
          </c:marker>
          <c:xVal>
            <c:numRef>
              <c:f>Outputs!$D$14:$AG$14</c:f>
              <c:extLst xmlns:c15="http://schemas.microsoft.com/office/drawing/2012/chart"/>
            </c:numRef>
          </c:xVal>
          <c:yVal>
            <c:numRef>
              <c:f>Outputs!$D$70:$AG$70</c:f>
              <c:extLst xmlns:c15="http://schemas.microsoft.com/office/drawing/2012/chart"/>
            </c:numRef>
          </c:yVal>
          <c:smooth val="0"/>
          <c:extLst xmlns:c15="http://schemas.microsoft.com/office/drawing/2012/chart">
            <c:ext xmlns:c16="http://schemas.microsoft.com/office/drawing/2014/chart" uri="{C3380CC4-5D6E-409C-BE32-E72D297353CC}">
              <c16:uniqueId val="{00000008-E079-4A4A-A7D0-776393F91212}"/>
            </c:ext>
          </c:extLst>
        </c:ser>
        <c:ser>
          <c:idx val="6"/>
          <c:order val="11"/>
          <c:tx>
            <c:strRef>
              <c:f>Outputs!$B$75</c:f>
              <c:strCache>
                <c:ptCount val="1"/>
                <c:pt idx="0">
                  <c:v>Option 8B</c:v>
                </c:pt>
              </c:strCache>
            </c:strRef>
          </c:tx>
          <c:spPr>
            <a:ln w="19050" cap="rnd">
              <a:solidFill>
                <a:schemeClr val="accent1">
                  <a:lumMod val="60000"/>
                </a:schemeClr>
              </a:solidFill>
              <a:round/>
            </a:ln>
            <a:effectLst/>
          </c:spPr>
          <c:marker>
            <c:symbol val="none"/>
          </c:marker>
          <c:xVal>
            <c:numRef>
              <c:f>Outputs!$D$14:$AG$14</c:f>
            </c:numRef>
          </c:xVal>
          <c:yVal>
            <c:numRef>
              <c:f>Outputs!$D$79:$AG$79</c:f>
            </c:numRef>
          </c:yVal>
          <c:smooth val="0"/>
          <c:extLst>
            <c:ext xmlns:c16="http://schemas.microsoft.com/office/drawing/2014/chart" uri="{C3380CC4-5D6E-409C-BE32-E72D297353CC}">
              <c16:uniqueId val="{00000004-E079-4A4A-A7D0-776393F91212}"/>
            </c:ext>
          </c:extLst>
        </c:ser>
        <c:ser>
          <c:idx val="8"/>
          <c:order val="12"/>
          <c:tx>
            <c:strRef>
              <c:f>Outputs!$B$102</c:f>
              <c:strCache>
                <c:ptCount val="1"/>
                <c:pt idx="0">
                  <c:v>Option 11B</c:v>
                </c:pt>
              </c:strCache>
              <c:extLst xmlns:c15="http://schemas.microsoft.com/office/drawing/2012/chart"/>
            </c:strRef>
          </c:tx>
          <c:spPr>
            <a:ln w="19050" cap="rnd">
              <a:solidFill>
                <a:schemeClr val="accent3">
                  <a:lumMod val="60000"/>
                </a:schemeClr>
              </a:solidFill>
              <a:round/>
            </a:ln>
            <a:effectLst/>
          </c:spPr>
          <c:marker>
            <c:symbol val="none"/>
          </c:marker>
          <c:xVal>
            <c:numRef>
              <c:f>Outputs!$D$14:$AG$14</c:f>
              <c:extLst xmlns:c15="http://schemas.microsoft.com/office/drawing/2012/chart"/>
            </c:numRef>
          </c:xVal>
          <c:yVal>
            <c:numRef>
              <c:f>Outputs!$D$106:$AG$106</c:f>
              <c:extLst xmlns:c15="http://schemas.microsoft.com/office/drawing/2012/chart"/>
            </c:numRef>
          </c:yVal>
          <c:smooth val="0"/>
          <c:extLst xmlns:c15="http://schemas.microsoft.com/office/drawing/2012/chart">
            <c:ext xmlns:c16="http://schemas.microsoft.com/office/drawing/2014/chart" uri="{C3380CC4-5D6E-409C-BE32-E72D297353CC}">
              <c16:uniqueId val="{00000009-E079-4A4A-A7D0-776393F91212}"/>
            </c:ext>
          </c:extLst>
        </c:ser>
        <c:ser>
          <c:idx val="13"/>
          <c:order val="13"/>
          <c:tx>
            <c:strRef>
              <c:f>Outputs!$B$240</c:f>
              <c:strCache>
                <c:ptCount val="1"/>
                <c:pt idx="0">
                  <c:v>Option 12</c:v>
                </c:pt>
              </c:strCache>
            </c:strRef>
          </c:tx>
          <c:spPr>
            <a:ln w="19050" cap="rnd">
              <a:solidFill>
                <a:schemeClr val="accent2">
                  <a:lumMod val="80000"/>
                  <a:lumOff val="20000"/>
                </a:schemeClr>
              </a:solidFill>
              <a:round/>
            </a:ln>
            <a:effectLst/>
          </c:spPr>
          <c:marker>
            <c:symbol val="none"/>
          </c:marker>
          <c:xVal>
            <c:numRef>
              <c:f>Outputs!$D$242:$AG$242</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Outputs!$D$244:$AG$244</c:f>
              <c:numCache>
                <c:formatCode>_(* #,##0_);_(* \(#,##0\);_(* "-"??_);_(@_)</c:formatCode>
                <c:ptCount val="30"/>
                <c:pt idx="0">
                  <c:v>31258877.283118241</c:v>
                </c:pt>
                <c:pt idx="1">
                  <c:v>31258877.283118241</c:v>
                </c:pt>
                <c:pt idx="2">
                  <c:v>2565274.1088963212</c:v>
                </c:pt>
                <c:pt idx="3">
                  <c:v>2565274.1088963212</c:v>
                </c:pt>
                <c:pt idx="4">
                  <c:v>2565274.1088963212</c:v>
                </c:pt>
                <c:pt idx="5">
                  <c:v>2565274.1088963212</c:v>
                </c:pt>
                <c:pt idx="6">
                  <c:v>2565274.1088963212</c:v>
                </c:pt>
                <c:pt idx="7">
                  <c:v>2565274.1088963212</c:v>
                </c:pt>
                <c:pt idx="8">
                  <c:v>2565274.1088963212</c:v>
                </c:pt>
                <c:pt idx="9">
                  <c:v>2346467.9582151663</c:v>
                </c:pt>
                <c:pt idx="10">
                  <c:v>2346467.9582151663</c:v>
                </c:pt>
                <c:pt idx="11">
                  <c:v>2314068.5605899175</c:v>
                </c:pt>
                <c:pt idx="12">
                  <c:v>2314068.5605899175</c:v>
                </c:pt>
                <c:pt idx="13">
                  <c:v>2310160.1223315848</c:v>
                </c:pt>
                <c:pt idx="14">
                  <c:v>2310160.1223315848</c:v>
                </c:pt>
                <c:pt idx="15">
                  <c:v>3182974.7106661899</c:v>
                </c:pt>
                <c:pt idx="16">
                  <c:v>3182974.7106661899</c:v>
                </c:pt>
                <c:pt idx="17">
                  <c:v>3141298.2662485251</c:v>
                </c:pt>
                <c:pt idx="18">
                  <c:v>3141298.2662485251</c:v>
                </c:pt>
                <c:pt idx="19">
                  <c:v>3141298.2662485251</c:v>
                </c:pt>
                <c:pt idx="20">
                  <c:v>3141298.2662485251</c:v>
                </c:pt>
                <c:pt idx="21">
                  <c:v>3141298.2662485251</c:v>
                </c:pt>
                <c:pt idx="22">
                  <c:v>3141298.2662485251</c:v>
                </c:pt>
                <c:pt idx="23">
                  <c:v>3141298.2662485251</c:v>
                </c:pt>
                <c:pt idx="24">
                  <c:v>3141298.2662485251</c:v>
                </c:pt>
                <c:pt idx="25">
                  <c:v>3097709.5353105851</c:v>
                </c:pt>
                <c:pt idx="26">
                  <c:v>3097709.5353105851</c:v>
                </c:pt>
                <c:pt idx="27">
                  <c:v>3097709.5353105851</c:v>
                </c:pt>
                <c:pt idx="28">
                  <c:v>3097709.5353105851</c:v>
                </c:pt>
                <c:pt idx="29">
                  <c:v>3097709.5353105851</c:v>
                </c:pt>
              </c:numCache>
            </c:numRef>
          </c:yVal>
          <c:smooth val="0"/>
          <c:extLst>
            <c:ext xmlns:c16="http://schemas.microsoft.com/office/drawing/2014/chart" uri="{C3380CC4-5D6E-409C-BE32-E72D297353CC}">
              <c16:uniqueId val="{00000002-2F90-4385-BD37-ADA064BD2459}"/>
            </c:ext>
          </c:extLst>
        </c:ser>
        <c:dLbls>
          <c:showLegendKey val="0"/>
          <c:showVal val="0"/>
          <c:showCatName val="0"/>
          <c:showSerName val="0"/>
          <c:showPercent val="0"/>
          <c:showBubbleSize val="0"/>
        </c:dLbls>
        <c:axId val="535284864"/>
        <c:axId val="535276336"/>
        <c:extLst/>
      </c:scatterChart>
      <c:valAx>
        <c:axId val="535284864"/>
        <c:scaling>
          <c:orientation val="minMax"/>
          <c:max val="2055"/>
          <c:min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76336"/>
        <c:crosses val="autoZero"/>
        <c:crossBetween val="midCat"/>
      </c:valAx>
      <c:valAx>
        <c:axId val="53527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Natural Gas Use (therms/y)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84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Outputs!$B$12</c:f>
              <c:strCache>
                <c:ptCount val="1"/>
                <c:pt idx="0">
                  <c:v>Option 0</c:v>
                </c:pt>
              </c:strCache>
            </c:strRef>
          </c:tx>
          <c:spPr>
            <a:ln w="19050" cap="rnd">
              <a:solidFill>
                <a:schemeClr val="accent1"/>
              </a:solidFill>
              <a:round/>
            </a:ln>
            <a:effectLst/>
          </c:spPr>
          <c:marker>
            <c:symbol val="none"/>
          </c:marker>
          <c:xVal>
            <c:numRef>
              <c:f>Outputs!$D$14:$AG$14</c:f>
            </c:numRef>
          </c:xVal>
          <c:yVal>
            <c:numRef>
              <c:f>Outputs!$D$18:$AG$18</c:f>
            </c:numRef>
          </c:yVal>
          <c:smooth val="0"/>
          <c:extLst>
            <c:ext xmlns:c16="http://schemas.microsoft.com/office/drawing/2014/chart" uri="{C3380CC4-5D6E-409C-BE32-E72D297353CC}">
              <c16:uniqueId val="{00000000-CC4B-491F-9DA1-1005ED067BCE}"/>
            </c:ext>
          </c:extLst>
        </c:ser>
        <c:ser>
          <c:idx val="1"/>
          <c:order val="1"/>
          <c:tx>
            <c:strRef>
              <c:f>Outputs!$B$21</c:f>
              <c:strCache>
                <c:ptCount val="1"/>
                <c:pt idx="0">
                  <c:v>Option 1A</c:v>
                </c:pt>
              </c:strCache>
            </c:strRef>
          </c:tx>
          <c:spPr>
            <a:ln w="19050" cap="rnd">
              <a:solidFill>
                <a:schemeClr val="accent2"/>
              </a:solidFill>
              <a:round/>
            </a:ln>
            <a:effectLst/>
          </c:spPr>
          <c:marker>
            <c:symbol val="none"/>
          </c:marker>
          <c:xVal>
            <c:numRef>
              <c:f>Outputs!$D$14:$AG$14</c:f>
            </c:numRef>
          </c:xVal>
          <c:yVal>
            <c:numRef>
              <c:f>Outputs!$D$27:$AG$27</c:f>
            </c:numRef>
          </c:yVal>
          <c:smooth val="0"/>
          <c:extLst>
            <c:ext xmlns:c16="http://schemas.microsoft.com/office/drawing/2014/chart" uri="{C3380CC4-5D6E-409C-BE32-E72D297353CC}">
              <c16:uniqueId val="{00000001-CC4B-491F-9DA1-1005ED067BCE}"/>
            </c:ext>
          </c:extLst>
        </c:ser>
        <c:ser>
          <c:idx val="2"/>
          <c:order val="2"/>
          <c:tx>
            <c:strRef>
              <c:f>Outputs!$B$30</c:f>
              <c:strCache>
                <c:ptCount val="1"/>
                <c:pt idx="0">
                  <c:v>Option 1B</c:v>
                </c:pt>
              </c:strCache>
              <c:extLst xmlns:c15="http://schemas.microsoft.com/office/drawing/2012/chart"/>
            </c:strRef>
          </c:tx>
          <c:spPr>
            <a:ln w="19050" cap="rnd">
              <a:solidFill>
                <a:schemeClr val="accent3"/>
              </a:solidFill>
              <a:round/>
            </a:ln>
            <a:effectLst/>
          </c:spPr>
          <c:marker>
            <c:symbol val="none"/>
          </c:marker>
          <c:xVal>
            <c:numRef>
              <c:f>Outputs!$D$14:$AG$14</c:f>
              <c:extLst xmlns:c15="http://schemas.microsoft.com/office/drawing/2012/chart"/>
            </c:numRef>
          </c:xVal>
          <c:yVal>
            <c:numRef>
              <c:f>Outputs!$D$36:$AG$36</c:f>
            </c:numRef>
          </c:yVal>
          <c:smooth val="0"/>
          <c:extLst xmlns:c15="http://schemas.microsoft.com/office/drawing/2012/chart">
            <c:ext xmlns:c16="http://schemas.microsoft.com/office/drawing/2014/chart" uri="{C3380CC4-5D6E-409C-BE32-E72D297353CC}">
              <c16:uniqueId val="{00000007-CC4B-491F-9DA1-1005ED067BCE}"/>
            </c:ext>
          </c:extLst>
        </c:ser>
        <c:ser>
          <c:idx val="3"/>
          <c:order val="3"/>
          <c:tx>
            <c:strRef>
              <c:f>Outputs!$B$39</c:f>
              <c:strCache>
                <c:ptCount val="1"/>
                <c:pt idx="0">
                  <c:v>Option 1C</c:v>
                </c:pt>
              </c:strCache>
            </c:strRef>
          </c:tx>
          <c:spPr>
            <a:ln w="19050" cap="rnd">
              <a:solidFill>
                <a:schemeClr val="accent4"/>
              </a:solidFill>
              <a:round/>
            </a:ln>
            <a:effectLst/>
          </c:spPr>
          <c:marker>
            <c:symbol val="none"/>
          </c:marker>
          <c:xVal>
            <c:numRef>
              <c:f>Outputs!$D$14:$AG$14</c:f>
            </c:numRef>
          </c:xVal>
          <c:yVal>
            <c:numRef>
              <c:f>Outputs!$D$45:$AG$45</c:f>
            </c:numRef>
          </c:yVal>
          <c:smooth val="0"/>
          <c:extLst>
            <c:ext xmlns:c16="http://schemas.microsoft.com/office/drawing/2014/chart" uri="{C3380CC4-5D6E-409C-BE32-E72D297353CC}">
              <c16:uniqueId val="{00000002-CC4B-491F-9DA1-1005ED067BCE}"/>
            </c:ext>
          </c:extLst>
        </c:ser>
        <c:ser>
          <c:idx val="4"/>
          <c:order val="4"/>
          <c:tx>
            <c:strRef>
              <c:f>Outputs!$B$48</c:f>
              <c:strCache>
                <c:ptCount val="1"/>
                <c:pt idx="0">
                  <c:v>Option 2</c:v>
                </c:pt>
              </c:strCache>
            </c:strRef>
          </c:tx>
          <c:spPr>
            <a:ln w="19050" cap="rnd">
              <a:solidFill>
                <a:schemeClr val="accent5"/>
              </a:solidFill>
              <a:round/>
            </a:ln>
            <a:effectLst/>
          </c:spPr>
          <c:marker>
            <c:symbol val="none"/>
          </c:marker>
          <c:xVal>
            <c:numRef>
              <c:f>Outputs!$D$14:$AG$14</c:f>
            </c:numRef>
          </c:xVal>
          <c:yVal>
            <c:numRef>
              <c:f>Outputs!$D$54:$AG$54</c:f>
            </c:numRef>
          </c:yVal>
          <c:smooth val="0"/>
          <c:extLst>
            <c:ext xmlns:c16="http://schemas.microsoft.com/office/drawing/2014/chart" uri="{C3380CC4-5D6E-409C-BE32-E72D297353CC}">
              <c16:uniqueId val="{00000003-CC4B-491F-9DA1-1005ED067BCE}"/>
            </c:ext>
          </c:extLst>
        </c:ser>
        <c:ser>
          <c:idx val="10"/>
          <c:order val="5"/>
          <c:tx>
            <c:strRef>
              <c:f>Outputs!$B$57</c:f>
              <c:strCache>
                <c:ptCount val="1"/>
                <c:pt idx="0">
                  <c:v>Option 6</c:v>
                </c:pt>
              </c:strCache>
            </c:strRef>
          </c:tx>
          <c:spPr>
            <a:ln w="19050" cap="rnd">
              <a:solidFill>
                <a:schemeClr val="accent5">
                  <a:lumMod val="60000"/>
                </a:schemeClr>
              </a:solidFill>
              <a:round/>
            </a:ln>
            <a:effectLst/>
          </c:spPr>
          <c:marker>
            <c:symbol val="none"/>
          </c:marker>
          <c:xVal>
            <c:numRef>
              <c:f>Outputs!$D$59:$AG$59</c:f>
            </c:numRef>
          </c:xVal>
          <c:yVal>
            <c:numRef>
              <c:f>Outputs!$D$63:$AG$63</c:f>
            </c:numRef>
          </c:yVal>
          <c:smooth val="0"/>
          <c:extLst>
            <c:ext xmlns:c16="http://schemas.microsoft.com/office/drawing/2014/chart" uri="{C3380CC4-5D6E-409C-BE32-E72D297353CC}">
              <c16:uniqueId val="{00000000-3DD0-40BE-A8BC-C3D2BDC11A41}"/>
            </c:ext>
          </c:extLst>
        </c:ser>
        <c:ser>
          <c:idx val="5"/>
          <c:order val="6"/>
          <c:tx>
            <c:strRef>
              <c:f>Outputs!$B$66</c:f>
              <c:strCache>
                <c:ptCount val="1"/>
                <c:pt idx="0">
                  <c:v>Option 8A</c:v>
                </c:pt>
              </c:strCache>
              <c:extLst xmlns:c15="http://schemas.microsoft.com/office/drawing/2012/chart"/>
            </c:strRef>
          </c:tx>
          <c:spPr>
            <a:ln w="19050" cap="rnd">
              <a:solidFill>
                <a:schemeClr val="accent6"/>
              </a:solidFill>
              <a:round/>
            </a:ln>
            <a:effectLst/>
          </c:spPr>
          <c:marker>
            <c:symbol val="none"/>
          </c:marker>
          <c:xVal>
            <c:numRef>
              <c:f>Outputs!$D$14:$AG$14</c:f>
              <c:extLst xmlns:c15="http://schemas.microsoft.com/office/drawing/2012/chart"/>
            </c:numRef>
          </c:xVal>
          <c:yVal>
            <c:numRef>
              <c:f>Outputs!$D$72:$AG$72</c:f>
            </c:numRef>
          </c:yVal>
          <c:smooth val="0"/>
          <c:extLst xmlns:c15="http://schemas.microsoft.com/office/drawing/2012/chart">
            <c:ext xmlns:c16="http://schemas.microsoft.com/office/drawing/2014/chart" uri="{C3380CC4-5D6E-409C-BE32-E72D297353CC}">
              <c16:uniqueId val="{00000008-CC4B-491F-9DA1-1005ED067BCE}"/>
            </c:ext>
          </c:extLst>
        </c:ser>
        <c:ser>
          <c:idx val="6"/>
          <c:order val="7"/>
          <c:tx>
            <c:strRef>
              <c:f>Outputs!$B$75</c:f>
              <c:strCache>
                <c:ptCount val="1"/>
                <c:pt idx="0">
                  <c:v>Option 8B</c:v>
                </c:pt>
              </c:strCache>
            </c:strRef>
          </c:tx>
          <c:spPr>
            <a:ln w="19050" cap="rnd">
              <a:solidFill>
                <a:schemeClr val="accent1">
                  <a:lumMod val="60000"/>
                </a:schemeClr>
              </a:solidFill>
              <a:round/>
            </a:ln>
            <a:effectLst/>
          </c:spPr>
          <c:marker>
            <c:symbol val="none"/>
          </c:marker>
          <c:xVal>
            <c:numRef>
              <c:f>Outputs!$D$14:$AG$14</c:f>
            </c:numRef>
          </c:xVal>
          <c:yVal>
            <c:numRef>
              <c:f>Outputs!$D$81:$AG$81</c:f>
            </c:numRef>
          </c:yVal>
          <c:smooth val="0"/>
          <c:extLst>
            <c:ext xmlns:c16="http://schemas.microsoft.com/office/drawing/2014/chart" uri="{C3380CC4-5D6E-409C-BE32-E72D297353CC}">
              <c16:uniqueId val="{00000004-CC4B-491F-9DA1-1005ED067BCE}"/>
            </c:ext>
          </c:extLst>
        </c:ser>
        <c:ser>
          <c:idx val="11"/>
          <c:order val="8"/>
          <c:tx>
            <c:strRef>
              <c:f>Outputs!$B$84</c:f>
              <c:strCache>
                <c:ptCount val="1"/>
                <c:pt idx="0">
                  <c:v>Option 10A</c:v>
                </c:pt>
              </c:strCache>
            </c:strRef>
          </c:tx>
          <c:spPr>
            <a:ln w="19050" cap="rnd">
              <a:solidFill>
                <a:schemeClr val="accent6">
                  <a:lumMod val="60000"/>
                </a:schemeClr>
              </a:solidFill>
              <a:round/>
            </a:ln>
            <a:effectLst/>
          </c:spPr>
          <c:marker>
            <c:symbol val="none"/>
          </c:marker>
          <c:xVal>
            <c:numRef>
              <c:f>Outputs!$D$86:$AG$86</c:f>
            </c:numRef>
          </c:xVal>
          <c:yVal>
            <c:numRef>
              <c:f>Outputs!$D$90:$AG$90</c:f>
            </c:numRef>
          </c:yVal>
          <c:smooth val="0"/>
          <c:extLst>
            <c:ext xmlns:c16="http://schemas.microsoft.com/office/drawing/2014/chart" uri="{C3380CC4-5D6E-409C-BE32-E72D297353CC}">
              <c16:uniqueId val="{00000001-3DD0-40BE-A8BC-C3D2BDC11A41}"/>
            </c:ext>
          </c:extLst>
        </c:ser>
        <c:ser>
          <c:idx val="7"/>
          <c:order val="9"/>
          <c:tx>
            <c:strRef>
              <c:f>Outputs!$B$93</c:f>
              <c:strCache>
                <c:ptCount val="1"/>
                <c:pt idx="0">
                  <c:v>Option 11A</c:v>
                </c:pt>
              </c:strCache>
            </c:strRef>
          </c:tx>
          <c:spPr>
            <a:ln w="19050" cap="rnd">
              <a:solidFill>
                <a:schemeClr val="accent2">
                  <a:lumMod val="60000"/>
                </a:schemeClr>
              </a:solidFill>
              <a:round/>
            </a:ln>
            <a:effectLst/>
          </c:spPr>
          <c:marker>
            <c:symbol val="none"/>
          </c:marker>
          <c:xVal>
            <c:numRef>
              <c:f>Outputs!$D$14:$AG$14</c:f>
            </c:numRef>
          </c:xVal>
          <c:yVal>
            <c:numRef>
              <c:f>Outputs!$D$99:$AG$99</c:f>
            </c:numRef>
          </c:yVal>
          <c:smooth val="0"/>
          <c:extLst>
            <c:ext xmlns:c16="http://schemas.microsoft.com/office/drawing/2014/chart" uri="{C3380CC4-5D6E-409C-BE32-E72D297353CC}">
              <c16:uniqueId val="{00000005-CC4B-491F-9DA1-1005ED067BCE}"/>
            </c:ext>
          </c:extLst>
        </c:ser>
        <c:ser>
          <c:idx val="8"/>
          <c:order val="10"/>
          <c:tx>
            <c:strRef>
              <c:f>Outputs!$B$102</c:f>
              <c:strCache>
                <c:ptCount val="1"/>
                <c:pt idx="0">
                  <c:v>Option 11B</c:v>
                </c:pt>
              </c:strCache>
              <c:extLst xmlns:c15="http://schemas.microsoft.com/office/drawing/2012/chart"/>
            </c:strRef>
          </c:tx>
          <c:spPr>
            <a:ln w="19050" cap="rnd">
              <a:solidFill>
                <a:schemeClr val="accent3">
                  <a:lumMod val="60000"/>
                </a:schemeClr>
              </a:solidFill>
              <a:round/>
            </a:ln>
            <a:effectLst/>
          </c:spPr>
          <c:marker>
            <c:symbol val="none"/>
          </c:marker>
          <c:xVal>
            <c:numRef>
              <c:f>Outputs!$D$14:$AG$14</c:f>
              <c:extLst xmlns:c15="http://schemas.microsoft.com/office/drawing/2012/chart"/>
            </c:numRef>
          </c:xVal>
          <c:yVal>
            <c:numRef>
              <c:f>Outputs!$D$108:$AG$108</c:f>
            </c:numRef>
          </c:yVal>
          <c:smooth val="0"/>
          <c:extLst xmlns:c15="http://schemas.microsoft.com/office/drawing/2012/chart">
            <c:ext xmlns:c16="http://schemas.microsoft.com/office/drawing/2014/chart" uri="{C3380CC4-5D6E-409C-BE32-E72D297353CC}">
              <c16:uniqueId val="{00000009-CC4B-491F-9DA1-1005ED067BCE}"/>
            </c:ext>
          </c:extLst>
        </c:ser>
        <c:ser>
          <c:idx val="9"/>
          <c:order val="11"/>
          <c:tx>
            <c:strRef>
              <c:f>Outputs!$B$111</c:f>
              <c:strCache>
                <c:ptCount val="1"/>
                <c:pt idx="0">
                  <c:v>Option 11C</c:v>
                </c:pt>
              </c:strCache>
            </c:strRef>
          </c:tx>
          <c:spPr>
            <a:ln w="19050" cap="rnd">
              <a:solidFill>
                <a:schemeClr val="accent4">
                  <a:lumMod val="60000"/>
                </a:schemeClr>
              </a:solidFill>
              <a:round/>
            </a:ln>
            <a:effectLst/>
          </c:spPr>
          <c:marker>
            <c:symbol val="none"/>
          </c:marker>
          <c:xVal>
            <c:numRef>
              <c:f>Outputs!$D$14:$AG$14</c:f>
            </c:numRef>
          </c:xVal>
          <c:yVal>
            <c:numRef>
              <c:f>Outputs!$D$117:$AG$117</c:f>
            </c:numRef>
          </c:yVal>
          <c:smooth val="0"/>
          <c:extLst>
            <c:ext xmlns:c16="http://schemas.microsoft.com/office/drawing/2014/chart" uri="{C3380CC4-5D6E-409C-BE32-E72D297353CC}">
              <c16:uniqueId val="{00000006-CC4B-491F-9DA1-1005ED067BCE}"/>
            </c:ext>
          </c:extLst>
        </c:ser>
        <c:ser>
          <c:idx val="12"/>
          <c:order val="12"/>
          <c:tx>
            <c:strRef>
              <c:f>Outputs!$B$120</c:f>
              <c:strCache>
                <c:ptCount val="1"/>
                <c:pt idx="0">
                  <c:v>Option 12</c:v>
                </c:pt>
              </c:strCache>
            </c:strRef>
          </c:tx>
          <c:spPr>
            <a:ln w="19050" cap="rnd">
              <a:solidFill>
                <a:schemeClr val="accent1">
                  <a:lumMod val="80000"/>
                  <a:lumOff val="20000"/>
                </a:schemeClr>
              </a:solidFill>
              <a:round/>
            </a:ln>
            <a:effectLst/>
          </c:spPr>
          <c:marker>
            <c:symbol val="none"/>
          </c:marker>
          <c:xVal>
            <c:numRef>
              <c:f>Outputs!$D$122:$AG$122</c:f>
            </c:numRef>
          </c:xVal>
          <c:yVal>
            <c:numRef>
              <c:f>Outputs!$D$126:$AG$126</c:f>
            </c:numRef>
          </c:yVal>
          <c:smooth val="0"/>
          <c:extLst>
            <c:ext xmlns:c16="http://schemas.microsoft.com/office/drawing/2014/chart" uri="{C3380CC4-5D6E-409C-BE32-E72D297353CC}">
              <c16:uniqueId val="{00000002-3DD0-40BE-A8BC-C3D2BDC11A41}"/>
            </c:ext>
          </c:extLst>
        </c:ser>
        <c:dLbls>
          <c:showLegendKey val="0"/>
          <c:showVal val="0"/>
          <c:showCatName val="0"/>
          <c:showSerName val="0"/>
          <c:showPercent val="0"/>
          <c:showBubbleSize val="0"/>
        </c:dLbls>
        <c:axId val="535284864"/>
        <c:axId val="535276336"/>
        <c:extLst/>
      </c:scatterChart>
      <c:valAx>
        <c:axId val="535284864"/>
        <c:scaling>
          <c:orientation val="minMax"/>
          <c:max val="2055"/>
          <c:min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76336"/>
        <c:crosses val="autoZero"/>
        <c:crossBetween val="midCat"/>
      </c:valAx>
      <c:valAx>
        <c:axId val="53527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Carbon Emissions (tons CO</a:t>
                </a:r>
                <a:r>
                  <a:rPr lang="en-US" baseline="-25000"/>
                  <a:t>2</a:t>
                </a:r>
                <a:r>
                  <a:rPr lang="en-US"/>
                  <a:t>-eq/y)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84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Outputs!$B$12</c:f>
              <c:strCache>
                <c:ptCount val="1"/>
                <c:pt idx="0">
                  <c:v>Option 0</c:v>
                </c:pt>
              </c:strCache>
            </c:strRef>
          </c:tx>
          <c:spPr>
            <a:ln w="19050" cap="rnd">
              <a:solidFill>
                <a:schemeClr val="accent1"/>
              </a:solidFill>
              <a:round/>
            </a:ln>
            <a:effectLst/>
          </c:spPr>
          <c:marker>
            <c:symbol val="none"/>
          </c:marker>
          <c:xVal>
            <c:numRef>
              <c:f>Outputs!$D$14:$AG$14</c:f>
            </c:numRef>
          </c:xVal>
          <c:yVal>
            <c:numRef>
              <c:f>Outputs!$D$17:$AG$17</c:f>
            </c:numRef>
          </c:yVal>
          <c:smooth val="0"/>
          <c:extLst>
            <c:ext xmlns:c16="http://schemas.microsoft.com/office/drawing/2014/chart" uri="{C3380CC4-5D6E-409C-BE32-E72D297353CC}">
              <c16:uniqueId val="{00000000-674E-45BB-9957-E65C5563B604}"/>
            </c:ext>
          </c:extLst>
        </c:ser>
        <c:ser>
          <c:idx val="1"/>
          <c:order val="1"/>
          <c:tx>
            <c:strRef>
              <c:f>Outputs!$B$21</c:f>
              <c:strCache>
                <c:ptCount val="1"/>
                <c:pt idx="0">
                  <c:v>Option 1A</c:v>
                </c:pt>
              </c:strCache>
            </c:strRef>
          </c:tx>
          <c:spPr>
            <a:ln w="19050" cap="rnd">
              <a:solidFill>
                <a:schemeClr val="accent2"/>
              </a:solidFill>
              <a:round/>
            </a:ln>
            <a:effectLst/>
          </c:spPr>
          <c:marker>
            <c:symbol val="none"/>
          </c:marker>
          <c:xVal>
            <c:numRef>
              <c:f>Outputs!$D$14:$AG$14</c:f>
            </c:numRef>
          </c:xVal>
          <c:yVal>
            <c:numRef>
              <c:f>Outputs!$D$26:$AG$26</c:f>
            </c:numRef>
          </c:yVal>
          <c:smooth val="0"/>
          <c:extLst>
            <c:ext xmlns:c16="http://schemas.microsoft.com/office/drawing/2014/chart" uri="{C3380CC4-5D6E-409C-BE32-E72D297353CC}">
              <c16:uniqueId val="{00000001-674E-45BB-9957-E65C5563B604}"/>
            </c:ext>
          </c:extLst>
        </c:ser>
        <c:ser>
          <c:idx val="2"/>
          <c:order val="2"/>
          <c:tx>
            <c:strRef>
              <c:f>Outputs!$B$30</c:f>
              <c:strCache>
                <c:ptCount val="1"/>
                <c:pt idx="0">
                  <c:v>Option 1B</c:v>
                </c:pt>
              </c:strCache>
              <c:extLst xmlns:c15="http://schemas.microsoft.com/office/drawing/2012/chart"/>
            </c:strRef>
          </c:tx>
          <c:spPr>
            <a:ln w="19050" cap="rnd">
              <a:solidFill>
                <a:schemeClr val="accent3"/>
              </a:solidFill>
              <a:round/>
            </a:ln>
            <a:effectLst/>
          </c:spPr>
          <c:marker>
            <c:symbol val="none"/>
          </c:marker>
          <c:xVal>
            <c:numRef>
              <c:f>Outputs!$D$14:$AG$14</c:f>
              <c:extLst xmlns:c15="http://schemas.microsoft.com/office/drawing/2012/chart"/>
            </c:numRef>
          </c:xVal>
          <c:yVal>
            <c:numRef>
              <c:f>Outputs!$D$35:$AG$35</c:f>
              <c:extLst xmlns:c15="http://schemas.microsoft.com/office/drawing/2012/chart"/>
            </c:numRef>
          </c:yVal>
          <c:smooth val="0"/>
          <c:extLst xmlns:c15="http://schemas.microsoft.com/office/drawing/2012/chart">
            <c:ext xmlns:c16="http://schemas.microsoft.com/office/drawing/2014/chart" uri="{C3380CC4-5D6E-409C-BE32-E72D297353CC}">
              <c16:uniqueId val="{00000007-674E-45BB-9957-E65C5563B604}"/>
            </c:ext>
          </c:extLst>
        </c:ser>
        <c:ser>
          <c:idx val="3"/>
          <c:order val="3"/>
          <c:tx>
            <c:strRef>
              <c:f>Outputs!$B$39</c:f>
              <c:strCache>
                <c:ptCount val="1"/>
                <c:pt idx="0">
                  <c:v>Option 1C</c:v>
                </c:pt>
              </c:strCache>
            </c:strRef>
          </c:tx>
          <c:spPr>
            <a:ln w="19050" cap="rnd">
              <a:solidFill>
                <a:schemeClr val="accent4"/>
              </a:solidFill>
              <a:round/>
            </a:ln>
            <a:effectLst/>
          </c:spPr>
          <c:marker>
            <c:symbol val="none"/>
          </c:marker>
          <c:xVal>
            <c:numRef>
              <c:f>Outputs!$D$14:$AG$14</c:f>
            </c:numRef>
          </c:xVal>
          <c:yVal>
            <c:numRef>
              <c:f>Outputs!$D$44:$AG$44</c:f>
            </c:numRef>
          </c:yVal>
          <c:smooth val="0"/>
          <c:extLst>
            <c:ext xmlns:c16="http://schemas.microsoft.com/office/drawing/2014/chart" uri="{C3380CC4-5D6E-409C-BE32-E72D297353CC}">
              <c16:uniqueId val="{00000002-674E-45BB-9957-E65C5563B604}"/>
            </c:ext>
          </c:extLst>
        </c:ser>
        <c:ser>
          <c:idx val="4"/>
          <c:order val="4"/>
          <c:tx>
            <c:strRef>
              <c:f>Outputs!$B$48</c:f>
              <c:strCache>
                <c:ptCount val="1"/>
                <c:pt idx="0">
                  <c:v>Option 2</c:v>
                </c:pt>
              </c:strCache>
            </c:strRef>
          </c:tx>
          <c:spPr>
            <a:ln w="19050" cap="rnd">
              <a:solidFill>
                <a:schemeClr val="accent5"/>
              </a:solidFill>
              <a:round/>
            </a:ln>
            <a:effectLst/>
          </c:spPr>
          <c:marker>
            <c:symbol val="none"/>
          </c:marker>
          <c:xVal>
            <c:numRef>
              <c:f>Outputs!$D$14:$AG$14</c:f>
            </c:numRef>
          </c:xVal>
          <c:yVal>
            <c:numRef>
              <c:f>Outputs!$D$53:$AG$53</c:f>
            </c:numRef>
          </c:yVal>
          <c:smooth val="0"/>
          <c:extLst>
            <c:ext xmlns:c16="http://schemas.microsoft.com/office/drawing/2014/chart" uri="{C3380CC4-5D6E-409C-BE32-E72D297353CC}">
              <c16:uniqueId val="{00000003-674E-45BB-9957-E65C5563B604}"/>
            </c:ext>
          </c:extLst>
        </c:ser>
        <c:ser>
          <c:idx val="10"/>
          <c:order val="5"/>
          <c:tx>
            <c:strRef>
              <c:f>Outputs!$B$57</c:f>
              <c:strCache>
                <c:ptCount val="1"/>
                <c:pt idx="0">
                  <c:v>Option 6</c:v>
                </c:pt>
              </c:strCache>
            </c:strRef>
          </c:tx>
          <c:spPr>
            <a:ln w="19050" cap="rnd">
              <a:solidFill>
                <a:schemeClr val="accent5">
                  <a:lumMod val="60000"/>
                </a:schemeClr>
              </a:solidFill>
              <a:round/>
            </a:ln>
            <a:effectLst/>
          </c:spPr>
          <c:marker>
            <c:symbol val="none"/>
          </c:marker>
          <c:xVal>
            <c:numRef>
              <c:f>Outputs!$D$59:$AG$59</c:f>
            </c:numRef>
          </c:xVal>
          <c:yVal>
            <c:numRef>
              <c:f>Outputs!$D$62:$AG$62</c:f>
            </c:numRef>
          </c:yVal>
          <c:smooth val="0"/>
          <c:extLst>
            <c:ext xmlns:c16="http://schemas.microsoft.com/office/drawing/2014/chart" uri="{C3380CC4-5D6E-409C-BE32-E72D297353CC}">
              <c16:uniqueId val="{00000000-6F5F-45EE-AB4E-DB98DDC31C8B}"/>
            </c:ext>
          </c:extLst>
        </c:ser>
        <c:ser>
          <c:idx val="5"/>
          <c:order val="6"/>
          <c:tx>
            <c:strRef>
              <c:f>Outputs!$B$66</c:f>
              <c:strCache>
                <c:ptCount val="1"/>
                <c:pt idx="0">
                  <c:v>Option 8A</c:v>
                </c:pt>
              </c:strCache>
              <c:extLst xmlns:c15="http://schemas.microsoft.com/office/drawing/2012/chart"/>
            </c:strRef>
          </c:tx>
          <c:spPr>
            <a:ln w="19050" cap="rnd">
              <a:solidFill>
                <a:schemeClr val="accent6"/>
              </a:solidFill>
              <a:round/>
            </a:ln>
            <a:effectLst/>
          </c:spPr>
          <c:marker>
            <c:symbol val="none"/>
          </c:marker>
          <c:xVal>
            <c:numRef>
              <c:f>Outputs!$D$14:$AG$14</c:f>
              <c:extLst xmlns:c15="http://schemas.microsoft.com/office/drawing/2012/chart"/>
            </c:numRef>
          </c:xVal>
          <c:yVal>
            <c:numRef>
              <c:f>Outputs!$D$71:$AG$71</c:f>
              <c:extLst xmlns:c15="http://schemas.microsoft.com/office/drawing/2012/chart"/>
            </c:numRef>
          </c:yVal>
          <c:smooth val="0"/>
          <c:extLst xmlns:c15="http://schemas.microsoft.com/office/drawing/2012/chart">
            <c:ext xmlns:c16="http://schemas.microsoft.com/office/drawing/2014/chart" uri="{C3380CC4-5D6E-409C-BE32-E72D297353CC}">
              <c16:uniqueId val="{00000008-674E-45BB-9957-E65C5563B604}"/>
            </c:ext>
          </c:extLst>
        </c:ser>
        <c:ser>
          <c:idx val="6"/>
          <c:order val="7"/>
          <c:tx>
            <c:strRef>
              <c:f>Outputs!$B$75</c:f>
              <c:strCache>
                <c:ptCount val="1"/>
                <c:pt idx="0">
                  <c:v>Option 8B</c:v>
                </c:pt>
              </c:strCache>
            </c:strRef>
          </c:tx>
          <c:spPr>
            <a:ln w="19050" cap="rnd">
              <a:solidFill>
                <a:schemeClr val="accent1">
                  <a:lumMod val="60000"/>
                </a:schemeClr>
              </a:solidFill>
              <a:round/>
            </a:ln>
            <a:effectLst/>
          </c:spPr>
          <c:marker>
            <c:symbol val="none"/>
          </c:marker>
          <c:xVal>
            <c:numRef>
              <c:f>Outputs!$D$14:$AG$14</c:f>
            </c:numRef>
          </c:xVal>
          <c:yVal>
            <c:numRef>
              <c:f>Outputs!$D$80:$AG$80</c:f>
            </c:numRef>
          </c:yVal>
          <c:smooth val="0"/>
          <c:extLst>
            <c:ext xmlns:c16="http://schemas.microsoft.com/office/drawing/2014/chart" uri="{C3380CC4-5D6E-409C-BE32-E72D297353CC}">
              <c16:uniqueId val="{00000004-674E-45BB-9957-E65C5563B604}"/>
            </c:ext>
          </c:extLst>
        </c:ser>
        <c:ser>
          <c:idx val="11"/>
          <c:order val="8"/>
          <c:tx>
            <c:strRef>
              <c:f>Outputs!$B$84</c:f>
              <c:strCache>
                <c:ptCount val="1"/>
                <c:pt idx="0">
                  <c:v>Option 10A</c:v>
                </c:pt>
              </c:strCache>
            </c:strRef>
          </c:tx>
          <c:spPr>
            <a:ln w="19050" cap="rnd">
              <a:solidFill>
                <a:schemeClr val="accent6">
                  <a:lumMod val="60000"/>
                </a:schemeClr>
              </a:solidFill>
              <a:round/>
            </a:ln>
            <a:effectLst/>
          </c:spPr>
          <c:marker>
            <c:symbol val="none"/>
          </c:marker>
          <c:xVal>
            <c:numRef>
              <c:f>Outputs!$D$86:$AG$86</c:f>
            </c:numRef>
          </c:xVal>
          <c:yVal>
            <c:numRef>
              <c:f>Outputs!$D$89:$AG$89</c:f>
            </c:numRef>
          </c:yVal>
          <c:smooth val="0"/>
          <c:extLst>
            <c:ext xmlns:c16="http://schemas.microsoft.com/office/drawing/2014/chart" uri="{C3380CC4-5D6E-409C-BE32-E72D297353CC}">
              <c16:uniqueId val="{00000001-6F5F-45EE-AB4E-DB98DDC31C8B}"/>
            </c:ext>
          </c:extLst>
        </c:ser>
        <c:ser>
          <c:idx val="7"/>
          <c:order val="9"/>
          <c:tx>
            <c:strRef>
              <c:f>Outputs!$B$93</c:f>
              <c:strCache>
                <c:ptCount val="1"/>
                <c:pt idx="0">
                  <c:v>Option 11A</c:v>
                </c:pt>
              </c:strCache>
            </c:strRef>
          </c:tx>
          <c:spPr>
            <a:ln w="19050" cap="rnd">
              <a:solidFill>
                <a:schemeClr val="accent2">
                  <a:lumMod val="60000"/>
                </a:schemeClr>
              </a:solidFill>
              <a:round/>
            </a:ln>
            <a:effectLst/>
          </c:spPr>
          <c:marker>
            <c:symbol val="none"/>
          </c:marker>
          <c:xVal>
            <c:numRef>
              <c:f>Outputs!$D$14:$AG$14</c:f>
            </c:numRef>
          </c:xVal>
          <c:yVal>
            <c:numRef>
              <c:f>Outputs!$D$98:$AG$98</c:f>
            </c:numRef>
          </c:yVal>
          <c:smooth val="0"/>
          <c:extLst>
            <c:ext xmlns:c16="http://schemas.microsoft.com/office/drawing/2014/chart" uri="{C3380CC4-5D6E-409C-BE32-E72D297353CC}">
              <c16:uniqueId val="{00000005-674E-45BB-9957-E65C5563B604}"/>
            </c:ext>
          </c:extLst>
        </c:ser>
        <c:ser>
          <c:idx val="8"/>
          <c:order val="10"/>
          <c:tx>
            <c:strRef>
              <c:f>Outputs!$B$102</c:f>
              <c:strCache>
                <c:ptCount val="1"/>
                <c:pt idx="0">
                  <c:v>Option 11B</c:v>
                </c:pt>
              </c:strCache>
              <c:extLst xmlns:c15="http://schemas.microsoft.com/office/drawing/2012/chart"/>
            </c:strRef>
          </c:tx>
          <c:spPr>
            <a:ln w="19050" cap="rnd">
              <a:solidFill>
                <a:schemeClr val="accent3">
                  <a:lumMod val="60000"/>
                </a:schemeClr>
              </a:solidFill>
              <a:round/>
            </a:ln>
            <a:effectLst/>
          </c:spPr>
          <c:marker>
            <c:symbol val="none"/>
          </c:marker>
          <c:xVal>
            <c:numRef>
              <c:f>Outputs!$D$14:$AG$14</c:f>
              <c:extLst xmlns:c15="http://schemas.microsoft.com/office/drawing/2012/chart"/>
            </c:numRef>
          </c:xVal>
          <c:yVal>
            <c:numRef>
              <c:f>Outputs!$D$107:$AG$107</c:f>
              <c:extLst xmlns:c15="http://schemas.microsoft.com/office/drawing/2012/chart"/>
            </c:numRef>
          </c:yVal>
          <c:smooth val="0"/>
          <c:extLst xmlns:c15="http://schemas.microsoft.com/office/drawing/2012/chart">
            <c:ext xmlns:c16="http://schemas.microsoft.com/office/drawing/2014/chart" uri="{C3380CC4-5D6E-409C-BE32-E72D297353CC}">
              <c16:uniqueId val="{00000009-674E-45BB-9957-E65C5563B604}"/>
            </c:ext>
          </c:extLst>
        </c:ser>
        <c:ser>
          <c:idx val="9"/>
          <c:order val="11"/>
          <c:tx>
            <c:strRef>
              <c:f>Outputs!$B$111</c:f>
              <c:strCache>
                <c:ptCount val="1"/>
                <c:pt idx="0">
                  <c:v>Option 11C</c:v>
                </c:pt>
              </c:strCache>
            </c:strRef>
          </c:tx>
          <c:spPr>
            <a:ln w="19050" cap="rnd">
              <a:solidFill>
                <a:schemeClr val="accent4">
                  <a:lumMod val="60000"/>
                </a:schemeClr>
              </a:solidFill>
              <a:round/>
            </a:ln>
            <a:effectLst/>
          </c:spPr>
          <c:marker>
            <c:symbol val="none"/>
          </c:marker>
          <c:xVal>
            <c:numRef>
              <c:f>Outputs!$D$14:$AG$14</c:f>
            </c:numRef>
          </c:xVal>
          <c:yVal>
            <c:numRef>
              <c:f>Outputs!$D$116:$AG$116</c:f>
            </c:numRef>
          </c:yVal>
          <c:smooth val="0"/>
          <c:extLst>
            <c:ext xmlns:c16="http://schemas.microsoft.com/office/drawing/2014/chart" uri="{C3380CC4-5D6E-409C-BE32-E72D297353CC}">
              <c16:uniqueId val="{00000006-674E-45BB-9957-E65C5563B604}"/>
            </c:ext>
          </c:extLst>
        </c:ser>
        <c:ser>
          <c:idx val="12"/>
          <c:order val="12"/>
          <c:tx>
            <c:strRef>
              <c:f>Outputs!$B$120</c:f>
              <c:strCache>
                <c:ptCount val="1"/>
                <c:pt idx="0">
                  <c:v>Option 12</c:v>
                </c:pt>
              </c:strCache>
            </c:strRef>
          </c:tx>
          <c:spPr>
            <a:ln w="19050" cap="rnd">
              <a:solidFill>
                <a:schemeClr val="accent1">
                  <a:lumMod val="80000"/>
                  <a:lumOff val="20000"/>
                </a:schemeClr>
              </a:solidFill>
              <a:round/>
            </a:ln>
            <a:effectLst/>
          </c:spPr>
          <c:marker>
            <c:symbol val="none"/>
          </c:marker>
          <c:xVal>
            <c:numRef>
              <c:f>Outputs!$D$122:$AG$122</c:f>
            </c:numRef>
          </c:xVal>
          <c:yVal>
            <c:numRef>
              <c:f>Outputs!$D$125:$AG$125</c:f>
            </c:numRef>
          </c:yVal>
          <c:smooth val="0"/>
          <c:extLst>
            <c:ext xmlns:c16="http://schemas.microsoft.com/office/drawing/2014/chart" uri="{C3380CC4-5D6E-409C-BE32-E72D297353CC}">
              <c16:uniqueId val="{00000002-6F5F-45EE-AB4E-DB98DDC31C8B}"/>
            </c:ext>
          </c:extLst>
        </c:ser>
        <c:dLbls>
          <c:showLegendKey val="0"/>
          <c:showVal val="0"/>
          <c:showCatName val="0"/>
          <c:showSerName val="0"/>
          <c:showPercent val="0"/>
          <c:showBubbleSize val="0"/>
        </c:dLbls>
        <c:axId val="535284864"/>
        <c:axId val="535276336"/>
        <c:extLst/>
      </c:scatterChart>
      <c:valAx>
        <c:axId val="535284864"/>
        <c:scaling>
          <c:orientation val="minMax"/>
          <c:max val="2055"/>
          <c:min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76336"/>
        <c:crosses val="autoZero"/>
        <c:crossBetween val="midCat"/>
      </c:valAx>
      <c:valAx>
        <c:axId val="53527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Use (CCF/y)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84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3"/>
          <c:order val="0"/>
          <c:tx>
            <c:strRef>
              <c:f>Outputs!$B$132</c:f>
              <c:strCache>
                <c:ptCount val="1"/>
                <c:pt idx="0">
                  <c:v>Option 0</c:v>
                </c:pt>
              </c:strCache>
            </c:strRef>
          </c:tx>
          <c:spPr>
            <a:ln w="19050" cap="rnd">
              <a:solidFill>
                <a:schemeClr val="accent2">
                  <a:lumMod val="80000"/>
                  <a:lumOff val="20000"/>
                </a:schemeClr>
              </a:solidFill>
              <a:round/>
            </a:ln>
            <a:effectLst/>
          </c:spPr>
          <c:marker>
            <c:symbol val="none"/>
          </c:marker>
          <c:xVal>
            <c:numRef>
              <c:f>Outputs!$D$134:$AG$134</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Outputs!$D$137:$AG$137</c:f>
              <c:numCache>
                <c:formatCode>_(* #,##0_);_(* \(#,##0\);_(* "-"??_);_(@_)</c:formatCode>
                <c:ptCount val="30"/>
                <c:pt idx="0">
                  <c:v>244502.94162997318</c:v>
                </c:pt>
                <c:pt idx="1">
                  <c:v>263270.76555360644</c:v>
                </c:pt>
                <c:pt idx="2">
                  <c:v>242776.84616745566</c:v>
                </c:pt>
                <c:pt idx="3">
                  <c:v>262367.12817555445</c:v>
                </c:pt>
                <c:pt idx="4">
                  <c:v>262367.12817555445</c:v>
                </c:pt>
                <c:pt idx="5">
                  <c:v>270875.83454919013</c:v>
                </c:pt>
                <c:pt idx="6">
                  <c:v>270875.83454919013</c:v>
                </c:pt>
                <c:pt idx="7">
                  <c:v>260455.06022020319</c:v>
                </c:pt>
                <c:pt idx="8">
                  <c:v>260455.06022020319</c:v>
                </c:pt>
                <c:pt idx="9">
                  <c:v>262015.96304573605</c:v>
                </c:pt>
                <c:pt idx="10">
                  <c:v>262015.96304573605</c:v>
                </c:pt>
                <c:pt idx="11">
                  <c:v>258895.12716426712</c:v>
                </c:pt>
                <c:pt idx="12">
                  <c:v>258895.12716426712</c:v>
                </c:pt>
                <c:pt idx="13">
                  <c:v>258186.918357205</c:v>
                </c:pt>
                <c:pt idx="14">
                  <c:v>258186.918357205</c:v>
                </c:pt>
                <c:pt idx="15">
                  <c:v>292697.91370478703</c:v>
                </c:pt>
                <c:pt idx="16">
                  <c:v>292697.91370478703</c:v>
                </c:pt>
                <c:pt idx="17">
                  <c:v>292485.95395244943</c:v>
                </c:pt>
                <c:pt idx="18">
                  <c:v>292485.95395244943</c:v>
                </c:pt>
                <c:pt idx="19">
                  <c:v>291756.69440303242</c:v>
                </c:pt>
                <c:pt idx="20">
                  <c:v>291756.69440303242</c:v>
                </c:pt>
                <c:pt idx="21">
                  <c:v>291756.69440303242</c:v>
                </c:pt>
                <c:pt idx="22">
                  <c:v>291756.69440303242</c:v>
                </c:pt>
                <c:pt idx="23">
                  <c:v>291756.69440303242</c:v>
                </c:pt>
                <c:pt idx="24">
                  <c:v>291756.69440303242</c:v>
                </c:pt>
                <c:pt idx="25">
                  <c:v>290846.81169120385</c:v>
                </c:pt>
                <c:pt idx="26">
                  <c:v>290846.81169120385</c:v>
                </c:pt>
                <c:pt idx="27">
                  <c:v>290846.81169120385</c:v>
                </c:pt>
                <c:pt idx="28">
                  <c:v>290846.81169120385</c:v>
                </c:pt>
                <c:pt idx="29">
                  <c:v>290846.81169120385</c:v>
                </c:pt>
              </c:numCache>
            </c:numRef>
          </c:yVal>
          <c:smooth val="0"/>
          <c:extLst>
            <c:ext xmlns:c16="http://schemas.microsoft.com/office/drawing/2014/chart" uri="{C3380CC4-5D6E-409C-BE32-E72D297353CC}">
              <c16:uniqueId val="{0000001A-72CA-4156-90A7-8C0A3E313013}"/>
            </c:ext>
          </c:extLst>
        </c:ser>
        <c:ser>
          <c:idx val="14"/>
          <c:order val="1"/>
          <c:tx>
            <c:strRef>
              <c:f>Outputs!$B$141</c:f>
              <c:strCache>
                <c:ptCount val="1"/>
                <c:pt idx="0">
                  <c:v>Option 1A</c:v>
                </c:pt>
              </c:strCache>
            </c:strRef>
          </c:tx>
          <c:spPr>
            <a:ln w="19050" cap="rnd">
              <a:solidFill>
                <a:schemeClr val="accent3">
                  <a:lumMod val="80000"/>
                  <a:lumOff val="20000"/>
                </a:schemeClr>
              </a:solidFill>
              <a:round/>
            </a:ln>
            <a:effectLst/>
          </c:spPr>
          <c:marker>
            <c:symbol val="none"/>
          </c:marker>
          <c:xVal>
            <c:numRef>
              <c:f>Outputs!$D$143:$AG$143</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Outputs!$D$146:$AG$146</c:f>
              <c:numCache>
                <c:formatCode>_(* #,##0_);_(* \(#,##0\);_(* "-"??_);_(@_)</c:formatCode>
                <c:ptCount val="30"/>
                <c:pt idx="0">
                  <c:v>261286.05720287678</c:v>
                </c:pt>
                <c:pt idx="1">
                  <c:v>280053.88112651004</c:v>
                </c:pt>
                <c:pt idx="2">
                  <c:v>280053.88112651004</c:v>
                </c:pt>
                <c:pt idx="3">
                  <c:v>299698.99826324207</c:v>
                </c:pt>
                <c:pt idx="4">
                  <c:v>299698.99826324207</c:v>
                </c:pt>
                <c:pt idx="5">
                  <c:v>268615.28080787358</c:v>
                </c:pt>
                <c:pt idx="6">
                  <c:v>268615.28080787358</c:v>
                </c:pt>
                <c:pt idx="7">
                  <c:v>259012.49521457759</c:v>
                </c:pt>
                <c:pt idx="8">
                  <c:v>259012.49521457759</c:v>
                </c:pt>
                <c:pt idx="9">
                  <c:v>258565.48644467274</c:v>
                </c:pt>
                <c:pt idx="10">
                  <c:v>222406.57935464202</c:v>
                </c:pt>
                <c:pt idx="11">
                  <c:v>218915.04632238334</c:v>
                </c:pt>
                <c:pt idx="12">
                  <c:v>218915.04632238334</c:v>
                </c:pt>
                <c:pt idx="13">
                  <c:v>218142.41487150022</c:v>
                </c:pt>
                <c:pt idx="14">
                  <c:v>144483.601555553</c:v>
                </c:pt>
                <c:pt idx="15">
                  <c:v>165316.17341266482</c:v>
                </c:pt>
                <c:pt idx="16">
                  <c:v>165316.17341266482</c:v>
                </c:pt>
                <c:pt idx="17">
                  <c:v>165249.68529523592</c:v>
                </c:pt>
                <c:pt idx="18">
                  <c:v>165249.68529523592</c:v>
                </c:pt>
                <c:pt idx="19">
                  <c:v>164877.54257590559</c:v>
                </c:pt>
                <c:pt idx="20">
                  <c:v>164877.54257590559</c:v>
                </c:pt>
                <c:pt idx="21">
                  <c:v>164877.54257590559</c:v>
                </c:pt>
                <c:pt idx="22">
                  <c:v>164877.54257590559</c:v>
                </c:pt>
                <c:pt idx="23">
                  <c:v>164877.54257590559</c:v>
                </c:pt>
                <c:pt idx="24">
                  <c:v>164877.54257590559</c:v>
                </c:pt>
                <c:pt idx="25">
                  <c:v>164385.26105735954</c:v>
                </c:pt>
                <c:pt idx="26">
                  <c:v>164385.26105735954</c:v>
                </c:pt>
                <c:pt idx="27">
                  <c:v>164385.26105735954</c:v>
                </c:pt>
                <c:pt idx="28">
                  <c:v>164385.26105735954</c:v>
                </c:pt>
                <c:pt idx="29">
                  <c:v>164385.26105735954</c:v>
                </c:pt>
              </c:numCache>
            </c:numRef>
          </c:yVal>
          <c:smooth val="0"/>
          <c:extLst>
            <c:ext xmlns:c16="http://schemas.microsoft.com/office/drawing/2014/chart" uri="{C3380CC4-5D6E-409C-BE32-E72D297353CC}">
              <c16:uniqueId val="{0000001B-72CA-4156-90A7-8C0A3E313013}"/>
            </c:ext>
          </c:extLst>
        </c:ser>
        <c:ser>
          <c:idx val="15"/>
          <c:order val="2"/>
          <c:tx>
            <c:strRef>
              <c:f>Outputs!$B$30</c:f>
              <c:strCache>
                <c:ptCount val="1"/>
                <c:pt idx="0">
                  <c:v>Option 1B</c:v>
                </c:pt>
              </c:strCache>
            </c:strRef>
          </c:tx>
          <c:spPr>
            <a:ln w="19050" cap="rnd">
              <a:solidFill>
                <a:schemeClr val="accent4">
                  <a:lumMod val="80000"/>
                  <a:lumOff val="20000"/>
                </a:schemeClr>
              </a:solidFill>
              <a:round/>
            </a:ln>
            <a:effectLst/>
          </c:spPr>
          <c:marker>
            <c:symbol val="none"/>
          </c:marker>
          <c:xVal>
            <c:numRef>
              <c:f>Outputs!$D$14:$AG$14</c:f>
            </c:numRef>
          </c:xVal>
          <c:yVal>
            <c:numRef>
              <c:f>Outputs!$D$35:$AG$35</c:f>
            </c:numRef>
          </c:yVal>
          <c:smooth val="0"/>
          <c:extLst>
            <c:ext xmlns:c16="http://schemas.microsoft.com/office/drawing/2014/chart" uri="{C3380CC4-5D6E-409C-BE32-E72D297353CC}">
              <c16:uniqueId val="{0000001C-72CA-4156-90A7-8C0A3E313013}"/>
            </c:ext>
          </c:extLst>
        </c:ser>
        <c:ser>
          <c:idx val="16"/>
          <c:order val="3"/>
          <c:tx>
            <c:strRef>
              <c:f>Outputs!$B$159</c:f>
              <c:strCache>
                <c:ptCount val="1"/>
                <c:pt idx="0">
                  <c:v>Option 1C</c:v>
                </c:pt>
              </c:strCache>
            </c:strRef>
          </c:tx>
          <c:spPr>
            <a:ln w="19050" cap="rnd">
              <a:solidFill>
                <a:schemeClr val="accent5">
                  <a:lumMod val="80000"/>
                  <a:lumOff val="20000"/>
                </a:schemeClr>
              </a:solidFill>
              <a:round/>
            </a:ln>
            <a:effectLst/>
          </c:spPr>
          <c:marker>
            <c:symbol val="none"/>
          </c:marker>
          <c:xVal>
            <c:numRef>
              <c:f>Outputs!$D$161:$AG$161</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Outputs!$D$164:$AG$164</c:f>
              <c:numCache>
                <c:formatCode>_(* #,##0_);_(* \(#,##0\);_(* "-"??_);_(@_)</c:formatCode>
                <c:ptCount val="30"/>
                <c:pt idx="0">
                  <c:v>261286.05720287678</c:v>
                </c:pt>
                <c:pt idx="1">
                  <c:v>280053.88112651004</c:v>
                </c:pt>
                <c:pt idx="2">
                  <c:v>280053.88112651004</c:v>
                </c:pt>
                <c:pt idx="3">
                  <c:v>299698.99826324207</c:v>
                </c:pt>
                <c:pt idx="4">
                  <c:v>299698.99826324207</c:v>
                </c:pt>
                <c:pt idx="5">
                  <c:v>268615.28080787358</c:v>
                </c:pt>
                <c:pt idx="6">
                  <c:v>268615.28080787358</c:v>
                </c:pt>
                <c:pt idx="7">
                  <c:v>259012.49521457759</c:v>
                </c:pt>
                <c:pt idx="8">
                  <c:v>259012.49521457759</c:v>
                </c:pt>
                <c:pt idx="9">
                  <c:v>258565.48644467274</c:v>
                </c:pt>
                <c:pt idx="10">
                  <c:v>222406.57935464202</c:v>
                </c:pt>
                <c:pt idx="11">
                  <c:v>218915.04632238334</c:v>
                </c:pt>
                <c:pt idx="12">
                  <c:v>218915.04632238334</c:v>
                </c:pt>
                <c:pt idx="13">
                  <c:v>218142.41487150022</c:v>
                </c:pt>
                <c:pt idx="14">
                  <c:v>144483.601555553</c:v>
                </c:pt>
                <c:pt idx="15">
                  <c:v>165316.17341266482</c:v>
                </c:pt>
                <c:pt idx="16">
                  <c:v>165316.17341266482</c:v>
                </c:pt>
                <c:pt idx="17">
                  <c:v>165249.68529523592</c:v>
                </c:pt>
                <c:pt idx="18">
                  <c:v>165249.68529523592</c:v>
                </c:pt>
                <c:pt idx="19">
                  <c:v>164877.54257590559</c:v>
                </c:pt>
                <c:pt idx="20">
                  <c:v>164877.54257590559</c:v>
                </c:pt>
                <c:pt idx="21">
                  <c:v>164877.54257590559</c:v>
                </c:pt>
                <c:pt idx="22">
                  <c:v>164877.54257590559</c:v>
                </c:pt>
                <c:pt idx="23">
                  <c:v>164877.54257590559</c:v>
                </c:pt>
                <c:pt idx="24">
                  <c:v>164877.54257590559</c:v>
                </c:pt>
                <c:pt idx="25">
                  <c:v>164385.26105735954</c:v>
                </c:pt>
                <c:pt idx="26">
                  <c:v>164385.26105735954</c:v>
                </c:pt>
                <c:pt idx="27">
                  <c:v>164385.26105735954</c:v>
                </c:pt>
                <c:pt idx="28">
                  <c:v>164385.26105735954</c:v>
                </c:pt>
                <c:pt idx="29">
                  <c:v>164385.26105735954</c:v>
                </c:pt>
              </c:numCache>
            </c:numRef>
          </c:yVal>
          <c:smooth val="0"/>
          <c:extLst>
            <c:ext xmlns:c16="http://schemas.microsoft.com/office/drawing/2014/chart" uri="{C3380CC4-5D6E-409C-BE32-E72D297353CC}">
              <c16:uniqueId val="{0000001D-72CA-4156-90A7-8C0A3E313013}"/>
            </c:ext>
          </c:extLst>
        </c:ser>
        <c:ser>
          <c:idx val="17"/>
          <c:order val="4"/>
          <c:tx>
            <c:strRef>
              <c:f>Outputs!$B$168</c:f>
              <c:strCache>
                <c:ptCount val="1"/>
                <c:pt idx="0">
                  <c:v>Option 2</c:v>
                </c:pt>
              </c:strCache>
            </c:strRef>
          </c:tx>
          <c:spPr>
            <a:ln w="19050" cap="rnd">
              <a:solidFill>
                <a:schemeClr val="accent6">
                  <a:lumMod val="80000"/>
                  <a:lumOff val="20000"/>
                </a:schemeClr>
              </a:solidFill>
              <a:round/>
            </a:ln>
            <a:effectLst/>
          </c:spPr>
          <c:marker>
            <c:symbol val="none"/>
          </c:marker>
          <c:xVal>
            <c:numRef>
              <c:f>Outputs!$D$170:$AG$170</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Outputs!$D$173:$AG$173</c:f>
              <c:numCache>
                <c:formatCode>_(* #,##0_);_(* \(#,##0\);_(* "-"??_);_(@_)</c:formatCode>
                <c:ptCount val="30"/>
                <c:pt idx="0">
                  <c:v>278436.87957137165</c:v>
                </c:pt>
                <c:pt idx="1">
                  <c:v>297204.70349500491</c:v>
                </c:pt>
                <c:pt idx="2">
                  <c:v>168874.65072308262</c:v>
                </c:pt>
                <c:pt idx="3">
                  <c:v>189729.76823222468</c:v>
                </c:pt>
                <c:pt idx="4">
                  <c:v>189729.76823222468</c:v>
                </c:pt>
                <c:pt idx="5">
                  <c:v>210959.01780681187</c:v>
                </c:pt>
                <c:pt idx="6">
                  <c:v>210959.01780681187</c:v>
                </c:pt>
                <c:pt idx="7">
                  <c:v>204508.3938066377</c:v>
                </c:pt>
                <c:pt idx="8">
                  <c:v>204508.3938066377</c:v>
                </c:pt>
                <c:pt idx="9">
                  <c:v>206948.18031278072</c:v>
                </c:pt>
                <c:pt idx="10">
                  <c:v>206948.18031278072</c:v>
                </c:pt>
                <c:pt idx="11">
                  <c:v>205098.19315986955</c:v>
                </c:pt>
                <c:pt idx="12">
                  <c:v>205098.19315986955</c:v>
                </c:pt>
                <c:pt idx="13">
                  <c:v>204677.11497469028</c:v>
                </c:pt>
                <c:pt idx="14">
                  <c:v>204677.11497469028</c:v>
                </c:pt>
                <c:pt idx="15">
                  <c:v>235460.84056518428</c:v>
                </c:pt>
                <c:pt idx="16">
                  <c:v>235460.84056518428</c:v>
                </c:pt>
                <c:pt idx="17">
                  <c:v>235394.23290744744</c:v>
                </c:pt>
                <c:pt idx="18">
                  <c:v>235394.23290744744</c:v>
                </c:pt>
                <c:pt idx="19">
                  <c:v>234839.63347978302</c:v>
                </c:pt>
                <c:pt idx="20">
                  <c:v>234839.63347978302</c:v>
                </c:pt>
                <c:pt idx="21">
                  <c:v>234839.63347978302</c:v>
                </c:pt>
                <c:pt idx="22">
                  <c:v>234839.63347978302</c:v>
                </c:pt>
                <c:pt idx="23">
                  <c:v>234839.63347978302</c:v>
                </c:pt>
                <c:pt idx="24">
                  <c:v>234839.63347978302</c:v>
                </c:pt>
                <c:pt idx="25">
                  <c:v>234104.83462259287</c:v>
                </c:pt>
                <c:pt idx="26">
                  <c:v>234104.83462259287</c:v>
                </c:pt>
                <c:pt idx="27">
                  <c:v>234104.83462259287</c:v>
                </c:pt>
                <c:pt idx="28">
                  <c:v>234104.83462259287</c:v>
                </c:pt>
                <c:pt idx="29">
                  <c:v>234104.83462259287</c:v>
                </c:pt>
              </c:numCache>
            </c:numRef>
          </c:yVal>
          <c:smooth val="0"/>
          <c:extLst>
            <c:ext xmlns:c16="http://schemas.microsoft.com/office/drawing/2014/chart" uri="{C3380CC4-5D6E-409C-BE32-E72D297353CC}">
              <c16:uniqueId val="{0000001E-72CA-4156-90A7-8C0A3E313013}"/>
            </c:ext>
          </c:extLst>
        </c:ser>
        <c:ser>
          <c:idx val="10"/>
          <c:order val="5"/>
          <c:tx>
            <c:strRef>
              <c:f>Outputs!$B$177</c:f>
              <c:strCache>
                <c:ptCount val="1"/>
                <c:pt idx="0">
                  <c:v>Option 6</c:v>
                </c:pt>
              </c:strCache>
            </c:strRef>
          </c:tx>
          <c:spPr>
            <a:ln w="19050" cap="rnd">
              <a:solidFill>
                <a:schemeClr val="accent5">
                  <a:lumMod val="60000"/>
                </a:schemeClr>
              </a:solidFill>
              <a:round/>
            </a:ln>
            <a:effectLst/>
          </c:spPr>
          <c:marker>
            <c:symbol val="none"/>
          </c:marker>
          <c:xVal>
            <c:numRef>
              <c:f>Outputs!$D$179:$AG$179</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Outputs!$D$182:$AG$182</c:f>
              <c:numCache>
                <c:formatCode>_(* #,##0_);_(* \(#,##0\);_(* "-"??_);_(@_)</c:formatCode>
                <c:ptCount val="30"/>
                <c:pt idx="0">
                  <c:v>278436.87957137165</c:v>
                </c:pt>
                <c:pt idx="1">
                  <c:v>297204.70349500491</c:v>
                </c:pt>
                <c:pt idx="2">
                  <c:v>168824.41307064128</c:v>
                </c:pt>
                <c:pt idx="3">
                  <c:v>189680.59682185159</c:v>
                </c:pt>
                <c:pt idx="4">
                  <c:v>189680.59682185159</c:v>
                </c:pt>
                <c:pt idx="5">
                  <c:v>210910.62492790326</c:v>
                </c:pt>
                <c:pt idx="6">
                  <c:v>210910.62492790326</c:v>
                </c:pt>
                <c:pt idx="7">
                  <c:v>204462.30733862033</c:v>
                </c:pt>
                <c:pt idx="8">
                  <c:v>204462.30733862033</c:v>
                </c:pt>
                <c:pt idx="9">
                  <c:v>206902.85171144037</c:v>
                </c:pt>
                <c:pt idx="10">
                  <c:v>206902.85171144037</c:v>
                </c:pt>
                <c:pt idx="11">
                  <c:v>205053.92544710572</c:v>
                </c:pt>
                <c:pt idx="12">
                  <c:v>205053.92544710572</c:v>
                </c:pt>
                <c:pt idx="13">
                  <c:v>204633.07936726013</c:v>
                </c:pt>
                <c:pt idx="14">
                  <c:v>204633.07936726013</c:v>
                </c:pt>
                <c:pt idx="15">
                  <c:v>235413.66560315649</c:v>
                </c:pt>
                <c:pt idx="16">
                  <c:v>235413.66560315649</c:v>
                </c:pt>
                <c:pt idx="17">
                  <c:v>235347.17748572759</c:v>
                </c:pt>
                <c:pt idx="18">
                  <c:v>235347.17748572759</c:v>
                </c:pt>
                <c:pt idx="19">
                  <c:v>234792.7286685353</c:v>
                </c:pt>
                <c:pt idx="20">
                  <c:v>234792.7286685353</c:v>
                </c:pt>
                <c:pt idx="21">
                  <c:v>234792.7286685353</c:v>
                </c:pt>
                <c:pt idx="22">
                  <c:v>234792.7286685353</c:v>
                </c:pt>
                <c:pt idx="23">
                  <c:v>234792.7286685353</c:v>
                </c:pt>
                <c:pt idx="24">
                  <c:v>234792.7286685353</c:v>
                </c:pt>
                <c:pt idx="25">
                  <c:v>234058.0807872047</c:v>
                </c:pt>
                <c:pt idx="26">
                  <c:v>234058.0807872047</c:v>
                </c:pt>
                <c:pt idx="27">
                  <c:v>234058.0807872047</c:v>
                </c:pt>
                <c:pt idx="28">
                  <c:v>234058.0807872047</c:v>
                </c:pt>
                <c:pt idx="29">
                  <c:v>234058.0807872047</c:v>
                </c:pt>
              </c:numCache>
            </c:numRef>
          </c:yVal>
          <c:smooth val="0"/>
          <c:extLst>
            <c:ext xmlns:c16="http://schemas.microsoft.com/office/drawing/2014/chart" uri="{C3380CC4-5D6E-409C-BE32-E72D297353CC}">
              <c16:uniqueId val="{0000000B-72CA-4156-90A7-8C0A3E313013}"/>
            </c:ext>
          </c:extLst>
        </c:ser>
        <c:ser>
          <c:idx val="18"/>
          <c:order val="6"/>
          <c:tx>
            <c:strRef>
              <c:f>Outputs!$B$66</c:f>
              <c:strCache>
                <c:ptCount val="1"/>
                <c:pt idx="0">
                  <c:v>Option 8A</c:v>
                </c:pt>
              </c:strCache>
            </c:strRef>
          </c:tx>
          <c:spPr>
            <a:ln w="19050" cap="rnd">
              <a:solidFill>
                <a:schemeClr val="accent1">
                  <a:lumMod val="80000"/>
                </a:schemeClr>
              </a:solidFill>
              <a:round/>
            </a:ln>
            <a:effectLst/>
          </c:spPr>
          <c:marker>
            <c:symbol val="none"/>
          </c:marker>
          <c:xVal>
            <c:numRef>
              <c:f>Outputs!$D$14:$AG$14</c:f>
            </c:numRef>
          </c:xVal>
          <c:yVal>
            <c:numRef>
              <c:f>Outputs!$D$71:$AG$71</c:f>
            </c:numRef>
          </c:yVal>
          <c:smooth val="0"/>
          <c:extLst>
            <c:ext xmlns:c16="http://schemas.microsoft.com/office/drawing/2014/chart" uri="{C3380CC4-5D6E-409C-BE32-E72D297353CC}">
              <c16:uniqueId val="{0000001F-72CA-4156-90A7-8C0A3E313013}"/>
            </c:ext>
          </c:extLst>
        </c:ser>
        <c:ser>
          <c:idx val="19"/>
          <c:order val="7"/>
          <c:tx>
            <c:strRef>
              <c:f>Outputs!$B$195</c:f>
              <c:strCache>
                <c:ptCount val="1"/>
                <c:pt idx="0">
                  <c:v>Option 8B</c:v>
                </c:pt>
              </c:strCache>
            </c:strRef>
          </c:tx>
          <c:spPr>
            <a:ln w="19050" cap="rnd">
              <a:solidFill>
                <a:schemeClr val="accent2">
                  <a:lumMod val="80000"/>
                </a:schemeClr>
              </a:solidFill>
              <a:round/>
            </a:ln>
            <a:effectLst/>
          </c:spPr>
          <c:marker>
            <c:symbol val="none"/>
          </c:marker>
          <c:xVal>
            <c:numRef>
              <c:f>Outputs!$D$197:$AG$197</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Outputs!$D$200:$AG$200</c:f>
              <c:numCache>
                <c:formatCode>_(* #,##0_);_(* \(#,##0\);_(* "-"??_);_(@_)</c:formatCode>
                <c:ptCount val="30"/>
                <c:pt idx="0">
                  <c:v>278436.87957137165</c:v>
                </c:pt>
                <c:pt idx="1">
                  <c:v>297204.70349500491</c:v>
                </c:pt>
                <c:pt idx="2">
                  <c:v>297204.70349500491</c:v>
                </c:pt>
                <c:pt idx="3">
                  <c:v>315431.18617302546</c:v>
                </c:pt>
                <c:pt idx="4">
                  <c:v>315431.18617302546</c:v>
                </c:pt>
                <c:pt idx="5">
                  <c:v>313904.4007714967</c:v>
                </c:pt>
                <c:pt idx="6">
                  <c:v>313904.4007714967</c:v>
                </c:pt>
                <c:pt idx="7">
                  <c:v>303318.1023746687</c:v>
                </c:pt>
                <c:pt idx="8">
                  <c:v>303318.1023746687</c:v>
                </c:pt>
                <c:pt idx="9">
                  <c:v>303961.47031906317</c:v>
                </c:pt>
                <c:pt idx="10">
                  <c:v>261875.29834903718</c:v>
                </c:pt>
                <c:pt idx="11">
                  <c:v>259512.37517345324</c:v>
                </c:pt>
                <c:pt idx="12">
                  <c:v>259512.37517345324</c:v>
                </c:pt>
                <c:pt idx="13">
                  <c:v>259003.18643594004</c:v>
                </c:pt>
                <c:pt idx="14">
                  <c:v>204633.07936726013</c:v>
                </c:pt>
                <c:pt idx="15">
                  <c:v>235413.66560315649</c:v>
                </c:pt>
                <c:pt idx="16">
                  <c:v>235413.66560315649</c:v>
                </c:pt>
                <c:pt idx="17">
                  <c:v>235347.17748572759</c:v>
                </c:pt>
                <c:pt idx="18">
                  <c:v>235347.17748572759</c:v>
                </c:pt>
                <c:pt idx="19">
                  <c:v>234792.7286685353</c:v>
                </c:pt>
                <c:pt idx="20">
                  <c:v>234792.7286685353</c:v>
                </c:pt>
                <c:pt idx="21">
                  <c:v>234792.7286685353</c:v>
                </c:pt>
                <c:pt idx="22">
                  <c:v>234792.7286685353</c:v>
                </c:pt>
                <c:pt idx="23">
                  <c:v>234792.7286685353</c:v>
                </c:pt>
                <c:pt idx="24">
                  <c:v>234792.7286685353</c:v>
                </c:pt>
                <c:pt idx="25">
                  <c:v>234058.0807872047</c:v>
                </c:pt>
                <c:pt idx="26">
                  <c:v>234058.0807872047</c:v>
                </c:pt>
                <c:pt idx="27">
                  <c:v>234058.0807872047</c:v>
                </c:pt>
                <c:pt idx="28">
                  <c:v>234058.0807872047</c:v>
                </c:pt>
                <c:pt idx="29">
                  <c:v>234058.0807872047</c:v>
                </c:pt>
              </c:numCache>
            </c:numRef>
          </c:yVal>
          <c:smooth val="0"/>
          <c:extLst>
            <c:ext xmlns:c16="http://schemas.microsoft.com/office/drawing/2014/chart" uri="{C3380CC4-5D6E-409C-BE32-E72D297353CC}">
              <c16:uniqueId val="{00000020-72CA-4156-90A7-8C0A3E313013}"/>
            </c:ext>
          </c:extLst>
        </c:ser>
        <c:ser>
          <c:idx val="11"/>
          <c:order val="8"/>
          <c:tx>
            <c:strRef>
              <c:f>Outputs!$B$204</c:f>
              <c:strCache>
                <c:ptCount val="1"/>
                <c:pt idx="0">
                  <c:v>Option 10A</c:v>
                </c:pt>
              </c:strCache>
            </c:strRef>
          </c:tx>
          <c:spPr>
            <a:ln w="19050" cap="rnd">
              <a:solidFill>
                <a:schemeClr val="accent6">
                  <a:lumMod val="60000"/>
                </a:schemeClr>
              </a:solidFill>
              <a:round/>
            </a:ln>
            <a:effectLst/>
          </c:spPr>
          <c:marker>
            <c:symbol val="none"/>
          </c:marker>
          <c:xVal>
            <c:numRef>
              <c:f>Outputs!$D$206:$AG$206</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Outputs!$D$209:$AG$209</c:f>
              <c:numCache>
                <c:formatCode>_(* #,##0_);_(* \(#,##0\);_(* "-"??_);_(@_)</c:formatCode>
                <c:ptCount val="30"/>
                <c:pt idx="0">
                  <c:v>278436.87957137165</c:v>
                </c:pt>
                <c:pt idx="1">
                  <c:v>263270.76555360644</c:v>
                </c:pt>
                <c:pt idx="2">
                  <c:v>229722.39862835626</c:v>
                </c:pt>
                <c:pt idx="3">
                  <c:v>249312.68063645501</c:v>
                </c:pt>
                <c:pt idx="4">
                  <c:v>249312.68063645501</c:v>
                </c:pt>
                <c:pt idx="5">
                  <c:v>269580.38539741182</c:v>
                </c:pt>
                <c:pt idx="6">
                  <c:v>269580.38539741182</c:v>
                </c:pt>
                <c:pt idx="7">
                  <c:v>260455.06022020319</c:v>
                </c:pt>
                <c:pt idx="8">
                  <c:v>260455.06022020319</c:v>
                </c:pt>
                <c:pt idx="9">
                  <c:v>262015.96304573605</c:v>
                </c:pt>
                <c:pt idx="10">
                  <c:v>262015.96304573605</c:v>
                </c:pt>
                <c:pt idx="11">
                  <c:v>258895.12716426712</c:v>
                </c:pt>
                <c:pt idx="12">
                  <c:v>258895.12716426712</c:v>
                </c:pt>
                <c:pt idx="13">
                  <c:v>258186.918357205</c:v>
                </c:pt>
                <c:pt idx="14">
                  <c:v>258186.918357205</c:v>
                </c:pt>
                <c:pt idx="15">
                  <c:v>292697.91370478703</c:v>
                </c:pt>
                <c:pt idx="16">
                  <c:v>292697.91370478703</c:v>
                </c:pt>
                <c:pt idx="17">
                  <c:v>292485.95395244943</c:v>
                </c:pt>
                <c:pt idx="18">
                  <c:v>292485.95395244943</c:v>
                </c:pt>
                <c:pt idx="19">
                  <c:v>291756.69440303242</c:v>
                </c:pt>
                <c:pt idx="20">
                  <c:v>291756.69440303242</c:v>
                </c:pt>
                <c:pt idx="21">
                  <c:v>291756.69440303242</c:v>
                </c:pt>
                <c:pt idx="22">
                  <c:v>291756.69440303242</c:v>
                </c:pt>
                <c:pt idx="23">
                  <c:v>291756.69440303242</c:v>
                </c:pt>
                <c:pt idx="24">
                  <c:v>291756.69440303242</c:v>
                </c:pt>
                <c:pt idx="25">
                  <c:v>290846.81169120385</c:v>
                </c:pt>
                <c:pt idx="26">
                  <c:v>290846.81169120385</c:v>
                </c:pt>
                <c:pt idx="27">
                  <c:v>290846.81169120385</c:v>
                </c:pt>
                <c:pt idx="28">
                  <c:v>290846.81169120385</c:v>
                </c:pt>
                <c:pt idx="29">
                  <c:v>290846.81169120385</c:v>
                </c:pt>
              </c:numCache>
            </c:numRef>
          </c:yVal>
          <c:smooth val="0"/>
          <c:extLst>
            <c:ext xmlns:c16="http://schemas.microsoft.com/office/drawing/2014/chart" uri="{C3380CC4-5D6E-409C-BE32-E72D297353CC}">
              <c16:uniqueId val="{00000011-72CA-4156-90A7-8C0A3E313013}"/>
            </c:ext>
          </c:extLst>
        </c:ser>
        <c:ser>
          <c:idx val="20"/>
          <c:order val="9"/>
          <c:tx>
            <c:strRef>
              <c:f>Outputs!$B$93</c:f>
              <c:strCache>
                <c:ptCount val="1"/>
                <c:pt idx="0">
                  <c:v>Option 11A</c:v>
                </c:pt>
              </c:strCache>
            </c:strRef>
          </c:tx>
          <c:spPr>
            <a:ln w="19050" cap="rnd">
              <a:solidFill>
                <a:schemeClr val="accent3">
                  <a:lumMod val="80000"/>
                </a:schemeClr>
              </a:solidFill>
              <a:round/>
            </a:ln>
            <a:effectLst/>
          </c:spPr>
          <c:marker>
            <c:symbol val="none"/>
          </c:marker>
          <c:xVal>
            <c:numRef>
              <c:f>Outputs!$D$14:$AG$14</c:f>
            </c:numRef>
          </c:xVal>
          <c:yVal>
            <c:numRef>
              <c:f>Outputs!$D$98:$AG$98</c:f>
            </c:numRef>
          </c:yVal>
          <c:smooth val="0"/>
          <c:extLst>
            <c:ext xmlns:c16="http://schemas.microsoft.com/office/drawing/2014/chart" uri="{C3380CC4-5D6E-409C-BE32-E72D297353CC}">
              <c16:uniqueId val="{00000021-72CA-4156-90A7-8C0A3E313013}"/>
            </c:ext>
          </c:extLst>
        </c:ser>
        <c:ser>
          <c:idx val="21"/>
          <c:order val="10"/>
          <c:tx>
            <c:strRef>
              <c:f>Outputs!$B$102</c:f>
              <c:strCache>
                <c:ptCount val="1"/>
                <c:pt idx="0">
                  <c:v>Option 11B</c:v>
                </c:pt>
              </c:strCache>
            </c:strRef>
          </c:tx>
          <c:spPr>
            <a:ln w="19050" cap="rnd">
              <a:solidFill>
                <a:schemeClr val="accent4">
                  <a:lumMod val="80000"/>
                </a:schemeClr>
              </a:solidFill>
              <a:round/>
            </a:ln>
            <a:effectLst/>
          </c:spPr>
          <c:marker>
            <c:symbol val="none"/>
          </c:marker>
          <c:xVal>
            <c:numRef>
              <c:f>Outputs!$D$14:$AG$14</c:f>
            </c:numRef>
          </c:xVal>
          <c:yVal>
            <c:numRef>
              <c:f>Outputs!$D$107:$AG$107</c:f>
            </c:numRef>
          </c:yVal>
          <c:smooth val="0"/>
          <c:extLst>
            <c:ext xmlns:c16="http://schemas.microsoft.com/office/drawing/2014/chart" uri="{C3380CC4-5D6E-409C-BE32-E72D297353CC}">
              <c16:uniqueId val="{00000022-72CA-4156-90A7-8C0A3E313013}"/>
            </c:ext>
          </c:extLst>
        </c:ser>
        <c:ser>
          <c:idx val="22"/>
          <c:order val="11"/>
          <c:tx>
            <c:strRef>
              <c:f>Outputs!$B$231</c:f>
              <c:strCache>
                <c:ptCount val="1"/>
                <c:pt idx="0">
                  <c:v>Option 11C</c:v>
                </c:pt>
              </c:strCache>
            </c:strRef>
          </c:tx>
          <c:spPr>
            <a:ln w="19050" cap="rnd">
              <a:solidFill>
                <a:schemeClr val="accent5">
                  <a:lumMod val="80000"/>
                </a:schemeClr>
              </a:solidFill>
              <a:round/>
            </a:ln>
            <a:effectLst/>
          </c:spPr>
          <c:marker>
            <c:symbol val="none"/>
          </c:marker>
          <c:xVal>
            <c:numRef>
              <c:f>Outputs!$D$233:$AG$233</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Outputs!$D$236:$AG$236</c:f>
              <c:numCache>
                <c:formatCode>_(* #,##0_);_(* \(#,##0\);_(* "-"??_);_(@_)</c:formatCode>
                <c:ptCount val="30"/>
                <c:pt idx="0">
                  <c:v>278436.87957137165</c:v>
                </c:pt>
                <c:pt idx="1">
                  <c:v>297204.70349500491</c:v>
                </c:pt>
                <c:pt idx="2">
                  <c:v>234601.0887444198</c:v>
                </c:pt>
                <c:pt idx="3">
                  <c:v>134952.52243551117</c:v>
                </c:pt>
                <c:pt idx="4">
                  <c:v>134952.52243551117</c:v>
                </c:pt>
                <c:pt idx="5">
                  <c:v>148916.80927474546</c:v>
                </c:pt>
                <c:pt idx="6">
                  <c:v>148916.80927474546</c:v>
                </c:pt>
                <c:pt idx="7">
                  <c:v>144579.49070036993</c:v>
                </c:pt>
                <c:pt idx="8">
                  <c:v>144579.49070036993</c:v>
                </c:pt>
                <c:pt idx="9">
                  <c:v>146193.88917096626</c:v>
                </c:pt>
                <c:pt idx="10">
                  <c:v>146193.88917096626</c:v>
                </c:pt>
                <c:pt idx="11">
                  <c:v>144821.92137333384</c:v>
                </c:pt>
                <c:pt idx="12">
                  <c:v>144821.92137333384</c:v>
                </c:pt>
                <c:pt idx="13">
                  <c:v>144483.60155555297</c:v>
                </c:pt>
                <c:pt idx="14">
                  <c:v>144483.60155555297</c:v>
                </c:pt>
                <c:pt idx="15">
                  <c:v>165316.17341266479</c:v>
                </c:pt>
                <c:pt idx="16">
                  <c:v>165316.17341266479</c:v>
                </c:pt>
                <c:pt idx="17">
                  <c:v>165249.68529523592</c:v>
                </c:pt>
                <c:pt idx="18">
                  <c:v>165249.68529523592</c:v>
                </c:pt>
                <c:pt idx="19">
                  <c:v>164877.54257590559</c:v>
                </c:pt>
                <c:pt idx="20">
                  <c:v>164877.54257590559</c:v>
                </c:pt>
                <c:pt idx="21">
                  <c:v>164877.54257590559</c:v>
                </c:pt>
                <c:pt idx="22">
                  <c:v>164877.54257590559</c:v>
                </c:pt>
                <c:pt idx="23">
                  <c:v>164877.54257590559</c:v>
                </c:pt>
                <c:pt idx="24">
                  <c:v>164877.54257590559</c:v>
                </c:pt>
                <c:pt idx="25">
                  <c:v>164385.26105735954</c:v>
                </c:pt>
                <c:pt idx="26">
                  <c:v>164385.26105735954</c:v>
                </c:pt>
                <c:pt idx="27">
                  <c:v>164385.26105735954</c:v>
                </c:pt>
                <c:pt idx="28">
                  <c:v>164385.26105735954</c:v>
                </c:pt>
                <c:pt idx="29">
                  <c:v>164385.26105735954</c:v>
                </c:pt>
              </c:numCache>
            </c:numRef>
          </c:yVal>
          <c:smooth val="0"/>
          <c:extLst>
            <c:ext xmlns:c16="http://schemas.microsoft.com/office/drawing/2014/chart" uri="{C3380CC4-5D6E-409C-BE32-E72D297353CC}">
              <c16:uniqueId val="{00000023-72CA-4156-90A7-8C0A3E313013}"/>
            </c:ext>
          </c:extLst>
        </c:ser>
        <c:ser>
          <c:idx val="0"/>
          <c:order val="12"/>
          <c:tx>
            <c:strRef>
              <c:f>Outputs!$B$240</c:f>
              <c:strCache>
                <c:ptCount val="1"/>
                <c:pt idx="0">
                  <c:v>Option 12</c:v>
                </c:pt>
              </c:strCache>
            </c:strRef>
          </c:tx>
          <c:spPr>
            <a:ln w="19050" cap="rnd">
              <a:solidFill>
                <a:schemeClr val="accent1"/>
              </a:solidFill>
              <a:round/>
            </a:ln>
            <a:effectLst/>
          </c:spPr>
          <c:marker>
            <c:symbol val="none"/>
          </c:marker>
          <c:xVal>
            <c:numRef>
              <c:f>Outputs!$D$242:$AG$242</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Outputs!$D$245:$AG$245</c:f>
              <c:numCache>
                <c:formatCode>_(* #,##0_);_(* \(#,##0\);_(* "-"??_);_(@_)</c:formatCode>
                <c:ptCount val="30"/>
                <c:pt idx="0">
                  <c:v>278436.87957137165</c:v>
                </c:pt>
                <c:pt idx="1">
                  <c:v>297204.70349500491</c:v>
                </c:pt>
                <c:pt idx="2">
                  <c:v>145239.9155750564</c:v>
                </c:pt>
                <c:pt idx="3">
                  <c:v>159041.2632752381</c:v>
                </c:pt>
                <c:pt idx="4">
                  <c:v>159041.2632752381</c:v>
                </c:pt>
                <c:pt idx="5">
                  <c:v>177058.64623098687</c:v>
                </c:pt>
                <c:pt idx="6">
                  <c:v>177058.64623098687</c:v>
                </c:pt>
                <c:pt idx="7">
                  <c:v>172721.32765661133</c:v>
                </c:pt>
                <c:pt idx="8">
                  <c:v>172721.32765661133</c:v>
                </c:pt>
                <c:pt idx="9">
                  <c:v>173191.85376784479</c:v>
                </c:pt>
                <c:pt idx="10">
                  <c:v>173191.85376784479</c:v>
                </c:pt>
                <c:pt idx="11">
                  <c:v>171584.81059735437</c:v>
                </c:pt>
                <c:pt idx="12">
                  <c:v>171584.81059735437</c:v>
                </c:pt>
                <c:pt idx="13">
                  <c:v>171211.48845044107</c:v>
                </c:pt>
                <c:pt idx="14">
                  <c:v>171211.48845044107</c:v>
                </c:pt>
                <c:pt idx="15">
                  <c:v>203880.03412168735</c:v>
                </c:pt>
                <c:pt idx="16">
                  <c:v>203880.03412168735</c:v>
                </c:pt>
                <c:pt idx="17">
                  <c:v>203668.07436934975</c:v>
                </c:pt>
                <c:pt idx="18">
                  <c:v>203668.07436934975</c:v>
                </c:pt>
                <c:pt idx="19">
                  <c:v>203295.93165001943</c:v>
                </c:pt>
                <c:pt idx="20">
                  <c:v>203295.93165001943</c:v>
                </c:pt>
                <c:pt idx="21">
                  <c:v>203295.93165001943</c:v>
                </c:pt>
                <c:pt idx="22">
                  <c:v>203295.93165001943</c:v>
                </c:pt>
                <c:pt idx="23">
                  <c:v>203295.93165001943</c:v>
                </c:pt>
                <c:pt idx="24">
                  <c:v>203295.93165001943</c:v>
                </c:pt>
                <c:pt idx="25">
                  <c:v>202386.0489381908</c:v>
                </c:pt>
                <c:pt idx="26">
                  <c:v>202386.0489381908</c:v>
                </c:pt>
                <c:pt idx="27">
                  <c:v>202386.0489381908</c:v>
                </c:pt>
                <c:pt idx="28">
                  <c:v>202386.0489381908</c:v>
                </c:pt>
                <c:pt idx="29">
                  <c:v>202386.0489381908</c:v>
                </c:pt>
              </c:numCache>
            </c:numRef>
          </c:yVal>
          <c:smooth val="0"/>
          <c:extLst>
            <c:ext xmlns:c16="http://schemas.microsoft.com/office/drawing/2014/chart" uri="{C3380CC4-5D6E-409C-BE32-E72D297353CC}">
              <c16:uniqueId val="{00000000-C506-40CE-A715-C748B49AAFCA}"/>
            </c:ext>
          </c:extLst>
        </c:ser>
        <c:dLbls>
          <c:showLegendKey val="0"/>
          <c:showVal val="0"/>
          <c:showCatName val="0"/>
          <c:showSerName val="0"/>
          <c:showPercent val="0"/>
          <c:showBubbleSize val="0"/>
        </c:dLbls>
        <c:axId val="535284864"/>
        <c:axId val="535276336"/>
        <c:extLst/>
      </c:scatterChart>
      <c:valAx>
        <c:axId val="535284864"/>
        <c:scaling>
          <c:orientation val="minMax"/>
          <c:max val="2055"/>
          <c:min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76336"/>
        <c:crosses val="autoZero"/>
        <c:crossBetween val="midCat"/>
      </c:valAx>
      <c:valAx>
        <c:axId val="53527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Use (CCF/y)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84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Outputs!$B$132</c:f>
              <c:strCache>
                <c:ptCount val="1"/>
                <c:pt idx="0">
                  <c:v>Option 0</c:v>
                </c:pt>
              </c:strCache>
            </c:strRef>
          </c:tx>
          <c:spPr>
            <a:ln w="19050" cap="rnd">
              <a:solidFill>
                <a:schemeClr val="accent1"/>
              </a:solidFill>
              <a:round/>
            </a:ln>
            <a:effectLst/>
          </c:spPr>
          <c:marker>
            <c:symbol val="none"/>
          </c:marker>
          <c:xVal>
            <c:numRef>
              <c:f>Outputs!$D$134:$AG$134</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Outputs!$D$138:$AG$138</c:f>
              <c:numCache>
                <c:formatCode>_(* #,##0_);_(* \(#,##0\);_(* "-"??_);_(@_)</c:formatCode>
                <c:ptCount val="30"/>
                <c:pt idx="0">
                  <c:v>217193.36570781891</c:v>
                </c:pt>
                <c:pt idx="1">
                  <c:v>217193.36570781891</c:v>
                </c:pt>
                <c:pt idx="2">
                  <c:v>202582.99814862272</c:v>
                </c:pt>
                <c:pt idx="3">
                  <c:v>200310.43789959594</c:v>
                </c:pt>
                <c:pt idx="4">
                  <c:v>200310.43789959594</c:v>
                </c:pt>
                <c:pt idx="5">
                  <c:v>184544.49340124018</c:v>
                </c:pt>
                <c:pt idx="6">
                  <c:v>184544.49340124018</c:v>
                </c:pt>
                <c:pt idx="7">
                  <c:v>139394.2730345749</c:v>
                </c:pt>
                <c:pt idx="8">
                  <c:v>139394.2730345749</c:v>
                </c:pt>
                <c:pt idx="9">
                  <c:v>137923.23928354547</c:v>
                </c:pt>
                <c:pt idx="10">
                  <c:v>137923.23928354547</c:v>
                </c:pt>
                <c:pt idx="11">
                  <c:v>135573.52607642504</c:v>
                </c:pt>
                <c:pt idx="12">
                  <c:v>135573.52607642504</c:v>
                </c:pt>
                <c:pt idx="13">
                  <c:v>134994.33858012786</c:v>
                </c:pt>
                <c:pt idx="14">
                  <c:v>134994.33858012786</c:v>
                </c:pt>
                <c:pt idx="15">
                  <c:v>141708.34905198013</c:v>
                </c:pt>
                <c:pt idx="16">
                  <c:v>141708.34905198013</c:v>
                </c:pt>
                <c:pt idx="17">
                  <c:v>141428.15831616017</c:v>
                </c:pt>
                <c:pt idx="18">
                  <c:v>141428.15831616017</c:v>
                </c:pt>
                <c:pt idx="19">
                  <c:v>141135.82050203838</c:v>
                </c:pt>
                <c:pt idx="20">
                  <c:v>141135.82050203838</c:v>
                </c:pt>
                <c:pt idx="21">
                  <c:v>141135.82050203838</c:v>
                </c:pt>
                <c:pt idx="22">
                  <c:v>141135.82050203838</c:v>
                </c:pt>
                <c:pt idx="23">
                  <c:v>141135.82050203838</c:v>
                </c:pt>
                <c:pt idx="24">
                  <c:v>141135.82050203838</c:v>
                </c:pt>
                <c:pt idx="25">
                  <c:v>140842.77346394261</c:v>
                </c:pt>
                <c:pt idx="26">
                  <c:v>140842.77346394261</c:v>
                </c:pt>
                <c:pt idx="27">
                  <c:v>140842.77346394261</c:v>
                </c:pt>
                <c:pt idx="28">
                  <c:v>140842.77346394261</c:v>
                </c:pt>
                <c:pt idx="29">
                  <c:v>140842.77346394261</c:v>
                </c:pt>
              </c:numCache>
            </c:numRef>
          </c:yVal>
          <c:smooth val="0"/>
          <c:extLst>
            <c:ext xmlns:c16="http://schemas.microsoft.com/office/drawing/2014/chart" uri="{C3380CC4-5D6E-409C-BE32-E72D297353CC}">
              <c16:uniqueId val="{00000000-43CC-49E0-9DD3-ACC8E20C4F9F}"/>
            </c:ext>
          </c:extLst>
        </c:ser>
        <c:ser>
          <c:idx val="1"/>
          <c:order val="1"/>
          <c:tx>
            <c:strRef>
              <c:f>Outputs!$B$141</c:f>
              <c:strCache>
                <c:ptCount val="1"/>
                <c:pt idx="0">
                  <c:v>Option 1A</c:v>
                </c:pt>
              </c:strCache>
            </c:strRef>
          </c:tx>
          <c:spPr>
            <a:ln w="19050" cap="rnd">
              <a:solidFill>
                <a:schemeClr val="accent2"/>
              </a:solidFill>
              <a:round/>
            </a:ln>
            <a:effectLst/>
          </c:spPr>
          <c:marker>
            <c:symbol val="none"/>
          </c:marker>
          <c:xVal>
            <c:numRef>
              <c:f>Outputs!$D$143:$AG$143</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Outputs!$D$147:$AG$147</c:f>
              <c:numCache>
                <c:formatCode>_(* #,##0_);_(* \(#,##0\);_(* "-"??_);_(@_)</c:formatCode>
                <c:ptCount val="30"/>
                <c:pt idx="0">
                  <c:v>198922.1023747992</c:v>
                </c:pt>
                <c:pt idx="1">
                  <c:v>198922.1023747992</c:v>
                </c:pt>
                <c:pt idx="2">
                  <c:v>198922.1023747992</c:v>
                </c:pt>
                <c:pt idx="3">
                  <c:v>196675.17029264136</c:v>
                </c:pt>
                <c:pt idx="4">
                  <c:v>196675.17029264136</c:v>
                </c:pt>
                <c:pt idx="5">
                  <c:v>162534.27347190946</c:v>
                </c:pt>
                <c:pt idx="6">
                  <c:v>162534.27347190946</c:v>
                </c:pt>
                <c:pt idx="7">
                  <c:v>157508.99883711879</c:v>
                </c:pt>
                <c:pt idx="8">
                  <c:v>157508.99883711879</c:v>
                </c:pt>
                <c:pt idx="9">
                  <c:v>155421.25719233381</c:v>
                </c:pt>
                <c:pt idx="10">
                  <c:v>137828.18526455632</c:v>
                </c:pt>
                <c:pt idx="11">
                  <c:v>135235.56477230618</c:v>
                </c:pt>
                <c:pt idx="12">
                  <c:v>135235.56477230618</c:v>
                </c:pt>
                <c:pt idx="13">
                  <c:v>134603.6816280756</c:v>
                </c:pt>
                <c:pt idx="14">
                  <c:v>45398.21607412809</c:v>
                </c:pt>
                <c:pt idx="15">
                  <c:v>48261.89223139231</c:v>
                </c:pt>
                <c:pt idx="16">
                  <c:v>48261.89223139231</c:v>
                </c:pt>
                <c:pt idx="17">
                  <c:v>48138.257320063916</c:v>
                </c:pt>
                <c:pt idx="18">
                  <c:v>48138.257320063916</c:v>
                </c:pt>
                <c:pt idx="19">
                  <c:v>48018.576087139052</c:v>
                </c:pt>
                <c:pt idx="20">
                  <c:v>48018.576087139052</c:v>
                </c:pt>
                <c:pt idx="21">
                  <c:v>48018.576087139052</c:v>
                </c:pt>
                <c:pt idx="22">
                  <c:v>48018.576087139052</c:v>
                </c:pt>
                <c:pt idx="23">
                  <c:v>48018.576087139052</c:v>
                </c:pt>
                <c:pt idx="24">
                  <c:v>48018.576087139052</c:v>
                </c:pt>
                <c:pt idx="25">
                  <c:v>47898.604502451512</c:v>
                </c:pt>
                <c:pt idx="26">
                  <c:v>47898.604502451512</c:v>
                </c:pt>
                <c:pt idx="27">
                  <c:v>47898.604502451512</c:v>
                </c:pt>
                <c:pt idx="28">
                  <c:v>47898.604502451512</c:v>
                </c:pt>
                <c:pt idx="29">
                  <c:v>47898.604502451512</c:v>
                </c:pt>
              </c:numCache>
            </c:numRef>
          </c:yVal>
          <c:smooth val="0"/>
          <c:extLst>
            <c:ext xmlns:c16="http://schemas.microsoft.com/office/drawing/2014/chart" uri="{C3380CC4-5D6E-409C-BE32-E72D297353CC}">
              <c16:uniqueId val="{00000001-43CC-49E0-9DD3-ACC8E20C4F9F}"/>
            </c:ext>
          </c:extLst>
        </c:ser>
        <c:ser>
          <c:idx val="3"/>
          <c:order val="2"/>
          <c:tx>
            <c:strRef>
              <c:f>Outputs!$B$159</c:f>
              <c:strCache>
                <c:ptCount val="1"/>
                <c:pt idx="0">
                  <c:v>Option 1C</c:v>
                </c:pt>
              </c:strCache>
            </c:strRef>
          </c:tx>
          <c:spPr>
            <a:ln w="19050" cap="rnd">
              <a:solidFill>
                <a:schemeClr val="accent4"/>
              </a:solidFill>
              <a:round/>
            </a:ln>
            <a:effectLst/>
          </c:spPr>
          <c:marker>
            <c:symbol val="none"/>
          </c:marker>
          <c:xVal>
            <c:numRef>
              <c:f>Outputs!$D$161:$AG$161</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Outputs!$D$165:$AG$165</c:f>
              <c:numCache>
                <c:formatCode>_(* #,##0_);_(* \(#,##0\);_(* "-"??_);_(@_)</c:formatCode>
                <c:ptCount val="30"/>
                <c:pt idx="0">
                  <c:v>193760.6289561204</c:v>
                </c:pt>
                <c:pt idx="1">
                  <c:v>193760.6289561204</c:v>
                </c:pt>
                <c:pt idx="2">
                  <c:v>193760.6289561204</c:v>
                </c:pt>
                <c:pt idx="3">
                  <c:v>191910.32947982568</c:v>
                </c:pt>
                <c:pt idx="4">
                  <c:v>191910.32947982568</c:v>
                </c:pt>
                <c:pt idx="5">
                  <c:v>143699.09214542786</c:v>
                </c:pt>
                <c:pt idx="6">
                  <c:v>143699.09214542786</c:v>
                </c:pt>
                <c:pt idx="7">
                  <c:v>139212.33056348795</c:v>
                </c:pt>
                <c:pt idx="8">
                  <c:v>139212.33056348795</c:v>
                </c:pt>
                <c:pt idx="9">
                  <c:v>137124.588918703</c:v>
                </c:pt>
                <c:pt idx="10">
                  <c:v>112076.45634538807</c:v>
                </c:pt>
                <c:pt idx="11">
                  <c:v>109795.87191595521</c:v>
                </c:pt>
                <c:pt idx="12">
                  <c:v>109795.87191595521</c:v>
                </c:pt>
                <c:pt idx="13">
                  <c:v>109241.06406340495</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extLst>
            <c:ext xmlns:c16="http://schemas.microsoft.com/office/drawing/2014/chart" uri="{C3380CC4-5D6E-409C-BE32-E72D297353CC}">
              <c16:uniqueId val="{00000002-43CC-49E0-9DD3-ACC8E20C4F9F}"/>
            </c:ext>
          </c:extLst>
        </c:ser>
        <c:ser>
          <c:idx val="4"/>
          <c:order val="3"/>
          <c:tx>
            <c:strRef>
              <c:f>Outputs!$B$168</c:f>
              <c:strCache>
                <c:ptCount val="1"/>
                <c:pt idx="0">
                  <c:v>Option 2</c:v>
                </c:pt>
              </c:strCache>
            </c:strRef>
          </c:tx>
          <c:spPr>
            <a:ln w="19050" cap="rnd">
              <a:solidFill>
                <a:schemeClr val="accent5"/>
              </a:solidFill>
              <a:round/>
            </a:ln>
            <a:effectLst/>
          </c:spPr>
          <c:marker>
            <c:symbol val="none"/>
          </c:marker>
          <c:xVal>
            <c:numRef>
              <c:f>Outputs!$D$170:$AG$170</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Outputs!$D$174:$AG$174</c:f>
              <c:numCache>
                <c:formatCode>_(* #,##0_);_(* \(#,##0\);_(* "-"??_);_(@_)</c:formatCode>
                <c:ptCount val="30"/>
                <c:pt idx="0">
                  <c:v>210153.43197440394</c:v>
                </c:pt>
                <c:pt idx="1">
                  <c:v>210153.43197440394</c:v>
                </c:pt>
                <c:pt idx="2">
                  <c:v>88956.365125924262</c:v>
                </c:pt>
                <c:pt idx="3">
                  <c:v>87181.65800466681</c:v>
                </c:pt>
                <c:pt idx="4">
                  <c:v>87181.65800466681</c:v>
                </c:pt>
                <c:pt idx="5">
                  <c:v>85723.910793018702</c:v>
                </c:pt>
                <c:pt idx="6">
                  <c:v>85723.910793018702</c:v>
                </c:pt>
                <c:pt idx="7">
                  <c:v>82146.117973694709</c:v>
                </c:pt>
                <c:pt idx="8">
                  <c:v>82146.117973694709</c:v>
                </c:pt>
                <c:pt idx="9">
                  <c:v>80970.486187793897</c:v>
                </c:pt>
                <c:pt idx="10">
                  <c:v>80970.486187793897</c:v>
                </c:pt>
                <c:pt idx="11">
                  <c:v>79152.017210771068</c:v>
                </c:pt>
                <c:pt idx="12">
                  <c:v>79152.017210771068</c:v>
                </c:pt>
                <c:pt idx="13">
                  <c:v>78715.442828329265</c:v>
                </c:pt>
                <c:pt idx="14">
                  <c:v>78715.442828329265</c:v>
                </c:pt>
                <c:pt idx="15">
                  <c:v>83954.346559266647</c:v>
                </c:pt>
                <c:pt idx="16">
                  <c:v>83954.346559266647</c:v>
                </c:pt>
                <c:pt idx="17">
                  <c:v>83740.267759933864</c:v>
                </c:pt>
                <c:pt idx="18">
                  <c:v>83740.267759933864</c:v>
                </c:pt>
                <c:pt idx="19">
                  <c:v>83506.635033110389</c:v>
                </c:pt>
                <c:pt idx="20">
                  <c:v>83506.635033110389</c:v>
                </c:pt>
                <c:pt idx="21">
                  <c:v>83506.635033110389</c:v>
                </c:pt>
                <c:pt idx="22">
                  <c:v>83506.635033110389</c:v>
                </c:pt>
                <c:pt idx="23">
                  <c:v>83506.635033110389</c:v>
                </c:pt>
                <c:pt idx="24">
                  <c:v>83506.635033110389</c:v>
                </c:pt>
                <c:pt idx="25">
                  <c:v>83272.435503352215</c:v>
                </c:pt>
                <c:pt idx="26">
                  <c:v>83272.435503352215</c:v>
                </c:pt>
                <c:pt idx="27">
                  <c:v>83272.435503352215</c:v>
                </c:pt>
                <c:pt idx="28">
                  <c:v>83272.435503352215</c:v>
                </c:pt>
                <c:pt idx="29">
                  <c:v>83272.435503352215</c:v>
                </c:pt>
              </c:numCache>
            </c:numRef>
          </c:yVal>
          <c:smooth val="0"/>
          <c:extLst>
            <c:ext xmlns:c16="http://schemas.microsoft.com/office/drawing/2014/chart" uri="{C3380CC4-5D6E-409C-BE32-E72D297353CC}">
              <c16:uniqueId val="{00000003-43CC-49E0-9DD3-ACC8E20C4F9F}"/>
            </c:ext>
          </c:extLst>
        </c:ser>
        <c:ser>
          <c:idx val="10"/>
          <c:order val="4"/>
          <c:tx>
            <c:strRef>
              <c:f>Outputs!$B$177</c:f>
              <c:strCache>
                <c:ptCount val="1"/>
                <c:pt idx="0">
                  <c:v>Option 6</c:v>
                </c:pt>
              </c:strCache>
            </c:strRef>
          </c:tx>
          <c:spPr>
            <a:ln w="19050" cap="rnd">
              <a:solidFill>
                <a:schemeClr val="accent5">
                  <a:lumMod val="60000"/>
                </a:schemeClr>
              </a:solidFill>
              <a:round/>
            </a:ln>
            <a:effectLst/>
          </c:spPr>
          <c:marker>
            <c:symbol val="none"/>
          </c:marker>
          <c:xVal>
            <c:numRef>
              <c:f>Outputs!$D$179:$AG$179</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Outputs!$D$183:$AG$183</c:f>
              <c:numCache>
                <c:formatCode>_(* #,##0_);_(* \(#,##0\);_(* "-"??_);_(@_)</c:formatCode>
                <c:ptCount val="30"/>
                <c:pt idx="0">
                  <c:v>210153.43197440394</c:v>
                </c:pt>
                <c:pt idx="1">
                  <c:v>210153.43197440394</c:v>
                </c:pt>
                <c:pt idx="2">
                  <c:v>55889.246862786407</c:v>
                </c:pt>
                <c:pt idx="3">
                  <c:v>54703.055564602313</c:v>
                </c:pt>
                <c:pt idx="4">
                  <c:v>54703.055564602313</c:v>
                </c:pt>
                <c:pt idx="5">
                  <c:v>53836.941502818641</c:v>
                </c:pt>
                <c:pt idx="6">
                  <c:v>53836.941502818641</c:v>
                </c:pt>
                <c:pt idx="7">
                  <c:v>51271.065881609138</c:v>
                </c:pt>
                <c:pt idx="8">
                  <c:v>51271.065881609138</c:v>
                </c:pt>
                <c:pt idx="9">
                  <c:v>50427.941337708959</c:v>
                </c:pt>
                <c:pt idx="10">
                  <c:v>50427.941337708959</c:v>
                </c:pt>
                <c:pt idx="11">
                  <c:v>49247.705783944533</c:v>
                </c:pt>
                <c:pt idx="12">
                  <c:v>49247.705783944533</c:v>
                </c:pt>
                <c:pt idx="13">
                  <c:v>48989.48925391271</c:v>
                </c:pt>
                <c:pt idx="14">
                  <c:v>48989.48925391271</c:v>
                </c:pt>
                <c:pt idx="15">
                  <c:v>52482.012402808534</c:v>
                </c:pt>
                <c:pt idx="16">
                  <c:v>52482.012402808534</c:v>
                </c:pt>
                <c:pt idx="17">
                  <c:v>52349.0241468483</c:v>
                </c:pt>
                <c:pt idx="18">
                  <c:v>52349.0241468483</c:v>
                </c:pt>
                <c:pt idx="19">
                  <c:v>52181.470420753474</c:v>
                </c:pt>
                <c:pt idx="20">
                  <c:v>52181.470420753474</c:v>
                </c:pt>
                <c:pt idx="21">
                  <c:v>52181.470420753474</c:v>
                </c:pt>
                <c:pt idx="22">
                  <c:v>52181.470420753474</c:v>
                </c:pt>
                <c:pt idx="23">
                  <c:v>52181.470420753474</c:v>
                </c:pt>
                <c:pt idx="24">
                  <c:v>52181.470420753474</c:v>
                </c:pt>
                <c:pt idx="25">
                  <c:v>52013.510202190912</c:v>
                </c:pt>
                <c:pt idx="26">
                  <c:v>52013.510202190912</c:v>
                </c:pt>
                <c:pt idx="27">
                  <c:v>52013.510202190912</c:v>
                </c:pt>
                <c:pt idx="28">
                  <c:v>52013.510202190912</c:v>
                </c:pt>
                <c:pt idx="29">
                  <c:v>52013.510202190912</c:v>
                </c:pt>
              </c:numCache>
            </c:numRef>
          </c:yVal>
          <c:smooth val="0"/>
          <c:extLst>
            <c:ext xmlns:c16="http://schemas.microsoft.com/office/drawing/2014/chart" uri="{C3380CC4-5D6E-409C-BE32-E72D297353CC}">
              <c16:uniqueId val="{00000000-866F-4722-922C-78DBEACD2EE3}"/>
            </c:ext>
          </c:extLst>
        </c:ser>
        <c:ser>
          <c:idx val="6"/>
          <c:order val="5"/>
          <c:tx>
            <c:strRef>
              <c:f>Outputs!$B$195</c:f>
              <c:strCache>
                <c:ptCount val="1"/>
                <c:pt idx="0">
                  <c:v>Option 8B</c:v>
                </c:pt>
              </c:strCache>
            </c:strRef>
          </c:tx>
          <c:spPr>
            <a:ln w="19050" cap="rnd">
              <a:solidFill>
                <a:schemeClr val="accent1">
                  <a:lumMod val="60000"/>
                </a:schemeClr>
              </a:solidFill>
              <a:round/>
            </a:ln>
            <a:effectLst/>
          </c:spPr>
          <c:marker>
            <c:symbol val="none"/>
          </c:marker>
          <c:xVal>
            <c:numRef>
              <c:f>Outputs!$D$197:$AG$197</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Outputs!$D$201:$AG$201</c:f>
              <c:numCache>
                <c:formatCode>_(* #,##0_);_(* \(#,##0\);_(* "-"??_);_(@_)</c:formatCode>
                <c:ptCount val="30"/>
                <c:pt idx="0">
                  <c:v>210153.43197440394</c:v>
                </c:pt>
                <c:pt idx="1">
                  <c:v>210153.43197440394</c:v>
                </c:pt>
                <c:pt idx="2">
                  <c:v>210153.43197440394</c:v>
                </c:pt>
                <c:pt idx="3">
                  <c:v>206928.13638288132</c:v>
                </c:pt>
                <c:pt idx="4">
                  <c:v>206928.13638288132</c:v>
                </c:pt>
                <c:pt idx="5">
                  <c:v>179607.38166146507</c:v>
                </c:pt>
                <c:pt idx="6">
                  <c:v>179607.38166146507</c:v>
                </c:pt>
                <c:pt idx="7">
                  <c:v>174800.37734035822</c:v>
                </c:pt>
                <c:pt idx="8">
                  <c:v>174800.37734035822</c:v>
                </c:pt>
                <c:pt idx="9">
                  <c:v>172712.63569557326</c:v>
                </c:pt>
                <c:pt idx="10">
                  <c:v>116775.15415578688</c:v>
                </c:pt>
                <c:pt idx="11">
                  <c:v>116178.0548727486</c:v>
                </c:pt>
                <c:pt idx="12">
                  <c:v>116178.0548727486</c:v>
                </c:pt>
                <c:pt idx="13">
                  <c:v>116075.42908570489</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extLst>
            <c:ext xmlns:c16="http://schemas.microsoft.com/office/drawing/2014/chart" uri="{C3380CC4-5D6E-409C-BE32-E72D297353CC}">
              <c16:uniqueId val="{00000004-43CC-49E0-9DD3-ACC8E20C4F9F}"/>
            </c:ext>
          </c:extLst>
        </c:ser>
        <c:ser>
          <c:idx val="11"/>
          <c:order val="6"/>
          <c:tx>
            <c:strRef>
              <c:f>Outputs!$B$204</c:f>
              <c:strCache>
                <c:ptCount val="1"/>
                <c:pt idx="0">
                  <c:v>Option 10A</c:v>
                </c:pt>
              </c:strCache>
            </c:strRef>
          </c:tx>
          <c:spPr>
            <a:ln w="19050" cap="rnd">
              <a:solidFill>
                <a:schemeClr val="accent6">
                  <a:lumMod val="60000"/>
                </a:schemeClr>
              </a:solidFill>
              <a:round/>
            </a:ln>
            <a:effectLst/>
          </c:spPr>
          <c:marker>
            <c:symbol val="none"/>
          </c:marker>
          <c:xVal>
            <c:numRef>
              <c:f>Outputs!$D$206:$AG$206</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Outputs!$D$210:$AG$210</c:f>
              <c:numCache>
                <c:formatCode>_(* #,##0_);_(* \(#,##0\);_(* "-"??_);_(@_)</c:formatCode>
                <c:ptCount val="30"/>
                <c:pt idx="0">
                  <c:v>210153.43197440394</c:v>
                </c:pt>
                <c:pt idx="1">
                  <c:v>206054.71323645054</c:v>
                </c:pt>
                <c:pt idx="2">
                  <c:v>125137.67441031734</c:v>
                </c:pt>
                <c:pt idx="3">
                  <c:v>123351.93965411482</c:v>
                </c:pt>
                <c:pt idx="4">
                  <c:v>123351.93965411482</c:v>
                </c:pt>
                <c:pt idx="5">
                  <c:v>121775.80885895705</c:v>
                </c:pt>
                <c:pt idx="6">
                  <c:v>121775.80885895705</c:v>
                </c:pt>
                <c:pt idx="7">
                  <c:v>118352.08367300108</c:v>
                </c:pt>
                <c:pt idx="8">
                  <c:v>118352.08367300108</c:v>
                </c:pt>
                <c:pt idx="9">
                  <c:v>117227.07717931611</c:v>
                </c:pt>
                <c:pt idx="10">
                  <c:v>117227.07717931611</c:v>
                </c:pt>
                <c:pt idx="11">
                  <c:v>115361.74516432689</c:v>
                </c:pt>
                <c:pt idx="12">
                  <c:v>115361.74516432689</c:v>
                </c:pt>
                <c:pt idx="13">
                  <c:v>114888.53247131864</c:v>
                </c:pt>
                <c:pt idx="14">
                  <c:v>114888.53247131864</c:v>
                </c:pt>
                <c:pt idx="15">
                  <c:v>120169.17439143371</c:v>
                </c:pt>
                <c:pt idx="16">
                  <c:v>120169.17439143371</c:v>
                </c:pt>
                <c:pt idx="17">
                  <c:v>119943.56344670377</c:v>
                </c:pt>
                <c:pt idx="18">
                  <c:v>119943.56344670377</c:v>
                </c:pt>
                <c:pt idx="19">
                  <c:v>119719.99145931289</c:v>
                </c:pt>
                <c:pt idx="20">
                  <c:v>119719.99145931289</c:v>
                </c:pt>
                <c:pt idx="21">
                  <c:v>119719.99145931289</c:v>
                </c:pt>
                <c:pt idx="22">
                  <c:v>119719.99145931289</c:v>
                </c:pt>
                <c:pt idx="23">
                  <c:v>119719.99145931289</c:v>
                </c:pt>
                <c:pt idx="24">
                  <c:v>119719.99145931289</c:v>
                </c:pt>
                <c:pt idx="25">
                  <c:v>119495.87707676919</c:v>
                </c:pt>
                <c:pt idx="26">
                  <c:v>119495.87707676919</c:v>
                </c:pt>
                <c:pt idx="27">
                  <c:v>119495.87707676919</c:v>
                </c:pt>
                <c:pt idx="28">
                  <c:v>119495.87707676919</c:v>
                </c:pt>
                <c:pt idx="29">
                  <c:v>119495.87707676919</c:v>
                </c:pt>
              </c:numCache>
            </c:numRef>
          </c:yVal>
          <c:smooth val="0"/>
          <c:extLst>
            <c:ext xmlns:c16="http://schemas.microsoft.com/office/drawing/2014/chart" uri="{C3380CC4-5D6E-409C-BE32-E72D297353CC}">
              <c16:uniqueId val="{00000001-866F-4722-922C-78DBEACD2EE3}"/>
            </c:ext>
          </c:extLst>
        </c:ser>
        <c:ser>
          <c:idx val="7"/>
          <c:order val="7"/>
          <c:tx>
            <c:strRef>
              <c:f>Outputs!$B$213</c:f>
              <c:strCache>
                <c:ptCount val="1"/>
                <c:pt idx="0">
                  <c:v>Option 11A</c:v>
                </c:pt>
              </c:strCache>
            </c:strRef>
          </c:tx>
          <c:spPr>
            <a:ln w="19050" cap="rnd">
              <a:solidFill>
                <a:schemeClr val="accent2">
                  <a:lumMod val="60000"/>
                </a:schemeClr>
              </a:solidFill>
              <a:round/>
            </a:ln>
            <a:effectLst/>
          </c:spPr>
          <c:marker>
            <c:symbol val="none"/>
          </c:marker>
          <c:xVal>
            <c:numRef>
              <c:f>Outputs!$D$215:$AG$215</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Outputs!$D$219:$AG$219</c:f>
              <c:numCache>
                <c:formatCode>_(* #,##0_);_(* \(#,##0\);_(* "-"??_);_(@_)</c:formatCode>
                <c:ptCount val="30"/>
                <c:pt idx="0">
                  <c:v>210153.43197440394</c:v>
                </c:pt>
                <c:pt idx="1">
                  <c:v>210153.43197440394</c:v>
                </c:pt>
                <c:pt idx="2">
                  <c:v>171429.44765523117</c:v>
                </c:pt>
                <c:pt idx="3">
                  <c:v>49978.696019347546</c:v>
                </c:pt>
                <c:pt idx="4">
                  <c:v>49978.696019347546</c:v>
                </c:pt>
                <c:pt idx="5">
                  <c:v>49109.983701325014</c:v>
                </c:pt>
                <c:pt idx="6">
                  <c:v>49109.983701325014</c:v>
                </c:pt>
                <c:pt idx="7">
                  <c:v>47277.215400461086</c:v>
                </c:pt>
                <c:pt idx="8">
                  <c:v>47277.215400461086</c:v>
                </c:pt>
                <c:pt idx="9">
                  <c:v>46674.983583389527</c:v>
                </c:pt>
                <c:pt idx="10">
                  <c:v>46674.983583389527</c:v>
                </c:pt>
                <c:pt idx="11">
                  <c:v>45659.180161100958</c:v>
                </c:pt>
                <c:pt idx="12">
                  <c:v>45659.180161100958</c:v>
                </c:pt>
                <c:pt idx="13">
                  <c:v>45398.216074128097</c:v>
                </c:pt>
                <c:pt idx="14">
                  <c:v>45398.216074128097</c:v>
                </c:pt>
                <c:pt idx="15">
                  <c:v>48261.892231392318</c:v>
                </c:pt>
                <c:pt idx="16">
                  <c:v>48261.892231392318</c:v>
                </c:pt>
                <c:pt idx="17">
                  <c:v>48138.257320063931</c:v>
                </c:pt>
                <c:pt idx="18">
                  <c:v>48138.257320063931</c:v>
                </c:pt>
                <c:pt idx="19">
                  <c:v>48018.576087139052</c:v>
                </c:pt>
                <c:pt idx="20">
                  <c:v>48018.576087139052</c:v>
                </c:pt>
                <c:pt idx="21">
                  <c:v>48018.576087139052</c:v>
                </c:pt>
                <c:pt idx="22">
                  <c:v>48018.576087139052</c:v>
                </c:pt>
                <c:pt idx="23">
                  <c:v>48018.576087139052</c:v>
                </c:pt>
                <c:pt idx="24">
                  <c:v>48018.576087139052</c:v>
                </c:pt>
                <c:pt idx="25">
                  <c:v>47898.604502451512</c:v>
                </c:pt>
                <c:pt idx="26">
                  <c:v>47898.604502451512</c:v>
                </c:pt>
                <c:pt idx="27">
                  <c:v>47898.604502451512</c:v>
                </c:pt>
                <c:pt idx="28">
                  <c:v>47898.604502451512</c:v>
                </c:pt>
                <c:pt idx="29">
                  <c:v>47898.604502451512</c:v>
                </c:pt>
              </c:numCache>
            </c:numRef>
          </c:yVal>
          <c:smooth val="0"/>
          <c:extLst>
            <c:ext xmlns:c16="http://schemas.microsoft.com/office/drawing/2014/chart" uri="{C3380CC4-5D6E-409C-BE32-E72D297353CC}">
              <c16:uniqueId val="{00000005-43CC-49E0-9DD3-ACC8E20C4F9F}"/>
            </c:ext>
          </c:extLst>
        </c:ser>
        <c:ser>
          <c:idx val="9"/>
          <c:order val="8"/>
          <c:tx>
            <c:strRef>
              <c:f>Outputs!$B$231</c:f>
              <c:strCache>
                <c:ptCount val="1"/>
                <c:pt idx="0">
                  <c:v>Option 11C</c:v>
                </c:pt>
              </c:strCache>
            </c:strRef>
          </c:tx>
          <c:spPr>
            <a:ln w="19050" cap="rnd">
              <a:solidFill>
                <a:schemeClr val="accent4">
                  <a:lumMod val="60000"/>
                </a:schemeClr>
              </a:solidFill>
              <a:round/>
            </a:ln>
            <a:effectLst/>
          </c:spPr>
          <c:marker>
            <c:symbol val="none"/>
          </c:marker>
          <c:xVal>
            <c:numRef>
              <c:f>Outputs!$D$233:$AG$233</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Outputs!$D$237:$AG$237</c:f>
              <c:numCache>
                <c:formatCode>_(* #,##0_);_(* \(#,##0\);_(* "-"??_);_(@_)</c:formatCode>
                <c:ptCount val="30"/>
                <c:pt idx="0">
                  <c:v>210153.43197440394</c:v>
                </c:pt>
                <c:pt idx="1">
                  <c:v>210153.43197440394</c:v>
                </c:pt>
                <c:pt idx="2">
                  <c:v>154505.91752922372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extLst>
            <c:ext xmlns:c16="http://schemas.microsoft.com/office/drawing/2014/chart" uri="{C3380CC4-5D6E-409C-BE32-E72D297353CC}">
              <c16:uniqueId val="{00000006-43CC-49E0-9DD3-ACC8E20C4F9F}"/>
            </c:ext>
          </c:extLst>
        </c:ser>
        <c:ser>
          <c:idx val="12"/>
          <c:order val="9"/>
          <c:tx>
            <c:strRef>
              <c:f>Outputs!$B$240</c:f>
              <c:strCache>
                <c:ptCount val="1"/>
                <c:pt idx="0">
                  <c:v>Option 12</c:v>
                </c:pt>
              </c:strCache>
            </c:strRef>
          </c:tx>
          <c:spPr>
            <a:ln w="19050" cap="rnd">
              <a:solidFill>
                <a:schemeClr val="accent1">
                  <a:lumMod val="80000"/>
                  <a:lumOff val="20000"/>
                </a:schemeClr>
              </a:solidFill>
              <a:round/>
            </a:ln>
            <a:effectLst/>
          </c:spPr>
          <c:marker>
            <c:symbol val="none"/>
          </c:marker>
          <c:xVal>
            <c:numRef>
              <c:f>Outputs!$D$242:$AG$242</c:f>
              <c:numCache>
                <c:formatCode>General</c:formatCode>
                <c:ptCount val="30"/>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numCache>
            </c:numRef>
          </c:xVal>
          <c:yVal>
            <c:numRef>
              <c:f>Outputs!$D$246:$AG$246</c:f>
              <c:numCache>
                <c:formatCode>_(* #,##0_);_(* \(#,##0\);_(* "-"??_);_(@_)</c:formatCode>
                <c:ptCount val="30"/>
                <c:pt idx="0">
                  <c:v>210153.43197440394</c:v>
                </c:pt>
                <c:pt idx="1">
                  <c:v>210153.43197440394</c:v>
                </c:pt>
                <c:pt idx="2">
                  <c:v>17246.337834109967</c:v>
                </c:pt>
                <c:pt idx="3">
                  <c:v>17246.337834109967</c:v>
                </c:pt>
                <c:pt idx="4">
                  <c:v>17246.337834109967</c:v>
                </c:pt>
                <c:pt idx="5">
                  <c:v>17246.337834109967</c:v>
                </c:pt>
                <c:pt idx="6">
                  <c:v>17246.337834109967</c:v>
                </c:pt>
                <c:pt idx="7">
                  <c:v>17246.337834109967</c:v>
                </c:pt>
                <c:pt idx="8">
                  <c:v>17246.337834109967</c:v>
                </c:pt>
                <c:pt idx="9">
                  <c:v>15775.304083080562</c:v>
                </c:pt>
                <c:pt idx="10">
                  <c:v>15775.304083080562</c:v>
                </c:pt>
                <c:pt idx="11">
                  <c:v>15557.482932846015</c:v>
                </c:pt>
                <c:pt idx="12">
                  <c:v>15557.482932846015</c:v>
                </c:pt>
                <c:pt idx="13">
                  <c:v>15531.206502435245</c:v>
                </c:pt>
                <c:pt idx="14">
                  <c:v>15531.206502435245</c:v>
                </c:pt>
                <c:pt idx="15">
                  <c:v>21399.138979808795</c:v>
                </c:pt>
                <c:pt idx="16">
                  <c:v>21399.138979808795</c:v>
                </c:pt>
                <c:pt idx="17">
                  <c:v>21118.948243988834</c:v>
                </c:pt>
                <c:pt idx="18">
                  <c:v>21118.948243988834</c:v>
                </c:pt>
                <c:pt idx="19">
                  <c:v>21118.948243988834</c:v>
                </c:pt>
                <c:pt idx="20">
                  <c:v>21118.948243988834</c:v>
                </c:pt>
                <c:pt idx="21">
                  <c:v>21118.948243988834</c:v>
                </c:pt>
                <c:pt idx="22">
                  <c:v>21118.948243988834</c:v>
                </c:pt>
                <c:pt idx="23">
                  <c:v>21118.948243988834</c:v>
                </c:pt>
                <c:pt idx="24">
                  <c:v>21118.948243988834</c:v>
                </c:pt>
                <c:pt idx="25">
                  <c:v>20825.901205893064</c:v>
                </c:pt>
                <c:pt idx="26">
                  <c:v>20825.901205893064</c:v>
                </c:pt>
                <c:pt idx="27">
                  <c:v>20825.901205893064</c:v>
                </c:pt>
                <c:pt idx="28">
                  <c:v>20825.901205893064</c:v>
                </c:pt>
                <c:pt idx="29">
                  <c:v>20825.901205893064</c:v>
                </c:pt>
              </c:numCache>
            </c:numRef>
          </c:yVal>
          <c:smooth val="0"/>
          <c:extLst>
            <c:ext xmlns:c16="http://schemas.microsoft.com/office/drawing/2014/chart" uri="{C3380CC4-5D6E-409C-BE32-E72D297353CC}">
              <c16:uniqueId val="{00000002-866F-4722-922C-78DBEACD2EE3}"/>
            </c:ext>
          </c:extLst>
        </c:ser>
        <c:dLbls>
          <c:showLegendKey val="0"/>
          <c:showVal val="0"/>
          <c:showCatName val="0"/>
          <c:showSerName val="0"/>
          <c:showPercent val="0"/>
          <c:showBubbleSize val="0"/>
        </c:dLbls>
        <c:axId val="535284864"/>
        <c:axId val="535276336"/>
        <c:extLst/>
      </c:scatterChart>
      <c:valAx>
        <c:axId val="535284864"/>
        <c:scaling>
          <c:orientation val="minMax"/>
          <c:max val="2055"/>
          <c:min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76336"/>
        <c:crosses val="autoZero"/>
        <c:crossBetween val="midCat"/>
      </c:valAx>
      <c:valAx>
        <c:axId val="53527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 Emissions (tons CO</a:t>
                </a:r>
                <a:r>
                  <a:rPr lang="en-US" baseline="-25000"/>
                  <a:t>2</a:t>
                </a:r>
                <a:r>
                  <a:rPr lang="en-US"/>
                  <a:t>-eq/y)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84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stacked"/>
        <c:varyColors val="0"/>
        <c:ser>
          <c:idx val="0"/>
          <c:order val="0"/>
          <c:tx>
            <c:strRef>
              <c:f>Outputs!$B$274</c:f>
              <c:strCache>
                <c:ptCount val="1"/>
                <c:pt idx="0">
                  <c:v>Electricity</c:v>
                </c:pt>
              </c:strCache>
            </c:strRef>
          </c:tx>
          <c:spPr>
            <a:solidFill>
              <a:schemeClr val="accent4">
                <a:shade val="58000"/>
              </a:schemeClr>
            </a:solidFill>
            <a:ln>
              <a:noFill/>
            </a:ln>
            <a:effectLst/>
          </c:spPr>
          <c:invertIfNegative val="0"/>
          <c:cat>
            <c:strRef>
              <c:f>Outputs!$D$273:$P$273</c:f>
              <c:strCache>
                <c:ptCount val="13"/>
                <c:pt idx="0">
                  <c:v>0</c:v>
                </c:pt>
                <c:pt idx="1">
                  <c:v> 1a </c:v>
                </c:pt>
                <c:pt idx="2">
                  <c:v> 1c </c:v>
                </c:pt>
                <c:pt idx="3">
                  <c:v> 1c E </c:v>
                </c:pt>
                <c:pt idx="4">
                  <c:v> 2 </c:v>
                </c:pt>
                <c:pt idx="5">
                  <c:v> 6 </c:v>
                </c:pt>
                <c:pt idx="6">
                  <c:v> 8b </c:v>
                </c:pt>
                <c:pt idx="7">
                  <c:v> 8b E </c:v>
                </c:pt>
                <c:pt idx="8">
                  <c:v> 10a </c:v>
                </c:pt>
                <c:pt idx="9">
                  <c:v> 11a </c:v>
                </c:pt>
                <c:pt idx="10">
                  <c:v> 11c </c:v>
                </c:pt>
                <c:pt idx="11">
                  <c:v> 11c E </c:v>
                </c:pt>
                <c:pt idx="12">
                  <c:v> 12 </c:v>
                </c:pt>
              </c:strCache>
            </c:strRef>
          </c:cat>
          <c:val>
            <c:numRef>
              <c:f>Outputs!$D$274:$P$274</c:f>
              <c:numCache>
                <c:formatCode>_("$"* #,##0_);_("$"* \(#,##0\);_("$"* "-"??_);_(@_)</c:formatCode>
                <c:ptCount val="13"/>
                <c:pt idx="0">
                  <c:v>17.022268601189666</c:v>
                </c:pt>
                <c:pt idx="1">
                  <c:v>65.353891763364544</c:v>
                </c:pt>
                <c:pt idx="2">
                  <c:v>92.251001327183658</c:v>
                </c:pt>
                <c:pt idx="3">
                  <c:v>83.025901194465291</c:v>
                </c:pt>
                <c:pt idx="4">
                  <c:v>0</c:v>
                </c:pt>
                <c:pt idx="5">
                  <c:v>80.007201392865184</c:v>
                </c:pt>
                <c:pt idx="6">
                  <c:v>101.77057639727481</c:v>
                </c:pt>
                <c:pt idx="7">
                  <c:v>97.467288396622664</c:v>
                </c:pt>
                <c:pt idx="8">
                  <c:v>67.333695574107935</c:v>
                </c:pt>
                <c:pt idx="9">
                  <c:v>55.069021421482432</c:v>
                </c:pt>
                <c:pt idx="10">
                  <c:v>81.966130985301533</c:v>
                </c:pt>
                <c:pt idx="11">
                  <c:v>73.769517886771382</c:v>
                </c:pt>
                <c:pt idx="12">
                  <c:v>72.16417408315435</c:v>
                </c:pt>
              </c:numCache>
            </c:numRef>
          </c:val>
          <c:extLst>
            <c:ext xmlns:c16="http://schemas.microsoft.com/office/drawing/2014/chart" uri="{C3380CC4-5D6E-409C-BE32-E72D297353CC}">
              <c16:uniqueId val="{00000000-EB78-4277-9C3E-F1771091D888}"/>
            </c:ext>
          </c:extLst>
        </c:ser>
        <c:ser>
          <c:idx val="1"/>
          <c:order val="1"/>
          <c:tx>
            <c:strRef>
              <c:f>Outputs!$B$275</c:f>
              <c:strCache>
                <c:ptCount val="1"/>
                <c:pt idx="0">
                  <c:v>Natural gas</c:v>
                </c:pt>
              </c:strCache>
            </c:strRef>
          </c:tx>
          <c:spPr>
            <a:solidFill>
              <a:schemeClr val="accent4">
                <a:shade val="86000"/>
              </a:schemeClr>
            </a:solidFill>
            <a:ln>
              <a:noFill/>
            </a:ln>
            <a:effectLst/>
          </c:spPr>
          <c:invertIfNegative val="0"/>
          <c:cat>
            <c:strRef>
              <c:f>Outputs!$D$273:$P$273</c:f>
              <c:strCache>
                <c:ptCount val="13"/>
                <c:pt idx="0">
                  <c:v>0</c:v>
                </c:pt>
                <c:pt idx="1">
                  <c:v> 1a </c:v>
                </c:pt>
                <c:pt idx="2">
                  <c:v> 1c </c:v>
                </c:pt>
                <c:pt idx="3">
                  <c:v> 1c E </c:v>
                </c:pt>
                <c:pt idx="4">
                  <c:v> 2 </c:v>
                </c:pt>
                <c:pt idx="5">
                  <c:v> 6 </c:v>
                </c:pt>
                <c:pt idx="6">
                  <c:v> 8b </c:v>
                </c:pt>
                <c:pt idx="7">
                  <c:v> 8b E </c:v>
                </c:pt>
                <c:pt idx="8">
                  <c:v> 10a </c:v>
                </c:pt>
                <c:pt idx="9">
                  <c:v> 11a </c:v>
                </c:pt>
                <c:pt idx="10">
                  <c:v> 11c </c:v>
                </c:pt>
                <c:pt idx="11">
                  <c:v> 11c E </c:v>
                </c:pt>
                <c:pt idx="12">
                  <c:v> 12 </c:v>
                </c:pt>
              </c:strCache>
            </c:strRef>
          </c:cat>
          <c:val>
            <c:numRef>
              <c:f>Outputs!$D$275:$P$275</c:f>
              <c:numCache>
                <c:formatCode>_("$"* #,##0_);_("$"* \(#,##0\);_("$"* "-"??_);_(@_)</c:formatCode>
                <c:ptCount val="13"/>
                <c:pt idx="0">
                  <c:v>55.874025105762904</c:v>
                </c:pt>
                <c:pt idx="1">
                  <c:v>19.009994176475164</c:v>
                </c:pt>
                <c:pt idx="2">
                  <c:v>0</c:v>
                </c:pt>
                <c:pt idx="3">
                  <c:v>0</c:v>
                </c:pt>
                <c:pt idx="4">
                  <c:v>33.059302774736778</c:v>
                </c:pt>
                <c:pt idx="5">
                  <c:v>20.658035486481584</c:v>
                </c:pt>
                <c:pt idx="6">
                  <c:v>0</c:v>
                </c:pt>
                <c:pt idx="7">
                  <c:v>0</c:v>
                </c:pt>
                <c:pt idx="8">
                  <c:v>47.395748185435018</c:v>
                </c:pt>
                <c:pt idx="9">
                  <c:v>19.009994176475164</c:v>
                </c:pt>
                <c:pt idx="10">
                  <c:v>0</c:v>
                </c:pt>
                <c:pt idx="11">
                  <c:v>0</c:v>
                </c:pt>
                <c:pt idx="12">
                  <c:v>8.3607452749735991</c:v>
                </c:pt>
              </c:numCache>
            </c:numRef>
          </c:val>
          <c:extLst>
            <c:ext xmlns:c16="http://schemas.microsoft.com/office/drawing/2014/chart" uri="{C3380CC4-5D6E-409C-BE32-E72D297353CC}">
              <c16:uniqueId val="{00000001-EB78-4277-9C3E-F1771091D888}"/>
            </c:ext>
          </c:extLst>
        </c:ser>
        <c:ser>
          <c:idx val="2"/>
          <c:order val="2"/>
          <c:tx>
            <c:strRef>
              <c:f>Outputs!$B$276</c:f>
              <c:strCache>
                <c:ptCount val="1"/>
                <c:pt idx="0">
                  <c:v>Water</c:v>
                </c:pt>
              </c:strCache>
            </c:strRef>
          </c:tx>
          <c:spPr>
            <a:solidFill>
              <a:schemeClr val="accent4">
                <a:tint val="86000"/>
              </a:schemeClr>
            </a:solidFill>
            <a:ln>
              <a:noFill/>
            </a:ln>
            <a:effectLst/>
          </c:spPr>
          <c:invertIfNegative val="0"/>
          <c:cat>
            <c:strRef>
              <c:f>Outputs!$D$273:$P$273</c:f>
              <c:strCache>
                <c:ptCount val="13"/>
                <c:pt idx="0">
                  <c:v>0</c:v>
                </c:pt>
                <c:pt idx="1">
                  <c:v> 1a </c:v>
                </c:pt>
                <c:pt idx="2">
                  <c:v> 1c </c:v>
                </c:pt>
                <c:pt idx="3">
                  <c:v> 1c E </c:v>
                </c:pt>
                <c:pt idx="4">
                  <c:v> 2 </c:v>
                </c:pt>
                <c:pt idx="5">
                  <c:v> 6 </c:v>
                </c:pt>
                <c:pt idx="6">
                  <c:v> 8b </c:v>
                </c:pt>
                <c:pt idx="7">
                  <c:v> 8b E </c:v>
                </c:pt>
                <c:pt idx="8">
                  <c:v> 10a </c:v>
                </c:pt>
                <c:pt idx="9">
                  <c:v> 11a </c:v>
                </c:pt>
                <c:pt idx="10">
                  <c:v> 11c </c:v>
                </c:pt>
                <c:pt idx="11">
                  <c:v> 11c E </c:v>
                </c:pt>
                <c:pt idx="12">
                  <c:v> 12 </c:v>
                </c:pt>
              </c:strCache>
            </c:strRef>
          </c:cat>
          <c:val>
            <c:numRef>
              <c:f>Outputs!$D$276:$P$276</c:f>
              <c:numCache>
                <c:formatCode>_("$"* #,##0_);_("$"* \(#,##0\);_("$"* "-"??_);_(@_)</c:formatCode>
                <c:ptCount val="13"/>
                <c:pt idx="0">
                  <c:v>14.537553349123103</c:v>
                </c:pt>
                <c:pt idx="1">
                  <c:v>8.2154621204970386</c:v>
                </c:pt>
                <c:pt idx="2">
                  <c:v>8.2154621204970386</c:v>
                </c:pt>
                <c:pt idx="3">
                  <c:v>8.2154621204970386</c:v>
                </c:pt>
                <c:pt idx="4">
                  <c:v>11.701509393593463</c:v>
                </c:pt>
                <c:pt idx="5">
                  <c:v>11.699172236609837</c:v>
                </c:pt>
                <c:pt idx="6">
                  <c:v>11.699172236609837</c:v>
                </c:pt>
                <c:pt idx="7">
                  <c:v>11.699172236609837</c:v>
                </c:pt>
                <c:pt idx="8">
                  <c:v>14.537553349123103</c:v>
                </c:pt>
                <c:pt idx="9">
                  <c:v>8.2154621204970386</c:v>
                </c:pt>
                <c:pt idx="10">
                  <c:v>8.2154621204970386</c:v>
                </c:pt>
                <c:pt idx="11">
                  <c:v>8.2154621204970386</c:v>
                </c:pt>
                <c:pt idx="12">
                  <c:v>10.129760546091255</c:v>
                </c:pt>
              </c:numCache>
            </c:numRef>
          </c:val>
          <c:extLst>
            <c:ext xmlns:c16="http://schemas.microsoft.com/office/drawing/2014/chart" uri="{C3380CC4-5D6E-409C-BE32-E72D297353CC}">
              <c16:uniqueId val="{00000002-EB78-4277-9C3E-F1771091D888}"/>
            </c:ext>
          </c:extLst>
        </c:ser>
        <c:ser>
          <c:idx val="3"/>
          <c:order val="3"/>
          <c:tx>
            <c:strRef>
              <c:f>Outputs!$B$277</c:f>
              <c:strCache>
                <c:ptCount val="1"/>
                <c:pt idx="0">
                  <c:v>Carbon</c:v>
                </c:pt>
              </c:strCache>
            </c:strRef>
          </c:tx>
          <c:spPr>
            <a:solidFill>
              <a:schemeClr val="accent4">
                <a:tint val="58000"/>
              </a:schemeClr>
            </a:solidFill>
            <a:ln>
              <a:noFill/>
            </a:ln>
            <a:effectLst/>
          </c:spPr>
          <c:invertIfNegative val="0"/>
          <c:cat>
            <c:strRef>
              <c:f>Outputs!$D$273:$P$273</c:f>
              <c:strCache>
                <c:ptCount val="13"/>
                <c:pt idx="0">
                  <c:v>0</c:v>
                </c:pt>
                <c:pt idx="1">
                  <c:v> 1a </c:v>
                </c:pt>
                <c:pt idx="2">
                  <c:v> 1c </c:v>
                </c:pt>
                <c:pt idx="3">
                  <c:v> 1c E </c:v>
                </c:pt>
                <c:pt idx="4">
                  <c:v> 2 </c:v>
                </c:pt>
                <c:pt idx="5">
                  <c:v> 6 </c:v>
                </c:pt>
                <c:pt idx="6">
                  <c:v> 8b </c:v>
                </c:pt>
                <c:pt idx="7">
                  <c:v> 8b E </c:v>
                </c:pt>
                <c:pt idx="8">
                  <c:v> 10a </c:v>
                </c:pt>
                <c:pt idx="9">
                  <c:v> 11a </c:v>
                </c:pt>
                <c:pt idx="10">
                  <c:v> 11c </c:v>
                </c:pt>
                <c:pt idx="11">
                  <c:v> 11c E </c:v>
                </c:pt>
                <c:pt idx="12">
                  <c:v> 12 </c:v>
                </c:pt>
              </c:strCache>
            </c:strRef>
          </c:cat>
          <c:val>
            <c:numRef>
              <c:f>Outputs!$D$277:$P$277</c:f>
              <c:numCache>
                <c:formatCode>_("$"* #,##0_);_("$"* \(#,##0\);_("$"* "-"??_);_(@_)</c:formatCode>
                <c:ptCount val="13"/>
                <c:pt idx="0">
                  <c:v>25.171573586538543</c:v>
                </c:pt>
                <c:pt idx="1">
                  <c:v>8.5641130451412497</c:v>
                </c:pt>
                <c:pt idx="2">
                  <c:v>0</c:v>
                </c:pt>
                <c:pt idx="3">
                  <c:v>0</c:v>
                </c:pt>
                <c:pt idx="4">
                  <c:v>14.893408358155238</c:v>
                </c:pt>
                <c:pt idx="5">
                  <c:v>9.3065652495413822</c:v>
                </c:pt>
                <c:pt idx="6">
                  <c:v>0</c:v>
                </c:pt>
                <c:pt idx="7">
                  <c:v>0</c:v>
                </c:pt>
                <c:pt idx="8">
                  <c:v>21.352060476768454</c:v>
                </c:pt>
                <c:pt idx="9">
                  <c:v>8.5641130451412497</c:v>
                </c:pt>
                <c:pt idx="10">
                  <c:v>0</c:v>
                </c:pt>
                <c:pt idx="11">
                  <c:v>0</c:v>
                </c:pt>
                <c:pt idx="12">
                  <c:v>3.7665644193154084</c:v>
                </c:pt>
              </c:numCache>
            </c:numRef>
          </c:val>
          <c:extLst>
            <c:ext xmlns:c16="http://schemas.microsoft.com/office/drawing/2014/chart" uri="{C3380CC4-5D6E-409C-BE32-E72D297353CC}">
              <c16:uniqueId val="{00000003-EB78-4277-9C3E-F1771091D888}"/>
            </c:ext>
          </c:extLst>
        </c:ser>
        <c:dLbls>
          <c:showLegendKey val="0"/>
          <c:showVal val="0"/>
          <c:showCatName val="0"/>
          <c:showSerName val="0"/>
          <c:showPercent val="0"/>
          <c:showBubbleSize val="0"/>
        </c:dLbls>
        <c:gapWidth val="150"/>
        <c:overlap val="100"/>
        <c:axId val="875083768"/>
        <c:axId val="875080160"/>
      </c:barChart>
      <c:catAx>
        <c:axId val="875083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80160"/>
        <c:crosses val="autoZero"/>
        <c:auto val="1"/>
        <c:lblAlgn val="ctr"/>
        <c:lblOffset val="100"/>
        <c:noMultiLvlLbl val="0"/>
      </c:catAx>
      <c:valAx>
        <c:axId val="87508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Commodity Cost ($M USD 2045)</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83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image" Target="../media/image1.png"/><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6</xdr:col>
      <xdr:colOff>591382</xdr:colOff>
      <xdr:row>4</xdr:row>
      <xdr:rowOff>74491</xdr:rowOff>
    </xdr:to>
    <xdr:pic>
      <xdr:nvPicPr>
        <xdr:cNvPr id="2" name="Picture 1">
          <a:extLst>
            <a:ext uri="{FF2B5EF4-FFF2-40B4-BE49-F238E27FC236}">
              <a16:creationId xmlns:a16="http://schemas.microsoft.com/office/drawing/2014/main" id="{C5FE1C23-77ED-4EF7-858C-BACFC44DE378}"/>
            </a:ext>
          </a:extLst>
        </xdr:cNvPr>
        <xdr:cNvPicPr>
          <a:picLocks noChangeAspect="1"/>
        </xdr:cNvPicPr>
      </xdr:nvPicPr>
      <xdr:blipFill>
        <a:blip xmlns:r="http://schemas.openxmlformats.org/officeDocument/2006/relationships" r:embed="rId1">
          <a:clrChange>
            <a:clrFrom>
              <a:srgbClr val="FFFEFD"/>
            </a:clrFrom>
            <a:clrTo>
              <a:srgbClr val="FFFEFD">
                <a:alpha val="0"/>
              </a:srgbClr>
            </a:clrTo>
          </a:clrChange>
        </a:blip>
        <a:stretch>
          <a:fillRect/>
        </a:stretch>
      </xdr:blipFill>
      <xdr:spPr>
        <a:xfrm>
          <a:off x="4524375" y="180975"/>
          <a:ext cx="1258132" cy="61741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38</xdr:col>
      <xdr:colOff>0</xdr:colOff>
      <xdr:row>13</xdr:row>
      <xdr:rowOff>0</xdr:rowOff>
    </xdr:from>
    <xdr:to>
      <xdr:col>49</xdr:col>
      <xdr:colOff>304926</xdr:colOff>
      <xdr:row>32</xdr:row>
      <xdr:rowOff>152400</xdr:rowOff>
    </xdr:to>
    <xdr:graphicFrame macro="">
      <xdr:nvGraphicFramePr>
        <xdr:cNvPr id="11" name="Chart 10">
          <a:extLst>
            <a:ext uri="{FF2B5EF4-FFF2-40B4-BE49-F238E27FC236}">
              <a16:creationId xmlns:a16="http://schemas.microsoft.com/office/drawing/2014/main" id="{B09578FC-A69A-430D-A797-C44A154F5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0</xdr:colOff>
      <xdr:row>37</xdr:row>
      <xdr:rowOff>0</xdr:rowOff>
    </xdr:from>
    <xdr:to>
      <xdr:col>49</xdr:col>
      <xdr:colOff>304926</xdr:colOff>
      <xdr:row>56</xdr:row>
      <xdr:rowOff>152400</xdr:rowOff>
    </xdr:to>
    <xdr:graphicFrame macro="">
      <xdr:nvGraphicFramePr>
        <xdr:cNvPr id="13" name="Chart 12">
          <a:extLst>
            <a:ext uri="{FF2B5EF4-FFF2-40B4-BE49-F238E27FC236}">
              <a16:creationId xmlns:a16="http://schemas.microsoft.com/office/drawing/2014/main" id="{449CCC41-897B-45D0-BE8F-D1E5F05B8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0</xdr:colOff>
      <xdr:row>133</xdr:row>
      <xdr:rowOff>0</xdr:rowOff>
    </xdr:from>
    <xdr:to>
      <xdr:col>49</xdr:col>
      <xdr:colOff>304926</xdr:colOff>
      <xdr:row>152</xdr:row>
      <xdr:rowOff>152400</xdr:rowOff>
    </xdr:to>
    <xdr:graphicFrame macro="">
      <xdr:nvGraphicFramePr>
        <xdr:cNvPr id="6" name="Chart 5">
          <a:extLst>
            <a:ext uri="{FF2B5EF4-FFF2-40B4-BE49-F238E27FC236}">
              <a16:creationId xmlns:a16="http://schemas.microsoft.com/office/drawing/2014/main" id="{C0D7E004-E3D7-4C6A-93EA-BAD435066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0</xdr:colOff>
      <xdr:row>157</xdr:row>
      <xdr:rowOff>0</xdr:rowOff>
    </xdr:from>
    <xdr:to>
      <xdr:col>49</xdr:col>
      <xdr:colOff>304926</xdr:colOff>
      <xdr:row>176</xdr:row>
      <xdr:rowOff>152400</xdr:rowOff>
    </xdr:to>
    <xdr:graphicFrame macro="">
      <xdr:nvGraphicFramePr>
        <xdr:cNvPr id="12" name="Chart 11">
          <a:extLst>
            <a:ext uri="{FF2B5EF4-FFF2-40B4-BE49-F238E27FC236}">
              <a16:creationId xmlns:a16="http://schemas.microsoft.com/office/drawing/2014/main" id="{1CB82FE3-143C-4A31-B9D6-4C2F5D129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0</xdr:colOff>
      <xdr:row>86</xdr:row>
      <xdr:rowOff>0</xdr:rowOff>
    </xdr:from>
    <xdr:to>
      <xdr:col>49</xdr:col>
      <xdr:colOff>304926</xdr:colOff>
      <xdr:row>105</xdr:row>
      <xdr:rowOff>152400</xdr:rowOff>
    </xdr:to>
    <xdr:graphicFrame macro="">
      <xdr:nvGraphicFramePr>
        <xdr:cNvPr id="18" name="Chart 17">
          <a:extLst>
            <a:ext uri="{FF2B5EF4-FFF2-40B4-BE49-F238E27FC236}">
              <a16:creationId xmlns:a16="http://schemas.microsoft.com/office/drawing/2014/main" id="{EEECEC5F-E4F7-46F5-9CDB-8F16488C2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0</xdr:colOff>
      <xdr:row>62</xdr:row>
      <xdr:rowOff>0</xdr:rowOff>
    </xdr:from>
    <xdr:to>
      <xdr:col>49</xdr:col>
      <xdr:colOff>304926</xdr:colOff>
      <xdr:row>81</xdr:row>
      <xdr:rowOff>152400</xdr:rowOff>
    </xdr:to>
    <xdr:graphicFrame macro="">
      <xdr:nvGraphicFramePr>
        <xdr:cNvPr id="19" name="Chart 18">
          <a:extLst>
            <a:ext uri="{FF2B5EF4-FFF2-40B4-BE49-F238E27FC236}">
              <a16:creationId xmlns:a16="http://schemas.microsoft.com/office/drawing/2014/main" id="{CF080B9A-9BD1-45DD-AA5D-D74B1936F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0</xdr:colOff>
      <xdr:row>181</xdr:row>
      <xdr:rowOff>0</xdr:rowOff>
    </xdr:from>
    <xdr:to>
      <xdr:col>49</xdr:col>
      <xdr:colOff>304926</xdr:colOff>
      <xdr:row>200</xdr:row>
      <xdr:rowOff>152400</xdr:rowOff>
    </xdr:to>
    <xdr:graphicFrame macro="">
      <xdr:nvGraphicFramePr>
        <xdr:cNvPr id="3" name="Chart 19">
          <a:extLst>
            <a:ext uri="{FF2B5EF4-FFF2-40B4-BE49-F238E27FC236}">
              <a16:creationId xmlns:a16="http://schemas.microsoft.com/office/drawing/2014/main" id="{7C58FDE1-BC73-4D69-B41D-1827CD6B1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38</xdr:col>
      <xdr:colOff>0</xdr:colOff>
      <xdr:row>205</xdr:row>
      <xdr:rowOff>0</xdr:rowOff>
    </xdr:from>
    <xdr:to>
      <xdr:col>49</xdr:col>
      <xdr:colOff>304926</xdr:colOff>
      <xdr:row>224</xdr:row>
      <xdr:rowOff>152400</xdr:rowOff>
    </xdr:to>
    <xdr:graphicFrame macro="">
      <xdr:nvGraphicFramePr>
        <xdr:cNvPr id="21" name="Chart 20">
          <a:extLst>
            <a:ext uri="{FF2B5EF4-FFF2-40B4-BE49-F238E27FC236}">
              <a16:creationId xmlns:a16="http://schemas.microsoft.com/office/drawing/2014/main" id="{A99AAAB9-A92B-4CA7-AD40-48BBFAAF2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251</xdr:row>
      <xdr:rowOff>207817</xdr:rowOff>
    </xdr:from>
    <xdr:to>
      <xdr:col>23</xdr:col>
      <xdr:colOff>83127</xdr:colOff>
      <xdr:row>266</xdr:row>
      <xdr:rowOff>166254</xdr:rowOff>
    </xdr:to>
    <xdr:graphicFrame macro="">
      <xdr:nvGraphicFramePr>
        <xdr:cNvPr id="38" name="Chart 37">
          <a:extLst>
            <a:ext uri="{FF2B5EF4-FFF2-40B4-BE49-F238E27FC236}">
              <a16:creationId xmlns:a16="http://schemas.microsoft.com/office/drawing/2014/main" id="{E5603E11-78AB-45D0-805E-7C7C47AB3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268</xdr:row>
      <xdr:rowOff>0</xdr:rowOff>
    </xdr:from>
    <xdr:to>
      <xdr:col>23</xdr:col>
      <xdr:colOff>83127</xdr:colOff>
      <xdr:row>282</xdr:row>
      <xdr:rowOff>138545</xdr:rowOff>
    </xdr:to>
    <xdr:graphicFrame macro="">
      <xdr:nvGraphicFramePr>
        <xdr:cNvPr id="39" name="Chart 38">
          <a:extLst>
            <a:ext uri="{FF2B5EF4-FFF2-40B4-BE49-F238E27FC236}">
              <a16:creationId xmlns:a16="http://schemas.microsoft.com/office/drawing/2014/main" id="{3F9F3C98-EE11-41EA-8440-5ABDAB92A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293</xdr:row>
      <xdr:rowOff>0</xdr:rowOff>
    </xdr:from>
    <xdr:to>
      <xdr:col>23</xdr:col>
      <xdr:colOff>83127</xdr:colOff>
      <xdr:row>307</xdr:row>
      <xdr:rowOff>138545</xdr:rowOff>
    </xdr:to>
    <xdr:graphicFrame macro="">
      <xdr:nvGraphicFramePr>
        <xdr:cNvPr id="17" name="Chart 16">
          <a:extLst>
            <a:ext uri="{FF2B5EF4-FFF2-40B4-BE49-F238E27FC236}">
              <a16:creationId xmlns:a16="http://schemas.microsoft.com/office/drawing/2014/main" id="{71771EAF-EF70-4565-A8F4-DEC852E66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309</xdr:row>
      <xdr:rowOff>0</xdr:rowOff>
    </xdr:from>
    <xdr:to>
      <xdr:col>23</xdr:col>
      <xdr:colOff>83127</xdr:colOff>
      <xdr:row>323</xdr:row>
      <xdr:rowOff>152400</xdr:rowOff>
    </xdr:to>
    <xdr:graphicFrame macro="">
      <xdr:nvGraphicFramePr>
        <xdr:cNvPr id="24" name="Chart 23">
          <a:extLst>
            <a:ext uri="{FF2B5EF4-FFF2-40B4-BE49-F238E27FC236}">
              <a16:creationId xmlns:a16="http://schemas.microsoft.com/office/drawing/2014/main" id="{B15FBACE-B5FB-4286-B481-A82C9F313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xdr:col>
      <xdr:colOff>0</xdr:colOff>
      <xdr:row>309</xdr:row>
      <xdr:rowOff>0</xdr:rowOff>
    </xdr:from>
    <xdr:to>
      <xdr:col>31</xdr:col>
      <xdr:colOff>581891</xdr:colOff>
      <xdr:row>323</xdr:row>
      <xdr:rowOff>156210</xdr:rowOff>
    </xdr:to>
    <xdr:graphicFrame macro="">
      <xdr:nvGraphicFramePr>
        <xdr:cNvPr id="25" name="Chart 24">
          <a:extLst>
            <a:ext uri="{FF2B5EF4-FFF2-40B4-BE49-F238E27FC236}">
              <a16:creationId xmlns:a16="http://schemas.microsoft.com/office/drawing/2014/main" id="{4F9C427B-10F0-4A0C-A57F-88871794A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25</xdr:col>
      <xdr:colOff>0</xdr:colOff>
      <xdr:row>293</xdr:row>
      <xdr:rowOff>0</xdr:rowOff>
    </xdr:from>
    <xdr:to>
      <xdr:col>31</xdr:col>
      <xdr:colOff>581891</xdr:colOff>
      <xdr:row>307</xdr:row>
      <xdr:rowOff>138545</xdr:rowOff>
    </xdr:to>
    <xdr:graphicFrame macro="">
      <xdr:nvGraphicFramePr>
        <xdr:cNvPr id="26" name="Chart 25">
          <a:extLst>
            <a:ext uri="{FF2B5EF4-FFF2-40B4-BE49-F238E27FC236}">
              <a16:creationId xmlns:a16="http://schemas.microsoft.com/office/drawing/2014/main" id="{28ECD912-CFC8-4FF0-8D10-21B87B602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35</xdr:col>
      <xdr:colOff>0</xdr:colOff>
      <xdr:row>252</xdr:row>
      <xdr:rowOff>0</xdr:rowOff>
    </xdr:from>
    <xdr:to>
      <xdr:col>39</xdr:col>
      <xdr:colOff>540328</xdr:colOff>
      <xdr:row>266</xdr:row>
      <xdr:rowOff>162445</xdr:rowOff>
    </xdr:to>
    <xdr:graphicFrame macro="">
      <xdr:nvGraphicFramePr>
        <xdr:cNvPr id="30" name="Chart 29">
          <a:extLst>
            <a:ext uri="{FF2B5EF4-FFF2-40B4-BE49-F238E27FC236}">
              <a16:creationId xmlns:a16="http://schemas.microsoft.com/office/drawing/2014/main" id="{69E39EED-EC17-44F1-B203-C0D85B5B1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35</xdr:col>
      <xdr:colOff>0</xdr:colOff>
      <xdr:row>267</xdr:row>
      <xdr:rowOff>190154</xdr:rowOff>
    </xdr:from>
    <xdr:to>
      <xdr:col>39</xdr:col>
      <xdr:colOff>540328</xdr:colOff>
      <xdr:row>282</xdr:row>
      <xdr:rowOff>134736</xdr:rowOff>
    </xdr:to>
    <xdr:graphicFrame macro="">
      <xdr:nvGraphicFramePr>
        <xdr:cNvPr id="31" name="Chart 30">
          <a:extLst>
            <a:ext uri="{FF2B5EF4-FFF2-40B4-BE49-F238E27FC236}">
              <a16:creationId xmlns:a16="http://schemas.microsoft.com/office/drawing/2014/main" id="{D49BE4F5-4DFC-4CB5-9B21-9E2C232C5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35</xdr:col>
      <xdr:colOff>0</xdr:colOff>
      <xdr:row>293</xdr:row>
      <xdr:rowOff>0</xdr:rowOff>
    </xdr:from>
    <xdr:to>
      <xdr:col>39</xdr:col>
      <xdr:colOff>540328</xdr:colOff>
      <xdr:row>307</xdr:row>
      <xdr:rowOff>138545</xdr:rowOff>
    </xdr:to>
    <xdr:graphicFrame macro="">
      <xdr:nvGraphicFramePr>
        <xdr:cNvPr id="32" name="Chart 31">
          <a:extLst>
            <a:ext uri="{FF2B5EF4-FFF2-40B4-BE49-F238E27FC236}">
              <a16:creationId xmlns:a16="http://schemas.microsoft.com/office/drawing/2014/main" id="{B7A57844-E4DD-4032-9A8D-33651AAB2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35</xdr:col>
      <xdr:colOff>0</xdr:colOff>
      <xdr:row>309</xdr:row>
      <xdr:rowOff>0</xdr:rowOff>
    </xdr:from>
    <xdr:to>
      <xdr:col>39</xdr:col>
      <xdr:colOff>540328</xdr:colOff>
      <xdr:row>323</xdr:row>
      <xdr:rowOff>152400</xdr:rowOff>
    </xdr:to>
    <xdr:graphicFrame macro="">
      <xdr:nvGraphicFramePr>
        <xdr:cNvPr id="33" name="Chart 32">
          <a:extLst>
            <a:ext uri="{FF2B5EF4-FFF2-40B4-BE49-F238E27FC236}">
              <a16:creationId xmlns:a16="http://schemas.microsoft.com/office/drawing/2014/main" id="{AD0DD44B-3C39-4DBA-AA34-E9F599E8B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41</xdr:col>
      <xdr:colOff>512618</xdr:colOff>
      <xdr:row>309</xdr:row>
      <xdr:rowOff>0</xdr:rowOff>
    </xdr:from>
    <xdr:to>
      <xdr:col>48</xdr:col>
      <xdr:colOff>627265</xdr:colOff>
      <xdr:row>323</xdr:row>
      <xdr:rowOff>160020</xdr:rowOff>
    </xdr:to>
    <xdr:graphicFrame macro="">
      <xdr:nvGraphicFramePr>
        <xdr:cNvPr id="34" name="Chart 33">
          <a:extLst>
            <a:ext uri="{FF2B5EF4-FFF2-40B4-BE49-F238E27FC236}">
              <a16:creationId xmlns:a16="http://schemas.microsoft.com/office/drawing/2014/main" id="{0616B7A3-B935-4DA1-9CFF-D6A06F1AC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41</xdr:col>
      <xdr:colOff>512618</xdr:colOff>
      <xdr:row>293</xdr:row>
      <xdr:rowOff>0</xdr:rowOff>
    </xdr:from>
    <xdr:to>
      <xdr:col>48</xdr:col>
      <xdr:colOff>627265</xdr:colOff>
      <xdr:row>307</xdr:row>
      <xdr:rowOff>138545</xdr:rowOff>
    </xdr:to>
    <xdr:graphicFrame macro="">
      <xdr:nvGraphicFramePr>
        <xdr:cNvPr id="35" name="Chart 34">
          <a:extLst>
            <a:ext uri="{FF2B5EF4-FFF2-40B4-BE49-F238E27FC236}">
              <a16:creationId xmlns:a16="http://schemas.microsoft.com/office/drawing/2014/main" id="{C8832310-DD01-485A-9930-4481B7386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51</xdr:col>
      <xdr:colOff>0</xdr:colOff>
      <xdr:row>133</xdr:row>
      <xdr:rowOff>0</xdr:rowOff>
    </xdr:from>
    <xdr:to>
      <xdr:col>62</xdr:col>
      <xdr:colOff>304926</xdr:colOff>
      <xdr:row>152</xdr:row>
      <xdr:rowOff>152400</xdr:rowOff>
    </xdr:to>
    <xdr:graphicFrame macro="">
      <xdr:nvGraphicFramePr>
        <xdr:cNvPr id="42" name="Chart 41">
          <a:extLst>
            <a:ext uri="{FF2B5EF4-FFF2-40B4-BE49-F238E27FC236}">
              <a16:creationId xmlns:a16="http://schemas.microsoft.com/office/drawing/2014/main" id="{4844FF38-0C2C-4D80-91CC-46EC51DA6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51</xdr:col>
      <xdr:colOff>0</xdr:colOff>
      <xdr:row>157</xdr:row>
      <xdr:rowOff>14287</xdr:rowOff>
    </xdr:from>
    <xdr:to>
      <xdr:col>62</xdr:col>
      <xdr:colOff>304926</xdr:colOff>
      <xdr:row>176</xdr:row>
      <xdr:rowOff>166687</xdr:rowOff>
    </xdr:to>
    <xdr:graphicFrame macro="">
      <xdr:nvGraphicFramePr>
        <xdr:cNvPr id="43" name="Chart 42">
          <a:extLst>
            <a:ext uri="{FF2B5EF4-FFF2-40B4-BE49-F238E27FC236}">
              <a16:creationId xmlns:a16="http://schemas.microsoft.com/office/drawing/2014/main" id="{E7107F66-6905-49DC-8349-8B77B7AE2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51</xdr:col>
      <xdr:colOff>0</xdr:colOff>
      <xdr:row>181</xdr:row>
      <xdr:rowOff>0</xdr:rowOff>
    </xdr:from>
    <xdr:to>
      <xdr:col>62</xdr:col>
      <xdr:colOff>304926</xdr:colOff>
      <xdr:row>200</xdr:row>
      <xdr:rowOff>152400</xdr:rowOff>
    </xdr:to>
    <xdr:graphicFrame macro="">
      <xdr:nvGraphicFramePr>
        <xdr:cNvPr id="44" name="Chart 19">
          <a:extLst>
            <a:ext uri="{FF2B5EF4-FFF2-40B4-BE49-F238E27FC236}">
              <a16:creationId xmlns:a16="http://schemas.microsoft.com/office/drawing/2014/main" id="{2CED08D2-0B23-4179-8F68-0BE6B09FE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51</xdr:col>
      <xdr:colOff>0</xdr:colOff>
      <xdr:row>205</xdr:row>
      <xdr:rowOff>0</xdr:rowOff>
    </xdr:from>
    <xdr:to>
      <xdr:col>62</xdr:col>
      <xdr:colOff>304926</xdr:colOff>
      <xdr:row>224</xdr:row>
      <xdr:rowOff>152400</xdr:rowOff>
    </xdr:to>
    <xdr:graphicFrame macro="">
      <xdr:nvGraphicFramePr>
        <xdr:cNvPr id="46" name="Chart 45">
          <a:extLst>
            <a:ext uri="{FF2B5EF4-FFF2-40B4-BE49-F238E27FC236}">
              <a16:creationId xmlns:a16="http://schemas.microsoft.com/office/drawing/2014/main" id="{B14A285D-81B5-43E4-989D-B4F53AD6A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35</xdr:col>
      <xdr:colOff>0</xdr:colOff>
      <xdr:row>338</xdr:row>
      <xdr:rowOff>0</xdr:rowOff>
    </xdr:from>
    <xdr:to>
      <xdr:col>44</xdr:col>
      <xdr:colOff>89807</xdr:colOff>
      <xdr:row>352</xdr:row>
      <xdr:rowOff>115933</xdr:rowOff>
    </xdr:to>
    <xdr:graphicFrame macro="">
      <xdr:nvGraphicFramePr>
        <xdr:cNvPr id="45" name="Chart 44">
          <a:extLst>
            <a:ext uri="{FF2B5EF4-FFF2-40B4-BE49-F238E27FC236}">
              <a16:creationId xmlns:a16="http://schemas.microsoft.com/office/drawing/2014/main" id="{BCC44D53-9C8B-44C0-A5C0-213885C06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5</xdr:col>
      <xdr:colOff>0</xdr:colOff>
      <xdr:row>1</xdr:row>
      <xdr:rowOff>0</xdr:rowOff>
    </xdr:from>
    <xdr:to>
      <xdr:col>6</xdr:col>
      <xdr:colOff>238958</xdr:colOff>
      <xdr:row>4</xdr:row>
      <xdr:rowOff>96638</xdr:rowOff>
    </xdr:to>
    <xdr:pic>
      <xdr:nvPicPr>
        <xdr:cNvPr id="47" name="Picture 46">
          <a:extLst>
            <a:ext uri="{FF2B5EF4-FFF2-40B4-BE49-F238E27FC236}">
              <a16:creationId xmlns:a16="http://schemas.microsoft.com/office/drawing/2014/main" id="{FD56D6A0-83CB-4D43-B99C-C6097B5C1A4A}"/>
            </a:ext>
          </a:extLst>
        </xdr:cNvPr>
        <xdr:cNvPicPr>
          <a:picLocks noChangeAspect="1"/>
        </xdr:cNvPicPr>
      </xdr:nvPicPr>
      <xdr:blipFill>
        <a:blip xmlns:r="http://schemas.openxmlformats.org/officeDocument/2006/relationships" r:embed="rId26">
          <a:clrChange>
            <a:clrFrom>
              <a:srgbClr val="FFFEFD"/>
            </a:clrFrom>
            <a:clrTo>
              <a:srgbClr val="FFFEFD">
                <a:alpha val="0"/>
              </a:srgbClr>
            </a:clrTo>
          </a:clrChange>
        </a:blip>
        <a:stretch>
          <a:fillRect/>
        </a:stretch>
      </xdr:blipFill>
      <xdr:spPr>
        <a:xfrm>
          <a:off x="5541818" y="173182"/>
          <a:ext cx="1191458" cy="6123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6</xdr:col>
      <xdr:colOff>1189553</xdr:colOff>
      <xdr:row>4</xdr:row>
      <xdr:rowOff>74491</xdr:rowOff>
    </xdr:to>
    <xdr:pic>
      <xdr:nvPicPr>
        <xdr:cNvPr id="3" name="Picture 2">
          <a:extLst>
            <a:ext uri="{FF2B5EF4-FFF2-40B4-BE49-F238E27FC236}">
              <a16:creationId xmlns:a16="http://schemas.microsoft.com/office/drawing/2014/main" id="{B320EAE0-CF2A-4135-9EAA-1D002B5EF8A1}"/>
            </a:ext>
          </a:extLst>
        </xdr:cNvPr>
        <xdr:cNvPicPr>
          <a:picLocks noChangeAspect="1"/>
        </xdr:cNvPicPr>
      </xdr:nvPicPr>
      <xdr:blipFill>
        <a:blip xmlns:r="http://schemas.openxmlformats.org/officeDocument/2006/relationships" r:embed="rId1">
          <a:clrChange>
            <a:clrFrom>
              <a:srgbClr val="FFFEFD"/>
            </a:clrFrom>
            <a:clrTo>
              <a:srgbClr val="FFFEFD">
                <a:alpha val="0"/>
              </a:srgbClr>
            </a:clrTo>
          </a:clrChange>
        </a:blip>
        <a:stretch>
          <a:fillRect/>
        </a:stretch>
      </xdr:blipFill>
      <xdr:spPr>
        <a:xfrm>
          <a:off x="8522970" y="179070"/>
          <a:ext cx="1189553" cy="611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6</xdr:col>
      <xdr:colOff>504649</xdr:colOff>
      <xdr:row>4</xdr:row>
      <xdr:rowOff>60883</xdr:rowOff>
    </xdr:to>
    <xdr:pic>
      <xdr:nvPicPr>
        <xdr:cNvPr id="2" name="Picture 1">
          <a:extLst>
            <a:ext uri="{FF2B5EF4-FFF2-40B4-BE49-F238E27FC236}">
              <a16:creationId xmlns:a16="http://schemas.microsoft.com/office/drawing/2014/main" id="{FB47031D-66E8-4D89-908A-14B6A1A0C46A}"/>
            </a:ext>
          </a:extLst>
        </xdr:cNvPr>
        <xdr:cNvPicPr>
          <a:picLocks noChangeAspect="1"/>
        </xdr:cNvPicPr>
      </xdr:nvPicPr>
      <xdr:blipFill>
        <a:blip xmlns:r="http://schemas.openxmlformats.org/officeDocument/2006/relationships" r:embed="rId1">
          <a:clrChange>
            <a:clrFrom>
              <a:srgbClr val="FFFEFD"/>
            </a:clrFrom>
            <a:clrTo>
              <a:srgbClr val="FFFEFD">
                <a:alpha val="0"/>
              </a:srgbClr>
            </a:clrTo>
          </a:clrChange>
        </a:blip>
        <a:stretch>
          <a:fillRect/>
        </a:stretch>
      </xdr:blipFill>
      <xdr:spPr>
        <a:xfrm>
          <a:off x="5057775" y="190500"/>
          <a:ext cx="1197173" cy="6421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6</xdr:col>
      <xdr:colOff>558998</xdr:colOff>
      <xdr:row>4</xdr:row>
      <xdr:rowOff>70681</xdr:rowOff>
    </xdr:to>
    <xdr:pic>
      <xdr:nvPicPr>
        <xdr:cNvPr id="2" name="Picture 1">
          <a:extLst>
            <a:ext uri="{FF2B5EF4-FFF2-40B4-BE49-F238E27FC236}">
              <a16:creationId xmlns:a16="http://schemas.microsoft.com/office/drawing/2014/main" id="{3EEB8146-C616-4CF7-9871-CF876EAE245F}"/>
            </a:ext>
          </a:extLst>
        </xdr:cNvPr>
        <xdr:cNvPicPr>
          <a:picLocks noChangeAspect="1"/>
        </xdr:cNvPicPr>
      </xdr:nvPicPr>
      <xdr:blipFill>
        <a:blip xmlns:r="http://schemas.openxmlformats.org/officeDocument/2006/relationships" r:embed="rId1">
          <a:clrChange>
            <a:clrFrom>
              <a:srgbClr val="FFFEFD"/>
            </a:clrFrom>
            <a:clrTo>
              <a:srgbClr val="FFFEFD">
                <a:alpha val="0"/>
              </a:srgbClr>
            </a:clrTo>
          </a:clrChange>
        </a:blip>
        <a:stretch>
          <a:fillRect/>
        </a:stretch>
      </xdr:blipFill>
      <xdr:spPr>
        <a:xfrm>
          <a:off x="6648450" y="190500"/>
          <a:ext cx="1197173" cy="6421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6</xdr:col>
      <xdr:colOff>561015</xdr:colOff>
      <xdr:row>4</xdr:row>
      <xdr:rowOff>74491</xdr:rowOff>
    </xdr:to>
    <xdr:pic>
      <xdr:nvPicPr>
        <xdr:cNvPr id="2" name="Picture 1">
          <a:extLst>
            <a:ext uri="{FF2B5EF4-FFF2-40B4-BE49-F238E27FC236}">
              <a16:creationId xmlns:a16="http://schemas.microsoft.com/office/drawing/2014/main" id="{F0EB7A0A-4AC0-483C-81F2-CEB61F755973}"/>
            </a:ext>
          </a:extLst>
        </xdr:cNvPr>
        <xdr:cNvPicPr>
          <a:picLocks noChangeAspect="1"/>
        </xdr:cNvPicPr>
      </xdr:nvPicPr>
      <xdr:blipFill>
        <a:blip xmlns:r="http://schemas.openxmlformats.org/officeDocument/2006/relationships" r:embed="rId1">
          <a:clrChange>
            <a:clrFrom>
              <a:srgbClr val="FFFEFD"/>
            </a:clrFrom>
            <a:clrTo>
              <a:srgbClr val="FFFEFD">
                <a:alpha val="0"/>
              </a:srgbClr>
            </a:clrTo>
          </a:clrChange>
        </a:blip>
        <a:stretch>
          <a:fillRect/>
        </a:stretch>
      </xdr:blipFill>
      <xdr:spPr>
        <a:xfrm>
          <a:off x="6915150" y="190500"/>
          <a:ext cx="1185967" cy="6421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1283803</xdr:colOff>
      <xdr:row>1</xdr:row>
      <xdr:rowOff>1</xdr:rowOff>
    </xdr:from>
    <xdr:to>
      <xdr:col>7</xdr:col>
      <xdr:colOff>343566</xdr:colOff>
      <xdr:row>4</xdr:row>
      <xdr:rowOff>74492</xdr:rowOff>
    </xdr:to>
    <xdr:pic>
      <xdr:nvPicPr>
        <xdr:cNvPr id="3" name="Picture 2">
          <a:extLst>
            <a:ext uri="{FF2B5EF4-FFF2-40B4-BE49-F238E27FC236}">
              <a16:creationId xmlns:a16="http://schemas.microsoft.com/office/drawing/2014/main" id="{50DFFE3C-FA2D-485F-9567-D9F456FFC2E8}"/>
            </a:ext>
          </a:extLst>
        </xdr:cNvPr>
        <xdr:cNvPicPr>
          <a:picLocks noChangeAspect="1"/>
        </xdr:cNvPicPr>
      </xdr:nvPicPr>
      <xdr:blipFill>
        <a:blip xmlns:r="http://schemas.openxmlformats.org/officeDocument/2006/relationships" r:embed="rId1">
          <a:clrChange>
            <a:clrFrom>
              <a:srgbClr val="FFFEFD"/>
            </a:clrFrom>
            <a:clrTo>
              <a:srgbClr val="FFFEFD">
                <a:alpha val="0"/>
              </a:srgbClr>
            </a:clrTo>
          </a:clrChange>
        </a:blip>
        <a:stretch>
          <a:fillRect/>
        </a:stretch>
      </xdr:blipFill>
      <xdr:spPr>
        <a:xfrm>
          <a:off x="6783455" y="190501"/>
          <a:ext cx="1188720" cy="64218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1283803</xdr:colOff>
      <xdr:row>1</xdr:row>
      <xdr:rowOff>1</xdr:rowOff>
    </xdr:from>
    <xdr:to>
      <xdr:col>7</xdr:col>
      <xdr:colOff>347376</xdr:colOff>
      <xdr:row>4</xdr:row>
      <xdr:rowOff>70682</xdr:rowOff>
    </xdr:to>
    <xdr:pic>
      <xdr:nvPicPr>
        <xdr:cNvPr id="2" name="Picture 1">
          <a:extLst>
            <a:ext uri="{FF2B5EF4-FFF2-40B4-BE49-F238E27FC236}">
              <a16:creationId xmlns:a16="http://schemas.microsoft.com/office/drawing/2014/main" id="{A48D305C-54D5-4995-B027-6EBA8D4B09B3}"/>
            </a:ext>
          </a:extLst>
        </xdr:cNvPr>
        <xdr:cNvPicPr>
          <a:picLocks noChangeAspect="1"/>
        </xdr:cNvPicPr>
      </xdr:nvPicPr>
      <xdr:blipFill>
        <a:blip xmlns:r="http://schemas.openxmlformats.org/officeDocument/2006/relationships" r:embed="rId1">
          <a:clrChange>
            <a:clrFrom>
              <a:srgbClr val="FFFEFD"/>
            </a:clrFrom>
            <a:clrTo>
              <a:srgbClr val="FFFEFD">
                <a:alpha val="0"/>
              </a:srgbClr>
            </a:clrTo>
          </a:clrChange>
        </a:blip>
        <a:stretch>
          <a:fillRect/>
        </a:stretch>
      </xdr:blipFill>
      <xdr:spPr>
        <a:xfrm>
          <a:off x="6627328" y="190501"/>
          <a:ext cx="1197173" cy="64218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6</xdr:col>
      <xdr:colOff>485487</xdr:colOff>
      <xdr:row>4</xdr:row>
      <xdr:rowOff>74491</xdr:rowOff>
    </xdr:to>
    <xdr:pic>
      <xdr:nvPicPr>
        <xdr:cNvPr id="3" name="Picture 2">
          <a:extLst>
            <a:ext uri="{FF2B5EF4-FFF2-40B4-BE49-F238E27FC236}">
              <a16:creationId xmlns:a16="http://schemas.microsoft.com/office/drawing/2014/main" id="{769EE9DB-3A35-4FB2-B877-49890CA2A1C8}"/>
            </a:ext>
          </a:extLst>
        </xdr:cNvPr>
        <xdr:cNvPicPr>
          <a:picLocks noChangeAspect="1"/>
        </xdr:cNvPicPr>
      </xdr:nvPicPr>
      <xdr:blipFill>
        <a:blip xmlns:r="http://schemas.openxmlformats.org/officeDocument/2006/relationships" r:embed="rId1">
          <a:clrChange>
            <a:clrFrom>
              <a:srgbClr val="FFFEFD"/>
            </a:clrFrom>
            <a:clrTo>
              <a:srgbClr val="FFFEFD">
                <a:alpha val="0"/>
              </a:srgbClr>
            </a:clrTo>
          </a:clrChange>
        </a:blip>
        <a:stretch>
          <a:fillRect/>
        </a:stretch>
      </xdr:blipFill>
      <xdr:spPr>
        <a:xfrm>
          <a:off x="5221941" y="179294"/>
          <a:ext cx="1191458" cy="61237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8</xdr:col>
      <xdr:colOff>168473</xdr:colOff>
      <xdr:row>4</xdr:row>
      <xdr:rowOff>70681</xdr:rowOff>
    </xdr:to>
    <xdr:pic>
      <xdr:nvPicPr>
        <xdr:cNvPr id="2" name="Picture 1">
          <a:extLst>
            <a:ext uri="{FF2B5EF4-FFF2-40B4-BE49-F238E27FC236}">
              <a16:creationId xmlns:a16="http://schemas.microsoft.com/office/drawing/2014/main" id="{10244002-EF2A-4E8F-A73E-7450914D1C38}"/>
            </a:ext>
          </a:extLst>
        </xdr:cNvPr>
        <xdr:cNvPicPr>
          <a:picLocks noChangeAspect="1"/>
        </xdr:cNvPicPr>
      </xdr:nvPicPr>
      <xdr:blipFill>
        <a:blip xmlns:r="http://schemas.openxmlformats.org/officeDocument/2006/relationships" r:embed="rId1">
          <a:clrChange>
            <a:clrFrom>
              <a:srgbClr val="FFFEFD"/>
            </a:clrFrom>
            <a:clrTo>
              <a:srgbClr val="FFFEFD">
                <a:alpha val="0"/>
              </a:srgbClr>
            </a:clrTo>
          </a:clrChange>
        </a:blip>
        <a:stretch>
          <a:fillRect/>
        </a:stretch>
      </xdr:blipFill>
      <xdr:spPr>
        <a:xfrm>
          <a:off x="4086225" y="190500"/>
          <a:ext cx="1197173" cy="642181"/>
        </a:xfrm>
        <a:prstGeom prst="rect">
          <a:avLst/>
        </a:prstGeom>
      </xdr:spPr>
    </xdr:pic>
    <xdr:clientData/>
  </xdr:twoCellAnchor>
  <xdr:twoCellAnchor editAs="oneCell">
    <xdr:from>
      <xdr:col>5</xdr:col>
      <xdr:colOff>0</xdr:colOff>
      <xdr:row>1</xdr:row>
      <xdr:rowOff>0</xdr:rowOff>
    </xdr:from>
    <xdr:to>
      <xdr:col>8</xdr:col>
      <xdr:colOff>168473</xdr:colOff>
      <xdr:row>4</xdr:row>
      <xdr:rowOff>70681</xdr:rowOff>
    </xdr:to>
    <xdr:pic>
      <xdr:nvPicPr>
        <xdr:cNvPr id="3" name="Picture 2">
          <a:extLst>
            <a:ext uri="{FF2B5EF4-FFF2-40B4-BE49-F238E27FC236}">
              <a16:creationId xmlns:a16="http://schemas.microsoft.com/office/drawing/2014/main" id="{1D93DFEB-932F-4F2B-ADA9-15B8E778960E}"/>
            </a:ext>
          </a:extLst>
        </xdr:cNvPr>
        <xdr:cNvPicPr>
          <a:picLocks noChangeAspect="1"/>
        </xdr:cNvPicPr>
      </xdr:nvPicPr>
      <xdr:blipFill>
        <a:blip xmlns:r="http://schemas.openxmlformats.org/officeDocument/2006/relationships" r:embed="rId1">
          <a:clrChange>
            <a:clrFrom>
              <a:srgbClr val="FFFEFD"/>
            </a:clrFrom>
            <a:clrTo>
              <a:srgbClr val="FFFEFD">
                <a:alpha val="0"/>
              </a:srgbClr>
            </a:clrTo>
          </a:clrChange>
        </a:blip>
        <a:stretch>
          <a:fillRect/>
        </a:stretch>
      </xdr:blipFill>
      <xdr:spPr>
        <a:xfrm>
          <a:off x="4086225" y="190500"/>
          <a:ext cx="1197173" cy="642181"/>
        </a:xfrm>
        <a:prstGeom prst="rect">
          <a:avLst/>
        </a:prstGeom>
      </xdr:spPr>
    </xdr:pic>
    <xdr:clientData/>
  </xdr:twoCellAnchor>
  <xdr:twoCellAnchor editAs="oneCell">
    <xdr:from>
      <xdr:col>5</xdr:col>
      <xdr:colOff>0</xdr:colOff>
      <xdr:row>1</xdr:row>
      <xdr:rowOff>0</xdr:rowOff>
    </xdr:from>
    <xdr:to>
      <xdr:col>8</xdr:col>
      <xdr:colOff>168473</xdr:colOff>
      <xdr:row>4</xdr:row>
      <xdr:rowOff>70681</xdr:rowOff>
    </xdr:to>
    <xdr:pic>
      <xdr:nvPicPr>
        <xdr:cNvPr id="4" name="Picture 3">
          <a:extLst>
            <a:ext uri="{FF2B5EF4-FFF2-40B4-BE49-F238E27FC236}">
              <a16:creationId xmlns:a16="http://schemas.microsoft.com/office/drawing/2014/main" id="{CFC5A384-5985-44BF-8865-7B321EE22E6D}"/>
            </a:ext>
          </a:extLst>
        </xdr:cNvPr>
        <xdr:cNvPicPr>
          <a:picLocks noChangeAspect="1"/>
        </xdr:cNvPicPr>
      </xdr:nvPicPr>
      <xdr:blipFill>
        <a:blip xmlns:r="http://schemas.openxmlformats.org/officeDocument/2006/relationships" r:embed="rId1">
          <a:clrChange>
            <a:clrFrom>
              <a:srgbClr val="FFFEFD"/>
            </a:clrFrom>
            <a:clrTo>
              <a:srgbClr val="FFFEFD">
                <a:alpha val="0"/>
              </a:srgbClr>
            </a:clrTo>
          </a:clrChange>
        </a:blip>
        <a:stretch>
          <a:fillRect/>
        </a:stretch>
      </xdr:blipFill>
      <xdr:spPr>
        <a:xfrm>
          <a:off x="4086225" y="190500"/>
          <a:ext cx="1197173" cy="642181"/>
        </a:xfrm>
        <a:prstGeom prst="rect">
          <a:avLst/>
        </a:prstGeom>
      </xdr:spPr>
    </xdr:pic>
    <xdr:clientData/>
  </xdr:twoCellAnchor>
  <xdr:twoCellAnchor editAs="oneCell">
    <xdr:from>
      <xdr:col>5</xdr:col>
      <xdr:colOff>0</xdr:colOff>
      <xdr:row>1</xdr:row>
      <xdr:rowOff>0</xdr:rowOff>
    </xdr:from>
    <xdr:to>
      <xdr:col>8</xdr:col>
      <xdr:colOff>168473</xdr:colOff>
      <xdr:row>4</xdr:row>
      <xdr:rowOff>70681</xdr:rowOff>
    </xdr:to>
    <xdr:pic>
      <xdr:nvPicPr>
        <xdr:cNvPr id="5" name="Picture 4">
          <a:extLst>
            <a:ext uri="{FF2B5EF4-FFF2-40B4-BE49-F238E27FC236}">
              <a16:creationId xmlns:a16="http://schemas.microsoft.com/office/drawing/2014/main" id="{4B180C0D-9621-41BF-8BB8-8CFF195A80E4}"/>
            </a:ext>
          </a:extLst>
        </xdr:cNvPr>
        <xdr:cNvPicPr>
          <a:picLocks noChangeAspect="1"/>
        </xdr:cNvPicPr>
      </xdr:nvPicPr>
      <xdr:blipFill>
        <a:blip xmlns:r="http://schemas.openxmlformats.org/officeDocument/2006/relationships" r:embed="rId1">
          <a:clrChange>
            <a:clrFrom>
              <a:srgbClr val="FFFEFD"/>
            </a:clrFrom>
            <a:clrTo>
              <a:srgbClr val="FFFEFD">
                <a:alpha val="0"/>
              </a:srgbClr>
            </a:clrTo>
          </a:clrChange>
        </a:blip>
        <a:stretch>
          <a:fillRect/>
        </a:stretch>
      </xdr:blipFill>
      <xdr:spPr>
        <a:xfrm>
          <a:off x="4086225" y="190500"/>
          <a:ext cx="1197173" cy="6421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rup.sharepoint.com/teams/prj-26714700/DataDocumentsLibrary/4-04%20Calculations/Mech/2020-04-20%20Load%20profiles_accelerated%20phas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rup.sharepoint.com/teams/prj-26714700/DataDocumentsLibrary/4-04%20Calculations/Mech/2020-04-06%20UCB%20utilities%20calculation_old%20phas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arup.sharepoint.com/teams/prj-26714700/DataDocumentsLibrary/4-04%20Calculations/Mech/UCB%20utilities%20calculation_2019-03-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BAR CHARTS"/>
      <sheetName val="SYSTEM LOADS - 0"/>
      <sheetName val="SYSTEM LOADS - 1"/>
      <sheetName val="SYSTEM LOADS - 2"/>
      <sheetName val="SYSTEM LOADS - 6"/>
      <sheetName val="SYSTEM LOADS - 8"/>
      <sheetName val="SYSTEM LOADS - 10a"/>
      <sheetName val="SYSTEM LOADS - 11"/>
      <sheetName val="SYSTEM LOADS - 12"/>
      <sheetName val="PROJECTION"/>
      <sheetName val="ECM TABLE"/>
      <sheetName val="ECM LOOKUP"/>
      <sheetName val="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0">
          <cell r="D70">
            <v>1000</v>
          </cell>
        </row>
        <row r="71">
          <cell r="D71">
            <v>12000</v>
          </cell>
        </row>
        <row r="72">
          <cell r="D72">
            <v>3.4119999999999999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 Inputs"/>
      <sheetName val="Core Inputs"/>
      <sheetName val="Phasing"/>
      <sheetName val="Enhancement Inputs"/>
      <sheetName val="Core Loads"/>
      <sheetName val="Loads - enhancements"/>
      <sheetName val="Core Commodity Use"/>
      <sheetName val="Commodity use- enhancement"/>
      <sheetName val="Outputs"/>
      <sheetName val="Emissions"/>
    </sheetNames>
    <sheetDataSet>
      <sheetData sheetId="0">
        <row r="79">
          <cell r="C79">
            <v>6.7229999999999998E-3</v>
          </cell>
        </row>
      </sheetData>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ility loads"/>
      <sheetName val="Commodity use"/>
      <sheetName val="Carbon emissions"/>
    </sheetNames>
    <sheetDataSet>
      <sheetData sheetId="0" refreshError="1"/>
      <sheetData sheetId="1" refreshError="1"/>
      <sheetData sheetId="2" refreshError="1"/>
    </sheetDataSet>
  </externalBook>
</externalLink>
</file>

<file path=xl/persons/person.xml><?xml version="1.0" encoding="utf-8"?>
<personList xmlns="http://schemas.microsoft.com/office/spreadsheetml/2018/threadedcomments" xmlns:x="http://schemas.openxmlformats.org/spreadsheetml/2006/main">
  <person displayName="Erica Levine" id="{72D77D8F-3A5F-4EAE-806C-FEC65842DD48}" userId="S::Erica.Levine@arup.com::7055d53c-c953-440c-98dc-7fd96e842981" providerId="AD"/>
</personList>
</file>

<file path=xl/theme/theme1.xml><?xml version="1.0" encoding="utf-8"?>
<a:theme xmlns:a="http://schemas.openxmlformats.org/drawingml/2006/main" name="arup standard theme test">
  <a:themeElements>
    <a:clrScheme name="arup standard theme test">
      <a:dk1>
        <a:srgbClr val="000000"/>
      </a:dk1>
      <a:lt1>
        <a:srgbClr val="FFFFFF"/>
      </a:lt1>
      <a:dk2>
        <a:srgbClr val="D2D2D2"/>
      </a:dk2>
      <a:lt2>
        <a:srgbClr val="828282"/>
      </a:lt2>
      <a:accent1>
        <a:srgbClr val="D22D7D"/>
      </a:accent1>
      <a:accent2>
        <a:srgbClr val="28AAE1"/>
      </a:accent2>
      <a:accent3>
        <a:srgbClr val="F05023"/>
      </a:accent3>
      <a:accent4>
        <a:srgbClr val="696EB4"/>
      </a:accent4>
      <a:accent5>
        <a:srgbClr val="FA9B1E"/>
      </a:accent5>
      <a:accent6>
        <a:srgbClr val="28AF73"/>
      </a:accent6>
      <a:hlink>
        <a:srgbClr val="7F7F7F"/>
      </a:hlink>
      <a:folHlink>
        <a:srgbClr val="7F7F7F"/>
      </a:folHlink>
    </a:clrScheme>
    <a:fontScheme name="arup standard theme test">
      <a:majorFont>
        <a:latin typeface="Times New Roman" panose="02020603050405020304"/>
        <a:ea typeface=""/>
        <a:cs typeface=""/>
      </a:majorFont>
      <a:minorFont>
        <a:latin typeface="Times New Roman" panose="02020603050405020304"/>
        <a:ea typeface=""/>
        <a:cs typeface=""/>
      </a:minorFont>
    </a:fontScheme>
    <a:fmtScheme name="arup standard theme tes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arup standard theme test" id="{98EB6D7F-B9FE-47A6-AB51-66E7B6E5A17A}" vid="{64AB668F-5BDA-4BA2-8D5D-D7C60843F7FA}"/>
    </a:ext>
  </a:extLst>
</a:theme>
</file>

<file path=xl/threadedComments/threadedComment1.xml><?xml version="1.0" encoding="utf-8"?>
<ThreadedComments xmlns="http://schemas.microsoft.com/office/spreadsheetml/2018/threadedcomments" xmlns:x="http://schemas.openxmlformats.org/spreadsheetml/2006/main">
  <threadedComment ref="B331" dT="2021-01-26T00:42:48.12" personId="{72D77D8F-3A5F-4EAE-806C-FEC65842DD48}" id="{C00F1148-C299-43F5-A880-CBFEA59CD84B}">
    <text>From cost estimate</text>
  </threadedComment>
  <threadedComment ref="B332" dT="2021-01-26T00:42:52.11" personId="{72D77D8F-3A5F-4EAE-806C-FEC65842DD48}" id="{80812B8D-03D1-40DD-A289-ABCD6B17405D}">
    <text>From cost estimate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0.xml"/><Relationship Id="rId1" Type="http://schemas.openxmlformats.org/officeDocument/2006/relationships/printerSettings" Target="../printerSettings/printerSettings10.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sciencing.com/convert-gravity-pounds-per-gallon-6367099.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B1C8E-5C2D-4B5F-A64B-112840CB970A}">
  <sheetPr>
    <tabColor theme="0"/>
  </sheetPr>
  <dimension ref="B1:K45"/>
  <sheetViews>
    <sheetView showGridLines="0" workbookViewId="0">
      <selection activeCell="L22" sqref="L22"/>
    </sheetView>
  </sheetViews>
  <sheetFormatPr defaultColWidth="9.140625" defaultRowHeight="15" x14ac:dyDescent="0.25"/>
  <cols>
    <col min="1" max="1" width="3.7109375" style="108" customWidth="1"/>
    <col min="2" max="2" width="10.85546875" style="108" customWidth="1"/>
    <col min="3" max="3" width="28" style="108" customWidth="1"/>
    <col min="4" max="4" width="9.140625" style="108"/>
    <col min="5" max="5" width="10.85546875" style="108" customWidth="1"/>
    <col min="6" max="16384" width="9.140625" style="108"/>
  </cols>
  <sheetData>
    <row r="1" spans="2:11" s="1" customFormat="1" x14ac:dyDescent="0.25"/>
    <row r="2" spans="2:11" s="1" customFormat="1" x14ac:dyDescent="0.25">
      <c r="B2" t="s">
        <v>0</v>
      </c>
      <c r="C2" s="105" t="s">
        <v>1</v>
      </c>
      <c r="E2" s="106" t="s">
        <v>2</v>
      </c>
    </row>
    <row r="3" spans="2:11" s="1" customFormat="1" x14ac:dyDescent="0.25">
      <c r="B3" t="s">
        <v>3</v>
      </c>
      <c r="C3" s="105" t="s">
        <v>4</v>
      </c>
      <c r="E3" s="8" t="s">
        <v>5</v>
      </c>
    </row>
    <row r="4" spans="2:11" s="1" customFormat="1" x14ac:dyDescent="0.25">
      <c r="B4" t="s">
        <v>6</v>
      </c>
      <c r="C4" s="105">
        <v>267147</v>
      </c>
      <c r="E4" s="7" t="s">
        <v>7</v>
      </c>
    </row>
    <row r="5" spans="2:11" s="1" customFormat="1" x14ac:dyDescent="0.25">
      <c r="B5"/>
      <c r="C5"/>
      <c r="E5" s="4" t="s">
        <v>8</v>
      </c>
    </row>
    <row r="6" spans="2:11" s="1" customFormat="1" x14ac:dyDescent="0.25">
      <c r="B6"/>
      <c r="C6"/>
      <c r="E6" s="15" t="s">
        <v>9</v>
      </c>
    </row>
    <row r="7" spans="2:11" s="1" customFormat="1" x14ac:dyDescent="0.25">
      <c r="B7"/>
      <c r="C7"/>
    </row>
    <row r="8" spans="2:11" ht="23.25" x14ac:dyDescent="0.35">
      <c r="B8" s="107" t="s">
        <v>355</v>
      </c>
    </row>
    <row r="11" spans="2:11" ht="15" customHeight="1" x14ac:dyDescent="0.25">
      <c r="B11" s="111" t="s">
        <v>356</v>
      </c>
      <c r="C11" s="111"/>
      <c r="D11" s="111"/>
      <c r="E11" s="111"/>
      <c r="F11" s="111"/>
      <c r="G11" s="111"/>
      <c r="H11" s="111"/>
      <c r="I11" s="111"/>
      <c r="J11" s="111"/>
      <c r="K11" s="111"/>
    </row>
    <row r="12" spans="2:11" x14ac:dyDescent="0.25">
      <c r="B12" s="111"/>
      <c r="C12" s="111"/>
      <c r="D12" s="111"/>
      <c r="E12" s="111"/>
      <c r="F12" s="111"/>
      <c r="G12" s="111"/>
      <c r="H12" s="111"/>
      <c r="I12" s="111"/>
      <c r="J12" s="111"/>
      <c r="K12" s="111"/>
    </row>
    <row r="13" spans="2:11" x14ac:dyDescent="0.25">
      <c r="B13" s="111"/>
      <c r="C13" s="111"/>
      <c r="D13" s="111"/>
      <c r="E13" s="111"/>
      <c r="F13" s="111"/>
      <c r="G13" s="111"/>
      <c r="H13" s="111"/>
      <c r="I13" s="111"/>
      <c r="J13" s="111"/>
      <c r="K13" s="111"/>
    </row>
    <row r="14" spans="2:11" x14ac:dyDescent="0.25">
      <c r="B14" s="111"/>
      <c r="C14" s="111"/>
      <c r="D14" s="111"/>
      <c r="E14" s="111"/>
      <c r="F14" s="111"/>
      <c r="G14" s="111"/>
      <c r="H14" s="111"/>
      <c r="I14" s="111"/>
      <c r="J14" s="111"/>
      <c r="K14" s="111"/>
    </row>
    <row r="15" spans="2:11" x14ac:dyDescent="0.25">
      <c r="B15" s="111"/>
      <c r="C15" s="111"/>
      <c r="D15" s="111"/>
      <c r="E15" s="111"/>
      <c r="F15" s="111"/>
      <c r="G15" s="111"/>
      <c r="H15" s="111"/>
      <c r="I15" s="111"/>
      <c r="J15" s="111"/>
      <c r="K15" s="111"/>
    </row>
    <row r="16" spans="2:11" x14ac:dyDescent="0.25">
      <c r="B16" s="111"/>
      <c r="C16" s="111"/>
      <c r="D16" s="111"/>
      <c r="E16" s="111"/>
      <c r="F16" s="111"/>
      <c r="G16" s="111"/>
      <c r="H16" s="111"/>
      <c r="I16" s="111"/>
      <c r="J16" s="111"/>
      <c r="K16" s="111"/>
    </row>
    <row r="17" spans="2:11" x14ac:dyDescent="0.25">
      <c r="B17" s="111"/>
      <c r="C17" s="111"/>
      <c r="D17" s="111"/>
      <c r="E17" s="111"/>
      <c r="F17" s="111"/>
      <c r="G17" s="111"/>
      <c r="H17" s="111"/>
      <c r="I17" s="111"/>
      <c r="J17" s="111"/>
      <c r="K17" s="111"/>
    </row>
    <row r="18" spans="2:11" x14ac:dyDescent="0.25">
      <c r="B18" s="111"/>
      <c r="C18" s="111"/>
      <c r="D18" s="111"/>
      <c r="E18" s="111"/>
      <c r="F18" s="111"/>
      <c r="G18" s="111"/>
      <c r="H18" s="111"/>
      <c r="I18" s="111"/>
      <c r="J18" s="111"/>
      <c r="K18" s="111"/>
    </row>
    <row r="19" spans="2:11" x14ac:dyDescent="0.25">
      <c r="B19" s="111"/>
      <c r="C19" s="111"/>
      <c r="D19" s="111"/>
      <c r="E19" s="111"/>
      <c r="F19" s="111"/>
      <c r="G19" s="111"/>
      <c r="H19" s="111"/>
      <c r="I19" s="111"/>
      <c r="J19" s="111"/>
      <c r="K19" s="111"/>
    </row>
    <row r="20" spans="2:11" x14ac:dyDescent="0.25">
      <c r="B20" s="111"/>
      <c r="C20" s="111"/>
      <c r="D20" s="111"/>
      <c r="E20" s="111"/>
      <c r="F20" s="111"/>
      <c r="G20" s="111"/>
      <c r="H20" s="111"/>
      <c r="I20" s="111"/>
      <c r="J20" s="111"/>
      <c r="K20" s="111"/>
    </row>
    <row r="21" spans="2:11" x14ac:dyDescent="0.25">
      <c r="B21" s="111"/>
      <c r="C21" s="111"/>
      <c r="D21" s="111"/>
      <c r="E21" s="111"/>
      <c r="F21" s="111"/>
      <c r="G21" s="111"/>
      <c r="H21" s="111"/>
      <c r="I21" s="111"/>
      <c r="J21" s="111"/>
      <c r="K21" s="111"/>
    </row>
    <row r="22" spans="2:11" x14ac:dyDescent="0.25">
      <c r="B22" s="111"/>
      <c r="C22" s="111"/>
      <c r="D22" s="111"/>
      <c r="E22" s="111"/>
      <c r="F22" s="111"/>
      <c r="G22" s="111"/>
      <c r="H22" s="111"/>
      <c r="I22" s="111"/>
      <c r="J22" s="111"/>
      <c r="K22" s="111"/>
    </row>
    <row r="23" spans="2:11" x14ac:dyDescent="0.25">
      <c r="B23" s="111"/>
      <c r="C23" s="111"/>
      <c r="D23" s="111"/>
      <c r="E23" s="111"/>
      <c r="F23" s="111"/>
      <c r="G23" s="111"/>
      <c r="H23" s="111"/>
      <c r="I23" s="111"/>
      <c r="J23" s="111"/>
      <c r="K23" s="111"/>
    </row>
    <row r="24" spans="2:11" x14ac:dyDescent="0.25">
      <c r="B24" s="111"/>
      <c r="C24" s="111"/>
      <c r="D24" s="111"/>
      <c r="E24" s="111"/>
      <c r="F24" s="111"/>
      <c r="G24" s="111"/>
      <c r="H24" s="111"/>
      <c r="I24" s="111"/>
      <c r="J24" s="111"/>
      <c r="K24" s="111"/>
    </row>
    <row r="25" spans="2:11" x14ac:dyDescent="0.25">
      <c r="B25" s="111"/>
      <c r="C25" s="111"/>
      <c r="D25" s="111"/>
      <c r="E25" s="111"/>
      <c r="F25" s="111"/>
      <c r="G25" s="111"/>
      <c r="H25" s="111"/>
      <c r="I25" s="111"/>
      <c r="J25" s="111"/>
      <c r="K25" s="111"/>
    </row>
    <row r="26" spans="2:11" x14ac:dyDescent="0.25">
      <c r="B26" s="111"/>
      <c r="C26" s="111"/>
      <c r="D26" s="111"/>
      <c r="E26" s="111"/>
      <c r="F26" s="111"/>
      <c r="G26" s="111"/>
      <c r="H26" s="111"/>
      <c r="I26" s="111"/>
      <c r="J26" s="111"/>
      <c r="K26" s="111"/>
    </row>
    <row r="27" spans="2:11" x14ac:dyDescent="0.25">
      <c r="B27" s="111"/>
      <c r="C27" s="111"/>
      <c r="D27" s="111"/>
      <c r="E27" s="111"/>
      <c r="F27" s="111"/>
      <c r="G27" s="111"/>
      <c r="H27" s="111"/>
      <c r="I27" s="111"/>
      <c r="J27" s="111"/>
      <c r="K27" s="111"/>
    </row>
    <row r="28" spans="2:11" x14ac:dyDescent="0.25">
      <c r="B28" s="111"/>
      <c r="C28" s="111"/>
      <c r="D28" s="111"/>
      <c r="E28" s="111"/>
      <c r="F28" s="111"/>
      <c r="G28" s="111"/>
      <c r="H28" s="111"/>
      <c r="I28" s="111"/>
      <c r="J28" s="111"/>
      <c r="K28" s="111"/>
    </row>
    <row r="29" spans="2:11" x14ac:dyDescent="0.25">
      <c r="B29" s="111"/>
      <c r="C29" s="111"/>
      <c r="D29" s="111"/>
      <c r="E29" s="111"/>
      <c r="F29" s="111"/>
      <c r="G29" s="111"/>
      <c r="H29" s="111"/>
      <c r="I29" s="111"/>
      <c r="J29" s="111"/>
      <c r="K29" s="111"/>
    </row>
    <row r="30" spans="2:11" x14ac:dyDescent="0.25">
      <c r="B30" s="111"/>
      <c r="C30" s="111"/>
      <c r="D30" s="111"/>
      <c r="E30" s="111"/>
      <c r="F30" s="111"/>
      <c r="G30" s="111"/>
      <c r="H30" s="111"/>
      <c r="I30" s="111"/>
      <c r="J30" s="111"/>
      <c r="K30" s="111"/>
    </row>
    <row r="31" spans="2:11" x14ac:dyDescent="0.25">
      <c r="B31" s="111"/>
      <c r="C31" s="111"/>
      <c r="D31" s="111"/>
      <c r="E31" s="111"/>
      <c r="F31" s="111"/>
      <c r="G31" s="111"/>
      <c r="H31" s="111"/>
      <c r="I31" s="111"/>
      <c r="J31" s="111"/>
      <c r="K31" s="111"/>
    </row>
    <row r="32" spans="2:11" x14ac:dyDescent="0.25">
      <c r="B32" s="111"/>
      <c r="C32" s="111"/>
      <c r="D32" s="111"/>
      <c r="E32" s="111"/>
      <c r="F32" s="111"/>
      <c r="G32" s="111"/>
      <c r="H32" s="111"/>
      <c r="I32" s="111"/>
      <c r="J32" s="111"/>
      <c r="K32" s="111"/>
    </row>
    <row r="33" spans="2:11" x14ac:dyDescent="0.25">
      <c r="B33" s="111"/>
      <c r="C33" s="111"/>
      <c r="D33" s="111"/>
      <c r="E33" s="111"/>
      <c r="F33" s="111"/>
      <c r="G33" s="111"/>
      <c r="H33" s="111"/>
      <c r="I33" s="111"/>
      <c r="J33" s="111"/>
      <c r="K33" s="111"/>
    </row>
    <row r="34" spans="2:11" x14ac:dyDescent="0.25">
      <c r="B34" s="111"/>
      <c r="C34" s="111"/>
      <c r="D34" s="111"/>
      <c r="E34" s="111"/>
      <c r="F34" s="111"/>
      <c r="G34" s="111"/>
      <c r="H34" s="111"/>
      <c r="I34" s="111"/>
      <c r="J34" s="111"/>
      <c r="K34" s="111"/>
    </row>
    <row r="35" spans="2:11" x14ac:dyDescent="0.25">
      <c r="B35" s="111"/>
      <c r="C35" s="111"/>
      <c r="D35" s="111"/>
      <c r="E35" s="111"/>
      <c r="F35" s="111"/>
      <c r="G35" s="111"/>
      <c r="H35" s="111"/>
      <c r="I35" s="111"/>
      <c r="J35" s="111"/>
      <c r="K35" s="111"/>
    </row>
    <row r="36" spans="2:11" x14ac:dyDescent="0.25">
      <c r="B36" s="111"/>
      <c r="C36" s="111"/>
      <c r="D36" s="111"/>
      <c r="E36" s="111"/>
      <c r="F36" s="111"/>
      <c r="G36" s="111"/>
      <c r="H36" s="111"/>
      <c r="I36" s="111"/>
      <c r="J36" s="111"/>
      <c r="K36" s="111"/>
    </row>
    <row r="37" spans="2:11" x14ac:dyDescent="0.25">
      <c r="B37" s="111"/>
      <c r="C37" s="111"/>
      <c r="D37" s="111"/>
      <c r="E37" s="111"/>
      <c r="F37" s="111"/>
      <c r="G37" s="111"/>
      <c r="H37" s="111"/>
      <c r="I37" s="111"/>
      <c r="J37" s="111"/>
      <c r="K37" s="111"/>
    </row>
    <row r="38" spans="2:11" x14ac:dyDescent="0.25">
      <c r="B38" s="111"/>
      <c r="C38" s="111"/>
      <c r="D38" s="111"/>
      <c r="E38" s="111"/>
      <c r="F38" s="111"/>
      <c r="G38" s="111"/>
      <c r="H38" s="111"/>
      <c r="I38" s="111"/>
      <c r="J38" s="111"/>
      <c r="K38" s="111"/>
    </row>
    <row r="39" spans="2:11" x14ac:dyDescent="0.25">
      <c r="B39" s="111"/>
      <c r="C39" s="111"/>
      <c r="D39" s="111"/>
      <c r="E39" s="111"/>
      <c r="F39" s="111"/>
      <c r="G39" s="111"/>
      <c r="H39" s="111"/>
      <c r="I39" s="111"/>
      <c r="J39" s="111"/>
      <c r="K39" s="111"/>
    </row>
    <row r="40" spans="2:11" x14ac:dyDescent="0.25">
      <c r="B40" s="111"/>
      <c r="C40" s="111"/>
      <c r="D40" s="111"/>
      <c r="E40" s="111"/>
      <c r="F40" s="111"/>
      <c r="G40" s="111"/>
      <c r="H40" s="111"/>
      <c r="I40" s="111"/>
      <c r="J40" s="111"/>
      <c r="K40" s="111"/>
    </row>
    <row r="41" spans="2:11" x14ac:dyDescent="0.25">
      <c r="B41" s="111"/>
      <c r="C41" s="111"/>
      <c r="D41" s="111"/>
      <c r="E41" s="111"/>
      <c r="F41" s="111"/>
      <c r="G41" s="111"/>
      <c r="H41" s="111"/>
      <c r="I41" s="111"/>
      <c r="J41" s="111"/>
      <c r="K41" s="111"/>
    </row>
    <row r="42" spans="2:11" x14ac:dyDescent="0.25">
      <c r="B42" s="111"/>
      <c r="C42" s="111"/>
      <c r="D42" s="111"/>
      <c r="E42" s="111"/>
      <c r="F42" s="111"/>
      <c r="G42" s="111"/>
      <c r="H42" s="111"/>
      <c r="I42" s="111"/>
      <c r="J42" s="111"/>
      <c r="K42" s="111"/>
    </row>
    <row r="43" spans="2:11" x14ac:dyDescent="0.25">
      <c r="B43" s="111"/>
      <c r="C43" s="111"/>
      <c r="D43" s="111"/>
      <c r="E43" s="111"/>
      <c r="F43" s="111"/>
      <c r="G43" s="111"/>
      <c r="H43" s="111"/>
      <c r="I43" s="111"/>
      <c r="J43" s="111"/>
      <c r="K43" s="111"/>
    </row>
    <row r="44" spans="2:11" x14ac:dyDescent="0.25">
      <c r="B44" s="111"/>
      <c r="C44" s="111"/>
      <c r="D44" s="111"/>
      <c r="E44" s="111"/>
      <c r="F44" s="111"/>
      <c r="G44" s="111"/>
      <c r="H44" s="111"/>
      <c r="I44" s="111"/>
      <c r="J44" s="111"/>
      <c r="K44" s="111"/>
    </row>
    <row r="45" spans="2:11" x14ac:dyDescent="0.25">
      <c r="B45" s="111"/>
      <c r="C45" s="111"/>
      <c r="D45" s="111"/>
      <c r="E45" s="111"/>
      <c r="F45" s="111"/>
      <c r="G45" s="111"/>
      <c r="H45" s="111"/>
      <c r="I45" s="111"/>
      <c r="J45" s="111"/>
      <c r="K45" s="111"/>
    </row>
  </sheetData>
  <mergeCells count="1">
    <mergeCell ref="B11:K45"/>
  </mergeCells>
  <pageMargins left="0.7" right="0.7" top="0.75" bottom="0.75" header="0.3" footer="0.3"/>
  <pageSetup paperSize="264"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810D7-21B5-406C-86B6-13A431C8B98B}">
  <sheetPr>
    <tabColor theme="2" tint="0.59999389629810485"/>
  </sheetPr>
  <dimension ref="B1:EG343"/>
  <sheetViews>
    <sheetView showGridLines="0" topLeftCell="A143" zoomScale="80" zoomScaleNormal="80" workbookViewId="0">
      <selection activeCell="I162" sqref="I162"/>
    </sheetView>
  </sheetViews>
  <sheetFormatPr defaultRowHeight="15" outlineLevelRow="1" x14ac:dyDescent="0.25"/>
  <cols>
    <col min="1" max="1" width="3.7109375" customWidth="1"/>
    <col min="2" max="2" width="14.85546875" customWidth="1"/>
    <col min="3" max="3" width="31.7109375" customWidth="1"/>
    <col min="4" max="33" width="13.140625" style="94" customWidth="1"/>
    <col min="34" max="34" width="11.5703125" customWidth="1"/>
    <col min="36" max="36" width="29.28515625" bestFit="1" customWidth="1"/>
  </cols>
  <sheetData>
    <row r="1" spans="2:103" s="1" customFormat="1" x14ac:dyDescent="0.25">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row>
    <row r="2" spans="2:103" s="1" customFormat="1" x14ac:dyDescent="0.25">
      <c r="B2" s="3" t="s">
        <v>0</v>
      </c>
      <c r="C2" s="8" t="str">
        <f>'Global Inputs'!C2</f>
        <v>UC Berkeley</v>
      </c>
      <c r="D2" s="87"/>
      <c r="E2" s="88" t="s">
        <v>2</v>
      </c>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BP2"/>
      <c r="BQ2"/>
      <c r="BR2"/>
      <c r="BS2"/>
      <c r="BT2"/>
      <c r="BU2"/>
      <c r="BV2"/>
      <c r="BW2"/>
      <c r="BX2"/>
      <c r="BY2"/>
      <c r="BZ2"/>
      <c r="CA2"/>
      <c r="CB2"/>
      <c r="CC2"/>
      <c r="CD2"/>
      <c r="CE2"/>
      <c r="CF2"/>
      <c r="CG2"/>
      <c r="CH2"/>
      <c r="CI2"/>
      <c r="CJ2"/>
      <c r="CK2"/>
      <c r="CL2"/>
      <c r="CM2"/>
      <c r="CN2"/>
      <c r="CO2"/>
      <c r="CP2"/>
      <c r="CQ2"/>
      <c r="CR2"/>
      <c r="CS2"/>
      <c r="CT2"/>
      <c r="CU2"/>
      <c r="CV2"/>
      <c r="CW2"/>
      <c r="CX2"/>
      <c r="CY2"/>
    </row>
    <row r="3" spans="2:103" s="1" customFormat="1" x14ac:dyDescent="0.25">
      <c r="B3" s="3" t="s">
        <v>3</v>
      </c>
      <c r="C3" s="8" t="str">
        <f>'Global Inputs'!C3</f>
        <v>Campus energy study update</v>
      </c>
      <c r="D3" s="87"/>
      <c r="E3" s="89" t="s">
        <v>5</v>
      </c>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BB3" s="3"/>
      <c r="BP3"/>
      <c r="BQ3"/>
      <c r="BR3"/>
      <c r="BS3"/>
      <c r="BT3"/>
      <c r="BU3"/>
      <c r="BV3"/>
      <c r="BW3"/>
      <c r="BX3"/>
      <c r="BY3"/>
      <c r="BZ3"/>
      <c r="CA3"/>
      <c r="CB3"/>
      <c r="CC3"/>
      <c r="CD3"/>
      <c r="CE3"/>
      <c r="CF3"/>
      <c r="CG3"/>
      <c r="CH3"/>
      <c r="CI3"/>
      <c r="CJ3"/>
      <c r="CK3"/>
      <c r="CL3"/>
      <c r="CM3"/>
      <c r="CN3"/>
      <c r="CO3"/>
      <c r="CP3"/>
      <c r="CQ3"/>
      <c r="CR3"/>
      <c r="CS3"/>
      <c r="CT3"/>
      <c r="CU3"/>
      <c r="CV3"/>
      <c r="CW3"/>
      <c r="CX3"/>
      <c r="CY3"/>
    </row>
    <row r="4" spans="2:103" s="1" customFormat="1" x14ac:dyDescent="0.25">
      <c r="B4" s="3" t="s">
        <v>6</v>
      </c>
      <c r="C4" s="8">
        <f>'Global Inputs'!C4</f>
        <v>267147</v>
      </c>
      <c r="D4" s="87"/>
      <c r="E4" s="90" t="s">
        <v>7</v>
      </c>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BB4" s="3"/>
      <c r="BP4"/>
      <c r="BQ4"/>
      <c r="BR4"/>
      <c r="BS4"/>
      <c r="BT4"/>
      <c r="BU4"/>
      <c r="BV4"/>
      <c r="BW4"/>
      <c r="BX4"/>
      <c r="BY4"/>
      <c r="BZ4"/>
      <c r="CA4"/>
      <c r="CB4"/>
      <c r="CC4"/>
      <c r="CD4"/>
      <c r="CE4"/>
      <c r="CF4"/>
      <c r="CG4"/>
      <c r="CH4"/>
      <c r="CI4"/>
      <c r="CJ4"/>
      <c r="CK4"/>
      <c r="CL4"/>
      <c r="CM4"/>
      <c r="CN4"/>
      <c r="CO4"/>
      <c r="CP4"/>
      <c r="CQ4"/>
      <c r="CR4"/>
      <c r="CS4"/>
      <c r="CT4"/>
      <c r="CU4"/>
      <c r="CV4"/>
      <c r="CW4"/>
      <c r="CX4"/>
      <c r="CY4"/>
    </row>
    <row r="5" spans="2:103" s="1" customFormat="1" x14ac:dyDescent="0.25">
      <c r="B5" s="3"/>
      <c r="C5" s="3"/>
      <c r="D5" s="87"/>
      <c r="E5" s="91" t="s">
        <v>8</v>
      </c>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BP5"/>
      <c r="BQ5"/>
      <c r="BR5"/>
      <c r="BS5"/>
      <c r="BT5"/>
      <c r="BU5"/>
      <c r="BV5"/>
      <c r="BW5"/>
      <c r="BX5"/>
      <c r="BY5"/>
      <c r="BZ5"/>
      <c r="CA5"/>
      <c r="CB5"/>
      <c r="CC5"/>
      <c r="CD5"/>
      <c r="CE5"/>
      <c r="CF5"/>
      <c r="CG5"/>
      <c r="CH5"/>
      <c r="CI5"/>
      <c r="CJ5"/>
      <c r="CK5"/>
      <c r="CL5"/>
      <c r="CM5"/>
      <c r="CN5"/>
      <c r="CO5"/>
      <c r="CP5"/>
      <c r="CQ5"/>
      <c r="CR5"/>
      <c r="CS5"/>
      <c r="CT5"/>
      <c r="CU5"/>
      <c r="CV5"/>
      <c r="CW5"/>
      <c r="CX5"/>
      <c r="CY5"/>
    </row>
    <row r="6" spans="2:103" s="1" customFormat="1" x14ac:dyDescent="0.25">
      <c r="B6" s="3"/>
      <c r="C6" s="3"/>
      <c r="D6" s="87"/>
      <c r="E6" s="92" t="s">
        <v>9</v>
      </c>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BP6"/>
      <c r="BQ6"/>
      <c r="BR6"/>
      <c r="BS6"/>
      <c r="BT6"/>
      <c r="BU6"/>
      <c r="BV6"/>
      <c r="BW6"/>
      <c r="BX6"/>
      <c r="BY6"/>
      <c r="BZ6"/>
      <c r="CA6"/>
      <c r="CB6"/>
      <c r="CC6"/>
      <c r="CD6"/>
      <c r="CE6"/>
      <c r="CF6"/>
      <c r="CG6"/>
      <c r="CH6"/>
      <c r="CI6"/>
      <c r="CJ6"/>
      <c r="CK6"/>
      <c r="CL6"/>
      <c r="CM6"/>
      <c r="CN6"/>
      <c r="CO6"/>
      <c r="CP6"/>
      <c r="CQ6"/>
      <c r="CR6"/>
      <c r="CS6"/>
      <c r="CT6"/>
      <c r="CU6"/>
      <c r="CV6"/>
      <c r="CW6"/>
      <c r="CX6"/>
      <c r="CY6"/>
    </row>
    <row r="7" spans="2:103" s="1" customFormat="1" x14ac:dyDescent="0.25">
      <c r="B7" s="3"/>
      <c r="C7" s="3"/>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BP7"/>
      <c r="BQ7"/>
      <c r="BR7"/>
      <c r="BS7"/>
      <c r="BT7"/>
      <c r="BU7"/>
      <c r="BV7"/>
      <c r="BW7"/>
      <c r="BX7"/>
      <c r="BY7"/>
      <c r="BZ7"/>
      <c r="CA7"/>
      <c r="CB7"/>
      <c r="CC7"/>
      <c r="CD7"/>
      <c r="CE7"/>
      <c r="CF7"/>
      <c r="CG7"/>
      <c r="CH7"/>
      <c r="CI7"/>
      <c r="CJ7"/>
      <c r="CK7"/>
      <c r="CL7"/>
      <c r="CM7"/>
      <c r="CN7"/>
      <c r="CO7"/>
      <c r="CP7"/>
      <c r="CQ7"/>
      <c r="CR7"/>
      <c r="CS7"/>
      <c r="CT7"/>
      <c r="CU7"/>
      <c r="CV7"/>
      <c r="CW7"/>
      <c r="CX7"/>
      <c r="CY7"/>
    </row>
    <row r="8" spans="2:103" s="1" customFormat="1" ht="23.25" x14ac:dyDescent="0.35">
      <c r="B8" s="2" t="s">
        <v>305</v>
      </c>
      <c r="C8" s="2"/>
      <c r="D8" s="93"/>
      <c r="E8" s="93"/>
      <c r="F8" s="93"/>
      <c r="G8" s="93"/>
      <c r="H8" s="93"/>
      <c r="I8" s="93"/>
      <c r="J8" s="93"/>
      <c r="K8" s="87"/>
      <c r="L8" s="87"/>
      <c r="M8" s="93"/>
      <c r="N8" s="87"/>
      <c r="O8" s="87"/>
      <c r="P8" s="93"/>
      <c r="Q8" s="87"/>
      <c r="R8" s="87"/>
      <c r="S8" s="87"/>
      <c r="T8" s="87"/>
      <c r="U8" s="87"/>
      <c r="V8" s="87"/>
      <c r="W8" s="87"/>
      <c r="X8" s="87"/>
      <c r="Y8" s="87"/>
      <c r="Z8" s="87"/>
      <c r="AA8" s="87"/>
      <c r="AB8" s="87"/>
      <c r="AC8" s="87"/>
      <c r="AD8" s="87"/>
      <c r="AE8" s="87"/>
      <c r="AF8" s="87"/>
      <c r="AG8" s="87"/>
      <c r="BP8"/>
      <c r="BQ8"/>
      <c r="BR8"/>
      <c r="BS8"/>
      <c r="BT8"/>
      <c r="BU8"/>
      <c r="BV8"/>
      <c r="BW8"/>
      <c r="BX8"/>
      <c r="BY8"/>
      <c r="BZ8"/>
      <c r="CA8"/>
      <c r="CB8"/>
      <c r="CC8"/>
      <c r="CD8"/>
      <c r="CE8"/>
      <c r="CF8"/>
      <c r="CG8"/>
      <c r="CH8"/>
      <c r="CI8"/>
      <c r="CJ8"/>
      <c r="CK8"/>
      <c r="CL8"/>
      <c r="CM8"/>
      <c r="CN8"/>
      <c r="CO8"/>
      <c r="CP8"/>
      <c r="CQ8"/>
      <c r="CR8"/>
      <c r="CS8"/>
      <c r="CT8"/>
      <c r="CU8"/>
      <c r="CV8"/>
      <c r="CW8"/>
      <c r="CX8"/>
      <c r="CY8"/>
    </row>
    <row r="11" spans="2:103" ht="20.25" thickBot="1" x14ac:dyDescent="0.35">
      <c r="B11" s="18" t="s">
        <v>306</v>
      </c>
      <c r="C11" s="18"/>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18"/>
      <c r="AI11" s="18"/>
      <c r="AJ11" s="18"/>
      <c r="AK11" s="18"/>
      <c r="AL11" s="18"/>
      <c r="AM11" s="18" t="s">
        <v>307</v>
      </c>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row>
    <row r="12" spans="2:103" s="1" customFormat="1" ht="18" hidden="1" outlineLevel="1" thickTop="1" thickBot="1" x14ac:dyDescent="0.3">
      <c r="B12" s="19" t="s">
        <v>276</v>
      </c>
      <c r="C12" s="19"/>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c r="AD12" s="96"/>
      <c r="AE12" s="96"/>
      <c r="AF12" s="96"/>
      <c r="AG12" s="96"/>
      <c r="AH12" s="19"/>
      <c r="AI12" s="19"/>
      <c r="AJ12" s="19"/>
      <c r="AM12" s="19" t="s">
        <v>309</v>
      </c>
      <c r="AN12" s="19"/>
      <c r="AO12" s="19"/>
      <c r="AP12" s="19"/>
      <c r="AQ12" s="19"/>
      <c r="AR12" s="19"/>
      <c r="AS12" s="19"/>
      <c r="AT12" s="19"/>
      <c r="AU12" s="19"/>
      <c r="AV12" s="19"/>
      <c r="AW12" s="19"/>
      <c r="AX12" s="19"/>
      <c r="AZ12"/>
      <c r="BA12"/>
      <c r="BB12"/>
      <c r="BC12"/>
      <c r="BD12"/>
      <c r="BE12"/>
      <c r="BF12"/>
      <c r="BG12"/>
      <c r="BH12"/>
      <c r="BI12"/>
      <c r="BJ12"/>
      <c r="BK12"/>
      <c r="BL12"/>
      <c r="BM12"/>
      <c r="BN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row>
    <row r="13" spans="2:103" s="1" customFormat="1" ht="16.5" hidden="1" outlineLevel="1" thickTop="1" thickBot="1" x14ac:dyDescent="0.3">
      <c r="B13" s="20" t="s">
        <v>310</v>
      </c>
      <c r="C13" s="20" t="s">
        <v>13</v>
      </c>
      <c r="D13" s="97" t="s">
        <v>17</v>
      </c>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20" t="s">
        <v>224</v>
      </c>
      <c r="AI13" s="20"/>
      <c r="AJ13" s="20" t="s">
        <v>15</v>
      </c>
      <c r="AZ13"/>
      <c r="BA13"/>
      <c r="BB13"/>
      <c r="BC13"/>
      <c r="BD13"/>
      <c r="BE13"/>
      <c r="BF13"/>
      <c r="BG13"/>
      <c r="BH13"/>
      <c r="BI13"/>
      <c r="BJ13"/>
      <c r="BK13"/>
      <c r="BL13"/>
      <c r="BM13"/>
      <c r="BN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row>
    <row r="14" spans="2:103" hidden="1" outlineLevel="1" x14ac:dyDescent="0.25">
      <c r="D14" s="100">
        <f>'Core Loads'!$C$14</f>
        <v>2025</v>
      </c>
      <c r="E14" s="100">
        <f>'Core Loads'!$D$14</f>
        <v>2026</v>
      </c>
      <c r="F14" s="100">
        <f>'Core Loads'!$E$14</f>
        <v>2027</v>
      </c>
      <c r="G14" s="100">
        <f>'Core Loads'!$F$14</f>
        <v>2028</v>
      </c>
      <c r="H14" s="100">
        <f>'Core Loads'!$G$14</f>
        <v>2029</v>
      </c>
      <c r="I14" s="100">
        <f>'Core Loads'!$H$14</f>
        <v>2030</v>
      </c>
      <c r="J14" s="100">
        <f>'Core Loads'!$I$14</f>
        <v>2031</v>
      </c>
      <c r="K14" s="100">
        <f>'Core Loads'!$J$14</f>
        <v>2032</v>
      </c>
      <c r="L14" s="100">
        <f>'Core Loads'!$K$14</f>
        <v>2033</v>
      </c>
      <c r="M14" s="100">
        <f>'Core Loads'!$L$14</f>
        <v>2034</v>
      </c>
      <c r="N14" s="100">
        <f>'Core Loads'!$M$14</f>
        <v>2035</v>
      </c>
      <c r="O14" s="100">
        <f>'Core Loads'!$N$14</f>
        <v>2036</v>
      </c>
      <c r="P14" s="100">
        <f>'Core Loads'!$O$14</f>
        <v>2037</v>
      </c>
      <c r="Q14" s="100">
        <f>'Core Loads'!$P$14</f>
        <v>2038</v>
      </c>
      <c r="R14" s="100">
        <f>'Core Loads'!$Q$14</f>
        <v>2039</v>
      </c>
      <c r="S14" s="100">
        <f>'Core Loads'!$R$14</f>
        <v>2040</v>
      </c>
      <c r="T14" s="100">
        <f>'Core Loads'!$S$14</f>
        <v>2041</v>
      </c>
      <c r="U14" s="100">
        <f>'Core Loads'!$T$14</f>
        <v>2042</v>
      </c>
      <c r="V14" s="100">
        <f>'Core Loads'!$U$14</f>
        <v>2043</v>
      </c>
      <c r="W14" s="100">
        <f>'Core Loads'!$V$14</f>
        <v>2044</v>
      </c>
      <c r="X14" s="100">
        <f>'Core Loads'!$W$14</f>
        <v>2045</v>
      </c>
      <c r="Y14" s="100">
        <f>'Core Loads'!$X$14</f>
        <v>2046</v>
      </c>
      <c r="Z14" s="100">
        <f>'Core Loads'!$Y$14</f>
        <v>2047</v>
      </c>
      <c r="AA14" s="100">
        <f>'Core Loads'!$Z$14</f>
        <v>2048</v>
      </c>
      <c r="AB14" s="100">
        <f>'Core Loads'!$AA$14</f>
        <v>2049</v>
      </c>
      <c r="AC14" s="100">
        <f>'Core Loads'!$AB$14</f>
        <v>2050</v>
      </c>
      <c r="AD14" s="100">
        <f>'Core Loads'!$AC$14</f>
        <v>2051</v>
      </c>
      <c r="AE14" s="100">
        <f>'Core Loads'!$AD$14</f>
        <v>2052</v>
      </c>
      <c r="AF14" s="100">
        <f>'Core Loads'!$AE$14</f>
        <v>2053</v>
      </c>
      <c r="AG14" s="100">
        <f>'Core Loads'!$AF$14</f>
        <v>2054</v>
      </c>
      <c r="AH14" s="8"/>
    </row>
    <row r="15" spans="2:103" s="1" customFormat="1" hidden="1" outlineLevel="1" x14ac:dyDescent="0.25">
      <c r="B15" t="s">
        <v>141</v>
      </c>
      <c r="C15" t="s">
        <v>109</v>
      </c>
      <c r="D15" s="98">
        <f>'Core Commodities Use'!D15+'Core Commodities Use'!D22</f>
        <v>0</v>
      </c>
      <c r="E15" s="98">
        <f>'Core Commodities Use'!E15+'Core Commodities Use'!E22</f>
        <v>0</v>
      </c>
      <c r="F15" s="98">
        <f>'Core Commodities Use'!F15+'Core Commodities Use'!F22</f>
        <v>0</v>
      </c>
      <c r="G15" s="98">
        <f>'Core Commodities Use'!G15+'Core Commodities Use'!G22</f>
        <v>0</v>
      </c>
      <c r="H15" s="98">
        <f>'Core Commodities Use'!H15+'Core Commodities Use'!H22</f>
        <v>0</v>
      </c>
      <c r="I15" s="98">
        <f>'Core Commodities Use'!I15+'Core Commodities Use'!I22</f>
        <v>16120936.061962306</v>
      </c>
      <c r="J15" s="98">
        <f>'Core Commodities Use'!J15+'Core Commodities Use'!J22</f>
        <v>16120936.061962306</v>
      </c>
      <c r="K15" s="98">
        <f>'Core Commodities Use'!K15+'Core Commodities Use'!K22</f>
        <v>15369930.189866841</v>
      </c>
      <c r="L15" s="98">
        <f>'Core Commodities Use'!L15+'Core Commodities Use'!L22</f>
        <v>15369930.189866841</v>
      </c>
      <c r="M15" s="98">
        <f>'Core Commodities Use'!M15+'Core Commodities Use'!M22</f>
        <v>15619355.110337764</v>
      </c>
      <c r="N15" s="98">
        <f>'Core Commodities Use'!N15+'Core Commodities Use'!N22</f>
        <v>15619355.110337764</v>
      </c>
      <c r="O15" s="98">
        <f>'Core Commodities Use'!O15+'Core Commodities Use'!O22</f>
        <v>14493235.714921474</v>
      </c>
      <c r="P15" s="98">
        <f>'Core Commodities Use'!P15+'Core Commodities Use'!P22</f>
        <v>14493235.714921474</v>
      </c>
      <c r="Q15" s="98">
        <f>'Core Commodities Use'!Q15+'Core Commodities Use'!Q22</f>
        <v>14406600.08308357</v>
      </c>
      <c r="R15" s="98">
        <f>'Core Commodities Use'!R15+'Core Commodities Use'!R22</f>
        <v>14406600.08308357</v>
      </c>
      <c r="S15" s="98">
        <f>'Core Commodities Use'!S15+'Core Commodities Use'!S22</f>
        <v>56453362.99320361</v>
      </c>
      <c r="T15" s="98">
        <f>'Core Commodities Use'!T15+'Core Commodities Use'!T22</f>
        <v>56453362.99320361</v>
      </c>
      <c r="U15" s="98">
        <f>'Core Commodities Use'!U15+'Core Commodities Use'!U22</f>
        <v>56453362.99320361</v>
      </c>
      <c r="V15" s="98">
        <f>'Core Commodities Use'!V15+'Core Commodities Use'!V22</f>
        <v>56453362.99320361</v>
      </c>
      <c r="W15" s="98">
        <f>'Core Commodities Use'!W15+'Core Commodities Use'!W22</f>
        <v>55851163.225441098</v>
      </c>
      <c r="X15" s="98">
        <f>'Core Commodities Use'!X15+'Core Commodities Use'!X22</f>
        <v>55851163.225441098</v>
      </c>
      <c r="Y15" s="98">
        <f>'Core Commodities Use'!Y15+'Core Commodities Use'!Y22</f>
        <v>55851163.225441098</v>
      </c>
      <c r="Z15" s="98">
        <f>'Core Commodities Use'!Z15+'Core Commodities Use'!Z22</f>
        <v>55851163.225441098</v>
      </c>
      <c r="AA15" s="98">
        <f>'Core Commodities Use'!AA15+'Core Commodities Use'!AA22</f>
        <v>55851163.225441098</v>
      </c>
      <c r="AB15" s="98">
        <f>'Core Commodities Use'!AB15+'Core Commodities Use'!AB22</f>
        <v>55851163.225441098</v>
      </c>
      <c r="AC15" s="98">
        <f>'Core Commodities Use'!AC15+'Core Commodities Use'!AC22</f>
        <v>55108147.051527828</v>
      </c>
      <c r="AD15" s="98">
        <f>'Core Commodities Use'!AD15+'Core Commodities Use'!AD22</f>
        <v>55108147.051527828</v>
      </c>
      <c r="AE15" s="98">
        <f>'Core Commodities Use'!AE15+'Core Commodities Use'!AE22</f>
        <v>55108147.051527828</v>
      </c>
      <c r="AF15" s="98">
        <f>'Core Commodities Use'!AF15+'Core Commodities Use'!AF22</f>
        <v>55108147.051527828</v>
      </c>
      <c r="AG15" s="98">
        <f>'Core Commodities Use'!AG15+'Core Commodities Use'!AG22</f>
        <v>55108147.051527828</v>
      </c>
      <c r="AH15" s="53">
        <f>SUM(D15:AG15)</f>
        <v>988481280.90344429</v>
      </c>
      <c r="AI15"/>
      <c r="AJ15" s="23" t="s">
        <v>311</v>
      </c>
      <c r="AZ15"/>
      <c r="BA15"/>
      <c r="BB15"/>
      <c r="BC15"/>
      <c r="BD15"/>
      <c r="BE15"/>
      <c r="BF15"/>
      <c r="BG15"/>
      <c r="BH15"/>
      <c r="BI15"/>
      <c r="BJ15"/>
      <c r="BK15"/>
      <c r="BL15"/>
      <c r="BM15"/>
      <c r="BN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row>
    <row r="16" spans="2:103" s="1" customFormat="1" hidden="1" outlineLevel="1" x14ac:dyDescent="0.25">
      <c r="B16" t="s">
        <v>136</v>
      </c>
      <c r="C16" t="s">
        <v>169</v>
      </c>
      <c r="D16" s="98">
        <f>'Core Commodities Use'!D16+'Core Commodities Use'!D23</f>
        <v>32306018.995659515</v>
      </c>
      <c r="E16" s="98">
        <f>'Core Commodities Use'!E16+'Core Commodities Use'!E23</f>
        <v>32306018.995659515</v>
      </c>
      <c r="F16" s="98">
        <f>'Core Commodities Use'!F16+'Core Commodities Use'!F23</f>
        <v>30132827.331343558</v>
      </c>
      <c r="G16" s="98">
        <f>'Core Commodities Use'!G16+'Core Commodities Use'!G23</f>
        <v>29794799.628082097</v>
      </c>
      <c r="H16" s="98">
        <f>'Core Commodities Use'!H16+'Core Commodities Use'!H23</f>
        <v>29794799.628082097</v>
      </c>
      <c r="I16" s="98">
        <f>'Core Commodities Use'!I16+'Core Commodities Use'!I23</f>
        <v>27449723.843706705</v>
      </c>
      <c r="J16" s="98">
        <f>'Core Commodities Use'!J16+'Core Commodities Use'!J23</f>
        <v>27449723.843706705</v>
      </c>
      <c r="K16" s="98">
        <f>'Core Commodities Use'!K16+'Core Commodities Use'!K23</f>
        <v>20733939.16920644</v>
      </c>
      <c r="L16" s="98">
        <f>'Core Commodities Use'!L16+'Core Commodities Use'!L23</f>
        <v>20733939.16920644</v>
      </c>
      <c r="M16" s="98">
        <f>'Core Commodities Use'!M16+'Core Commodities Use'!M23</f>
        <v>20515133.018525284</v>
      </c>
      <c r="N16" s="98">
        <f>'Core Commodities Use'!N16+'Core Commodities Use'!N23</f>
        <v>20515133.018525284</v>
      </c>
      <c r="O16" s="98">
        <f>'Core Commodities Use'!O16+'Core Commodities Use'!O23</f>
        <v>20165629.343511086</v>
      </c>
      <c r="P16" s="98">
        <f>'Core Commodities Use'!P16+'Core Commodities Use'!P23</f>
        <v>20165629.343511086</v>
      </c>
      <c r="Q16" s="98">
        <f>'Core Commodities Use'!Q16+'Core Commodities Use'!Q23</f>
        <v>20079479.187881581</v>
      </c>
      <c r="R16" s="98">
        <f>'Core Commodities Use'!R16+'Core Commodities Use'!R23</f>
        <v>20079479.187881581</v>
      </c>
      <c r="S16" s="98">
        <f>'Core Commodities Use'!S16+'Core Commodities Use'!S23</f>
        <v>21078142.05741189</v>
      </c>
      <c r="T16" s="98">
        <f>'Core Commodities Use'!T16+'Core Commodities Use'!T23</f>
        <v>21078142.05741189</v>
      </c>
      <c r="U16" s="98">
        <f>'Core Commodities Use'!U16+'Core Commodities Use'!U23</f>
        <v>21036465.612994228</v>
      </c>
      <c r="V16" s="98">
        <f>'Core Commodities Use'!V16+'Core Commodities Use'!V23</f>
        <v>21036465.612994228</v>
      </c>
      <c r="W16" s="98">
        <f>'Core Commodities Use'!W16+'Core Commodities Use'!W23</f>
        <v>20992982.374243401</v>
      </c>
      <c r="X16" s="98">
        <f>'Core Commodities Use'!X16+'Core Commodities Use'!X23</f>
        <v>20992982.374243401</v>
      </c>
      <c r="Y16" s="98">
        <f>'Core Commodities Use'!Y16+'Core Commodities Use'!Y23</f>
        <v>20992982.374243401</v>
      </c>
      <c r="Z16" s="98">
        <f>'Core Commodities Use'!Z16+'Core Commodities Use'!Z23</f>
        <v>20992982.374243401</v>
      </c>
      <c r="AA16" s="98">
        <f>'Core Commodities Use'!AA16+'Core Commodities Use'!AA23</f>
        <v>20992982.374243401</v>
      </c>
      <c r="AB16" s="98">
        <f>'Core Commodities Use'!AB16+'Core Commodities Use'!AB23</f>
        <v>20992982.374243401</v>
      </c>
      <c r="AC16" s="98">
        <f>'Core Commodities Use'!AC16+'Core Commodities Use'!AC23</f>
        <v>20949393.643305462</v>
      </c>
      <c r="AD16" s="98">
        <f>'Core Commodities Use'!AD16+'Core Commodities Use'!AD23</f>
        <v>20949393.643305462</v>
      </c>
      <c r="AE16" s="98">
        <f>'Core Commodities Use'!AE16+'Core Commodities Use'!AE23</f>
        <v>20949393.643305462</v>
      </c>
      <c r="AF16" s="98">
        <f>'Core Commodities Use'!AF16+'Core Commodities Use'!AF23</f>
        <v>20949393.643305462</v>
      </c>
      <c r="AG16" s="98">
        <f>'Core Commodities Use'!AG16+'Core Commodities Use'!AG23</f>
        <v>20949393.643305462</v>
      </c>
      <c r="AH16" s="53">
        <f t="shared" ref="AH16:AH18" si="0">SUM(D16:AG16)</f>
        <v>687156351.50728881</v>
      </c>
      <c r="AI16"/>
      <c r="AJ16" s="23" t="s">
        <v>311</v>
      </c>
      <c r="AZ16"/>
      <c r="BA16"/>
      <c r="BB16"/>
      <c r="BC16"/>
      <c r="BD16"/>
      <c r="BE16"/>
      <c r="BF16"/>
      <c r="BG16"/>
      <c r="BH16"/>
      <c r="BI16"/>
      <c r="BJ16"/>
      <c r="BK16"/>
      <c r="BL16"/>
      <c r="BM16"/>
      <c r="BN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row>
    <row r="17" spans="2:103" s="1" customFormat="1" hidden="1" outlineLevel="1" x14ac:dyDescent="0.25">
      <c r="B17" t="s">
        <v>154</v>
      </c>
      <c r="C17" t="s">
        <v>170</v>
      </c>
      <c r="D17" s="98">
        <f>'Core Commodities Use'!D17+'Core Commodities Use'!D24</f>
        <v>244502.94162997318</v>
      </c>
      <c r="E17" s="98">
        <f>'Core Commodities Use'!E17+'Core Commodities Use'!E24</f>
        <v>263270.76555360644</v>
      </c>
      <c r="F17" s="98">
        <f>'Core Commodities Use'!F17+'Core Commodities Use'!F24</f>
        <v>242776.84616745566</v>
      </c>
      <c r="G17" s="98">
        <f>'Core Commodities Use'!G17+'Core Commodities Use'!G24</f>
        <v>262367.12817555445</v>
      </c>
      <c r="H17" s="98">
        <f>'Core Commodities Use'!H17+'Core Commodities Use'!H24</f>
        <v>262367.12817555445</v>
      </c>
      <c r="I17" s="98">
        <f>'Core Commodities Use'!I17+'Core Commodities Use'!I24</f>
        <v>270875.83454919013</v>
      </c>
      <c r="J17" s="98">
        <f>'Core Commodities Use'!J17+'Core Commodities Use'!J24</f>
        <v>270875.83454919013</v>
      </c>
      <c r="K17" s="98">
        <f>'Core Commodities Use'!K17+'Core Commodities Use'!K24</f>
        <v>260455.06022020319</v>
      </c>
      <c r="L17" s="98">
        <f>'Core Commodities Use'!L17+'Core Commodities Use'!L24</f>
        <v>260455.06022020319</v>
      </c>
      <c r="M17" s="98">
        <f>'Core Commodities Use'!M17+'Core Commodities Use'!M24</f>
        <v>262015.96304573605</v>
      </c>
      <c r="N17" s="98">
        <f>'Core Commodities Use'!N17+'Core Commodities Use'!N24</f>
        <v>262015.96304573605</v>
      </c>
      <c r="O17" s="98">
        <f>'Core Commodities Use'!O17+'Core Commodities Use'!O24</f>
        <v>258895.12716426712</v>
      </c>
      <c r="P17" s="98">
        <f>'Core Commodities Use'!P17+'Core Commodities Use'!P24</f>
        <v>258895.12716426712</v>
      </c>
      <c r="Q17" s="98">
        <f>'Core Commodities Use'!Q17+'Core Commodities Use'!Q24</f>
        <v>258186.918357205</v>
      </c>
      <c r="R17" s="98">
        <f>'Core Commodities Use'!R17+'Core Commodities Use'!R24</f>
        <v>258186.918357205</v>
      </c>
      <c r="S17" s="98">
        <f>'Core Commodities Use'!S17+'Core Commodities Use'!S24</f>
        <v>292697.91370478703</v>
      </c>
      <c r="T17" s="98">
        <f>'Core Commodities Use'!T17+'Core Commodities Use'!T24</f>
        <v>292697.91370478703</v>
      </c>
      <c r="U17" s="98">
        <f>'Core Commodities Use'!U17+'Core Commodities Use'!U24</f>
        <v>292485.95395244943</v>
      </c>
      <c r="V17" s="98">
        <f>'Core Commodities Use'!V17+'Core Commodities Use'!V24</f>
        <v>292485.95395244943</v>
      </c>
      <c r="W17" s="98">
        <f>'Core Commodities Use'!W17+'Core Commodities Use'!W24</f>
        <v>291756.69440303242</v>
      </c>
      <c r="X17" s="98">
        <f>'Core Commodities Use'!X17+'Core Commodities Use'!X24</f>
        <v>291756.69440303242</v>
      </c>
      <c r="Y17" s="98">
        <f>'Core Commodities Use'!Y17+'Core Commodities Use'!Y24</f>
        <v>291756.69440303242</v>
      </c>
      <c r="Z17" s="98">
        <f>'Core Commodities Use'!Z17+'Core Commodities Use'!Z24</f>
        <v>291756.69440303242</v>
      </c>
      <c r="AA17" s="98">
        <f>'Core Commodities Use'!AA17+'Core Commodities Use'!AA24</f>
        <v>291756.69440303242</v>
      </c>
      <c r="AB17" s="98">
        <f>'Core Commodities Use'!AB17+'Core Commodities Use'!AB24</f>
        <v>291756.69440303242</v>
      </c>
      <c r="AC17" s="98">
        <f>'Core Commodities Use'!AC17+'Core Commodities Use'!AC24</f>
        <v>290846.81169120385</v>
      </c>
      <c r="AD17" s="98">
        <f>'Core Commodities Use'!AD17+'Core Commodities Use'!AD24</f>
        <v>290846.81169120385</v>
      </c>
      <c r="AE17" s="98">
        <f>'Core Commodities Use'!AE17+'Core Commodities Use'!AE24</f>
        <v>290846.81169120385</v>
      </c>
      <c r="AF17" s="98">
        <f>'Core Commodities Use'!AF17+'Core Commodities Use'!AF24</f>
        <v>290846.81169120385</v>
      </c>
      <c r="AG17" s="98">
        <f>'Core Commodities Use'!AG17+'Core Commodities Use'!AG24</f>
        <v>290846.81169120385</v>
      </c>
      <c r="AH17" s="53">
        <f t="shared" si="0"/>
        <v>8271284.5765640363</v>
      </c>
      <c r="AI17"/>
      <c r="AJ17" s="23" t="s">
        <v>311</v>
      </c>
      <c r="AZ17"/>
      <c r="BA17"/>
      <c r="BB17"/>
      <c r="BC17"/>
      <c r="BD17"/>
      <c r="BE17"/>
      <c r="BF17"/>
      <c r="BG17"/>
      <c r="BH17"/>
      <c r="BI17"/>
      <c r="BJ17"/>
      <c r="BK17"/>
      <c r="BL17"/>
      <c r="BM17"/>
      <c r="BN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row>
    <row r="18" spans="2:103" s="1" customFormat="1" hidden="1" outlineLevel="1" x14ac:dyDescent="0.25">
      <c r="B18" t="s">
        <v>312</v>
      </c>
      <c r="C18" t="s">
        <v>313</v>
      </c>
      <c r="D18" s="98">
        <f>D15*'Global Inputs'!C$83+Outputs!D16*CO2_emissions_gas_tons_per_therm</f>
        <v>217193.36570781891</v>
      </c>
      <c r="E18" s="98">
        <f>E15*'Global Inputs'!D$83+Outputs!E16*CO2_emissions_gas_tons_per_therm</f>
        <v>217193.36570781891</v>
      </c>
      <c r="F18" s="98">
        <f>F15*'Global Inputs'!E$83+Outputs!F16*CO2_emissions_gas_tons_per_therm</f>
        <v>202582.99814862272</v>
      </c>
      <c r="G18" s="98">
        <f>G15*'Global Inputs'!F$83+Outputs!G16*CO2_emissions_gas_tons_per_therm</f>
        <v>200310.43789959594</v>
      </c>
      <c r="H18" s="98">
        <f>H15*'Global Inputs'!G$83+Outputs!H16*CO2_emissions_gas_tons_per_therm</f>
        <v>200310.43789959594</v>
      </c>
      <c r="I18" s="98">
        <f>I15*'Global Inputs'!H$83+Outputs!I16*CO2_emissions_gas_tons_per_therm</f>
        <v>184544.49340124018</v>
      </c>
      <c r="J18" s="98">
        <f>J15*'Global Inputs'!I$83+Outputs!J16*CO2_emissions_gas_tons_per_therm</f>
        <v>184544.49340124018</v>
      </c>
      <c r="K18" s="98">
        <f>K15*'Global Inputs'!J$83+Outputs!K16*CO2_emissions_gas_tons_per_therm</f>
        <v>139394.2730345749</v>
      </c>
      <c r="L18" s="98">
        <f>L15*'Global Inputs'!K$83+Outputs!L16*CO2_emissions_gas_tons_per_therm</f>
        <v>139394.2730345749</v>
      </c>
      <c r="M18" s="98">
        <f>M15*'Global Inputs'!L$83+Outputs!M16*CO2_emissions_gas_tons_per_therm</f>
        <v>137923.23928354547</v>
      </c>
      <c r="N18" s="98">
        <f>N15*'Global Inputs'!M$83+Outputs!N16*CO2_emissions_gas_tons_per_therm</f>
        <v>137923.23928354547</v>
      </c>
      <c r="O18" s="98">
        <f>O15*'Global Inputs'!N$83+Outputs!O16*CO2_emissions_gas_tons_per_therm</f>
        <v>135573.52607642504</v>
      </c>
      <c r="P18" s="98">
        <f>P15*'Global Inputs'!O$83+Outputs!P16*CO2_emissions_gas_tons_per_therm</f>
        <v>135573.52607642504</v>
      </c>
      <c r="Q18" s="98">
        <f>Q15*'Global Inputs'!P$83+Outputs!Q16*CO2_emissions_gas_tons_per_therm</f>
        <v>134994.33858012786</v>
      </c>
      <c r="R18" s="98">
        <f>R15*'Global Inputs'!Q$83+Outputs!R16*CO2_emissions_gas_tons_per_therm</f>
        <v>134994.33858012786</v>
      </c>
      <c r="S18" s="98">
        <f>S15*'Global Inputs'!R$83+Outputs!S16*CO2_emissions_gas_tons_per_therm</f>
        <v>141708.34905198013</v>
      </c>
      <c r="T18" s="98">
        <f>T15*'Global Inputs'!S$83+Outputs!T16*CO2_emissions_gas_tons_per_therm</f>
        <v>141708.34905198013</v>
      </c>
      <c r="U18" s="98">
        <f>U15*'Global Inputs'!T$83+Outputs!U16*CO2_emissions_gas_tons_per_therm</f>
        <v>141428.15831616017</v>
      </c>
      <c r="V18" s="98">
        <f>V15*'Global Inputs'!U$83+Outputs!V16*CO2_emissions_gas_tons_per_therm</f>
        <v>141428.15831616017</v>
      </c>
      <c r="W18" s="98">
        <f>W15*'Global Inputs'!V$83+Outputs!W16*CO2_emissions_gas_tons_per_therm</f>
        <v>141135.82050203838</v>
      </c>
      <c r="X18" s="98">
        <f>X15*'Global Inputs'!W$83+Outputs!X16*CO2_emissions_gas_tons_per_therm</f>
        <v>141135.82050203838</v>
      </c>
      <c r="Y18" s="98">
        <f>Y15*'Global Inputs'!X$83+Outputs!Y16*CO2_emissions_gas_tons_per_therm</f>
        <v>141135.82050203838</v>
      </c>
      <c r="Z18" s="98">
        <f>Z15*'Global Inputs'!Y$83+Outputs!Z16*CO2_emissions_gas_tons_per_therm</f>
        <v>141135.82050203838</v>
      </c>
      <c r="AA18" s="98">
        <f>AA15*'Global Inputs'!Z$83+Outputs!AA16*CO2_emissions_gas_tons_per_therm</f>
        <v>141135.82050203838</v>
      </c>
      <c r="AB18" s="98">
        <f>AB15*'Global Inputs'!AA$83+Outputs!AB16*CO2_emissions_gas_tons_per_therm</f>
        <v>141135.82050203838</v>
      </c>
      <c r="AC18" s="98">
        <f>AC15*'Global Inputs'!AB$83+Outputs!AC16*CO2_emissions_gas_tons_per_therm</f>
        <v>140842.77346394261</v>
      </c>
      <c r="AD18" s="98">
        <f>AD15*'Global Inputs'!AC$83+Outputs!AD16*CO2_emissions_gas_tons_per_therm</f>
        <v>140842.77346394261</v>
      </c>
      <c r="AE18" s="98">
        <f>AE15*'Global Inputs'!AD$83+Outputs!AE16*CO2_emissions_gas_tons_per_therm</f>
        <v>140842.77346394261</v>
      </c>
      <c r="AF18" s="98">
        <f>AF15*'Global Inputs'!AE$83+Outputs!AF16*CO2_emissions_gas_tons_per_therm</f>
        <v>140842.77346394261</v>
      </c>
      <c r="AG18" s="98">
        <f>AG15*'Global Inputs'!AF$83+Outputs!AG16*CO2_emissions_gas_tons_per_therm</f>
        <v>140842.77346394261</v>
      </c>
      <c r="AH18" s="53">
        <f t="shared" si="0"/>
        <v>4619752.1511835055</v>
      </c>
      <c r="AI18"/>
      <c r="AJ18" s="23"/>
      <c r="AZ18"/>
      <c r="BA18"/>
      <c r="BB18"/>
      <c r="BC18"/>
      <c r="BD18"/>
      <c r="BE18"/>
      <c r="BF18"/>
      <c r="BG18"/>
      <c r="BH18"/>
      <c r="BI18"/>
      <c r="BJ18"/>
      <c r="BK18"/>
      <c r="BL18"/>
      <c r="BM18"/>
      <c r="BN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row>
    <row r="19" spans="2:103" hidden="1" outlineLevel="1" x14ac:dyDescent="0.25">
      <c r="B19" t="s">
        <v>314</v>
      </c>
      <c r="C19" t="s">
        <v>315</v>
      </c>
      <c r="AG19" s="51">
        <f>AG15*Btuh_per_W/'Global Inputs'!$D$17+AG16*'Global Inputs'!$D$16/'Global Inputs'!$D$17/'Global Inputs'!$D$17</f>
        <v>2282968.3620703593</v>
      </c>
      <c r="AH19" s="53">
        <f>AH15*Btuh_per_W/'Global Inputs'!$D$17+AH16*'Global Inputs'!$D$16/'Global Inputs'!$D$17/'Global Inputs'!$D$17</f>
        <v>72088333.281171426</v>
      </c>
    </row>
    <row r="20" spans="2:103" hidden="1" outlineLevel="1" x14ac:dyDescent="0.25">
      <c r="AH20" s="54"/>
    </row>
    <row r="21" spans="2:103" s="1" customFormat="1" ht="17.25" hidden="1" outlineLevel="1" thickBot="1" x14ac:dyDescent="0.3">
      <c r="B21" s="19" t="s">
        <v>294</v>
      </c>
      <c r="C21" s="19"/>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55"/>
      <c r="AI21" s="19"/>
      <c r="AJ21" s="19"/>
      <c r="AZ21"/>
      <c r="BA21"/>
      <c r="BB21"/>
      <c r="BC21"/>
      <c r="BD21"/>
      <c r="BE21"/>
      <c r="BF21"/>
      <c r="BG21"/>
      <c r="BH21"/>
      <c r="BI21"/>
      <c r="BJ21"/>
      <c r="BK21"/>
      <c r="BL21"/>
      <c r="BM21"/>
      <c r="BN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row>
    <row r="22" spans="2:103" s="1" customFormat="1" ht="16.5" hidden="1" outlineLevel="1" thickTop="1" thickBot="1" x14ac:dyDescent="0.3">
      <c r="B22" s="20" t="s">
        <v>310</v>
      </c>
      <c r="C22" s="20" t="s">
        <v>13</v>
      </c>
      <c r="D22" s="97" t="s">
        <v>17</v>
      </c>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56" t="s">
        <v>224</v>
      </c>
      <c r="AI22" s="20"/>
      <c r="AJ22" s="20" t="s">
        <v>15</v>
      </c>
      <c r="AZ22"/>
      <c r="BA22"/>
      <c r="BB22"/>
      <c r="BC22"/>
      <c r="BD22"/>
      <c r="BE22"/>
      <c r="BF22"/>
      <c r="BG22"/>
      <c r="BH22"/>
      <c r="BI22"/>
      <c r="BJ22"/>
      <c r="BK22"/>
      <c r="BL22"/>
      <c r="BM22"/>
      <c r="BN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row>
    <row r="23" spans="2:103" hidden="1" outlineLevel="1" x14ac:dyDescent="0.25">
      <c r="D23" s="100">
        <f>'Core Loads'!$C$14</f>
        <v>2025</v>
      </c>
      <c r="E23" s="100">
        <f>'Core Loads'!$D$14</f>
        <v>2026</v>
      </c>
      <c r="F23" s="100">
        <f>'Core Loads'!$E$14</f>
        <v>2027</v>
      </c>
      <c r="G23" s="100">
        <f>'Core Loads'!$F$14</f>
        <v>2028</v>
      </c>
      <c r="H23" s="100">
        <f>'Core Loads'!$G$14</f>
        <v>2029</v>
      </c>
      <c r="I23" s="100">
        <f>'Core Loads'!$H$14</f>
        <v>2030</v>
      </c>
      <c r="J23" s="100">
        <f>'Core Loads'!$I$14</f>
        <v>2031</v>
      </c>
      <c r="K23" s="100">
        <f>'Core Loads'!$J$14</f>
        <v>2032</v>
      </c>
      <c r="L23" s="100">
        <f>'Core Loads'!$K$14</f>
        <v>2033</v>
      </c>
      <c r="M23" s="100">
        <f>'Core Loads'!$L$14</f>
        <v>2034</v>
      </c>
      <c r="N23" s="100">
        <f>'Core Loads'!$M$14</f>
        <v>2035</v>
      </c>
      <c r="O23" s="100">
        <f>'Core Loads'!$N$14</f>
        <v>2036</v>
      </c>
      <c r="P23" s="100">
        <f>'Core Loads'!$O$14</f>
        <v>2037</v>
      </c>
      <c r="Q23" s="100">
        <f>'Core Loads'!$P$14</f>
        <v>2038</v>
      </c>
      <c r="R23" s="100">
        <f>'Core Loads'!$Q$14</f>
        <v>2039</v>
      </c>
      <c r="S23" s="100">
        <f>'Core Loads'!$R$14</f>
        <v>2040</v>
      </c>
      <c r="T23" s="100">
        <f>'Core Loads'!$S$14</f>
        <v>2041</v>
      </c>
      <c r="U23" s="100">
        <f>'Core Loads'!$T$14</f>
        <v>2042</v>
      </c>
      <c r="V23" s="100">
        <f>'Core Loads'!$U$14</f>
        <v>2043</v>
      </c>
      <c r="W23" s="100">
        <f>'Core Loads'!$V$14</f>
        <v>2044</v>
      </c>
      <c r="X23" s="100">
        <f>'Core Loads'!$W$14</f>
        <v>2045</v>
      </c>
      <c r="Y23" s="100">
        <f>'Core Loads'!$X$14</f>
        <v>2046</v>
      </c>
      <c r="Z23" s="100">
        <f>'Core Loads'!$Y$14</f>
        <v>2047</v>
      </c>
      <c r="AA23" s="100">
        <f>'Core Loads'!$Z$14</f>
        <v>2048</v>
      </c>
      <c r="AB23" s="100">
        <f>'Core Loads'!$AA$14</f>
        <v>2049</v>
      </c>
      <c r="AC23" s="100">
        <f>'Core Loads'!$AB$14</f>
        <v>2050</v>
      </c>
      <c r="AD23" s="100">
        <f>'Core Loads'!$AC$14</f>
        <v>2051</v>
      </c>
      <c r="AE23" s="100">
        <f>'Core Loads'!$AD$14</f>
        <v>2052</v>
      </c>
      <c r="AF23" s="100">
        <f>'Core Loads'!$AE$14</f>
        <v>2053</v>
      </c>
      <c r="AG23" s="100">
        <f>'Core Loads'!$AF$14</f>
        <v>2054</v>
      </c>
      <c r="AH23" s="8"/>
    </row>
    <row r="24" spans="2:103" s="1" customFormat="1" hidden="1" outlineLevel="1" x14ac:dyDescent="0.25">
      <c r="B24" t="s">
        <v>141</v>
      </c>
      <c r="C24" t="s">
        <v>109</v>
      </c>
      <c r="D24" s="98">
        <f>'Core Commodities Use'!D31+'Core Commodities Use'!D38</f>
        <v>20641256.461636871</v>
      </c>
      <c r="E24" s="98">
        <f>'Core Commodities Use'!E31+'Core Commodities Use'!E38</f>
        <v>20641256.461636871</v>
      </c>
      <c r="F24" s="98">
        <f>'Core Commodities Use'!F31+'Core Commodities Use'!F38</f>
        <v>20641256.461636871</v>
      </c>
      <c r="G24" s="98">
        <f>'Core Commodities Use'!G31+'Core Commodities Use'!G38</f>
        <v>20057383.255155746</v>
      </c>
      <c r="H24" s="98">
        <f>'Core Commodities Use'!H31+'Core Commodities Use'!H38</f>
        <v>20057383.255155746</v>
      </c>
      <c r="I24" s="98">
        <f>'Core Commodities Use'!I31+'Core Commodities Use'!I38</f>
        <v>70900161.062808499</v>
      </c>
      <c r="J24" s="98">
        <f>'Core Commodities Use'!J31+'Core Commodities Use'!J38</f>
        <v>70900161.062808499</v>
      </c>
      <c r="K24" s="98">
        <f>'Core Commodities Use'!K31+'Core Commodities Use'!K38</f>
        <v>67248921.251742601</v>
      </c>
      <c r="L24" s="98">
        <f>'Core Commodities Use'!L31+'Core Commodities Use'!L38</f>
        <v>67248921.251742601</v>
      </c>
      <c r="M24" s="98">
        <f>'Core Commodities Use'!M31+'Core Commodities Use'!M38</f>
        <v>67846283.46209161</v>
      </c>
      <c r="N24" s="98">
        <f>'Core Commodities Use'!N31+'Core Commodities Use'!N38</f>
        <v>120965437.05477171</v>
      </c>
      <c r="O24" s="98">
        <f>'Core Commodities Use'!O31+'Core Commodities Use'!O38</f>
        <v>120791014.57495978</v>
      </c>
      <c r="P24" s="98">
        <f>'Core Commodities Use'!P31+'Core Commodities Use'!P38</f>
        <v>120791014.57495978</v>
      </c>
      <c r="Q24" s="98">
        <f>'Core Commodities Use'!Q31+'Core Commodities Use'!Q38</f>
        <v>120747962.18037227</v>
      </c>
      <c r="R24" s="98">
        <f>'Core Commodities Use'!R31+'Core Commodities Use'!R38</f>
        <v>175303168.25067636</v>
      </c>
      <c r="S24" s="98">
        <f>'Core Commodities Use'!S31+'Core Commodities Use'!S38</f>
        <v>214989280.68852437</v>
      </c>
      <c r="T24" s="98">
        <f>'Core Commodities Use'!T31+'Core Commodities Use'!T38</f>
        <v>214989280.68852437</v>
      </c>
      <c r="U24" s="98">
        <f>'Core Commodities Use'!U31+'Core Commodities Use'!U38</f>
        <v>214989280.68852437</v>
      </c>
      <c r="V24" s="98">
        <f>'Core Commodities Use'!V31+'Core Commodities Use'!V38</f>
        <v>214989280.68852437</v>
      </c>
      <c r="W24" s="98">
        <f>'Core Commodities Use'!W31+'Core Commodities Use'!W38</f>
        <v>214430341.91332072</v>
      </c>
      <c r="X24" s="98">
        <f>'Core Commodities Use'!X31+'Core Commodities Use'!X38</f>
        <v>214430341.91332072</v>
      </c>
      <c r="Y24" s="98">
        <f>'Core Commodities Use'!Y31+'Core Commodities Use'!Y38</f>
        <v>214430341.91332072</v>
      </c>
      <c r="Z24" s="98">
        <f>'Core Commodities Use'!Z31+'Core Commodities Use'!Z38</f>
        <v>214430341.91332072</v>
      </c>
      <c r="AA24" s="98">
        <f>'Core Commodities Use'!AA31+'Core Commodities Use'!AA38</f>
        <v>214430341.91332072</v>
      </c>
      <c r="AB24" s="98">
        <f>'Core Commodities Use'!AB31+'Core Commodities Use'!AB38</f>
        <v>214430341.91332072</v>
      </c>
      <c r="AC24" s="98">
        <f>'Core Commodities Use'!AC31+'Core Commodities Use'!AC38</f>
        <v>213744838.95229453</v>
      </c>
      <c r="AD24" s="98">
        <f>'Core Commodities Use'!AD31+'Core Commodities Use'!AD38</f>
        <v>213744838.95229453</v>
      </c>
      <c r="AE24" s="98">
        <f>'Core Commodities Use'!AE31+'Core Commodities Use'!AE38</f>
        <v>213744838.95229453</v>
      </c>
      <c r="AF24" s="98">
        <f>'Core Commodities Use'!AF31+'Core Commodities Use'!AF38</f>
        <v>213744838.95229453</v>
      </c>
      <c r="AG24" s="98">
        <f>'Core Commodities Use'!AG31+'Core Commodities Use'!AG38</f>
        <v>213744838.95229453</v>
      </c>
      <c r="AH24" s="53">
        <f>SUM(D24:AG24)</f>
        <v>4320044949.6176481</v>
      </c>
      <c r="AI24"/>
      <c r="AJ24" s="23" t="s">
        <v>311</v>
      </c>
      <c r="AZ24"/>
      <c r="BA24"/>
      <c r="BB24"/>
      <c r="BC24"/>
      <c r="BD24"/>
      <c r="BE24"/>
      <c r="BF24"/>
      <c r="BG24"/>
      <c r="BH24"/>
      <c r="BI24"/>
      <c r="BJ24"/>
      <c r="BK24"/>
      <c r="BL24"/>
      <c r="BM24"/>
      <c r="BN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row>
    <row r="25" spans="2:103" s="1" customFormat="1" hidden="1" outlineLevel="1" x14ac:dyDescent="0.25">
      <c r="B25" t="s">
        <v>136</v>
      </c>
      <c r="C25" t="s">
        <v>169</v>
      </c>
      <c r="D25" s="98">
        <f>'Core Commodities Use'!D32+'Core Commodities Use'!D44</f>
        <v>29588294.269641411</v>
      </c>
      <c r="E25" s="98">
        <f>'Core Commodities Use'!E32+'Core Commodities Use'!E44</f>
        <v>29588294.269641411</v>
      </c>
      <c r="F25" s="98">
        <f>'Core Commodities Use'!F32+'Core Commodities Use'!F44</f>
        <v>29588294.269641411</v>
      </c>
      <c r="G25" s="98">
        <f>'Core Commodities Use'!G32+'Core Commodities Use'!G44</f>
        <v>29254078.579896081</v>
      </c>
      <c r="H25" s="98">
        <f>'Core Commodities Use'!H32+'Core Commodities Use'!H44</f>
        <v>29254078.579896081</v>
      </c>
      <c r="I25" s="98">
        <f>'Core Commodities Use'!I32+'Core Commodities Use'!I44</f>
        <v>24175855.045650672</v>
      </c>
      <c r="J25" s="98">
        <f>'Core Commodities Use'!J32+'Core Commodities Use'!J44</f>
        <v>24175855.045650672</v>
      </c>
      <c r="K25" s="98">
        <f>'Core Commodities Use'!K32+'Core Commodities Use'!K44</f>
        <v>23428380.014445752</v>
      </c>
      <c r="L25" s="98">
        <f>'Core Commodities Use'!L32+'Core Commodities Use'!L44</f>
        <v>23428380.014445752</v>
      </c>
      <c r="M25" s="98">
        <f>'Core Commodities Use'!M32+'Core Commodities Use'!M44</f>
        <v>23117842.807129826</v>
      </c>
      <c r="N25" s="98">
        <f>'Core Commodities Use'!N32+'Core Commodities Use'!N44</f>
        <v>20500994.387112349</v>
      </c>
      <c r="O25" s="98">
        <f>'Core Commodities Use'!O32+'Core Commodities Use'!O44</f>
        <v>20115359.924484037</v>
      </c>
      <c r="P25" s="98">
        <f>'Core Commodities Use'!P32+'Core Commodities Use'!P44</f>
        <v>20115359.924484037</v>
      </c>
      <c r="Q25" s="98">
        <f>'Core Commodities Use'!Q32+'Core Commodities Use'!Q44</f>
        <v>20021371.653737262</v>
      </c>
      <c r="R25" s="98">
        <f>'Core Commodities Use'!R32+'Core Commodities Use'!R44</f>
        <v>6752672.3299312945</v>
      </c>
      <c r="S25" s="98">
        <f>'Core Commodities Use'!S32+'Core Commodities Use'!S44</f>
        <v>7178624.4580384223</v>
      </c>
      <c r="T25" s="98">
        <f>'Core Commodities Use'!T32+'Core Commodities Use'!T44</f>
        <v>7178624.4580384223</v>
      </c>
      <c r="U25" s="98">
        <f>'Core Commodities Use'!U32+'Core Commodities Use'!U44</f>
        <v>7160234.6155085405</v>
      </c>
      <c r="V25" s="98">
        <f>'Core Commodities Use'!V32+'Core Commodities Use'!V44</f>
        <v>7160234.6155085405</v>
      </c>
      <c r="W25" s="98">
        <f>'Core Commodities Use'!W32+'Core Commodities Use'!W44</f>
        <v>7142432.8554423703</v>
      </c>
      <c r="X25" s="98">
        <f>'Core Commodities Use'!X32+'Core Commodities Use'!X44</f>
        <v>7142432.8554423703</v>
      </c>
      <c r="Y25" s="98">
        <f>'Core Commodities Use'!Y32+'Core Commodities Use'!Y44</f>
        <v>7142432.8554423703</v>
      </c>
      <c r="Z25" s="98">
        <f>'Core Commodities Use'!Z32+'Core Commodities Use'!Z44</f>
        <v>7142432.8554423703</v>
      </c>
      <c r="AA25" s="98">
        <f>'Core Commodities Use'!AA32+'Core Commodities Use'!AA44</f>
        <v>7142432.8554423703</v>
      </c>
      <c r="AB25" s="98">
        <f>'Core Commodities Use'!AB32+'Core Commodities Use'!AB44</f>
        <v>7142432.8554423703</v>
      </c>
      <c r="AC25" s="98">
        <f>'Core Commodities Use'!AC32+'Core Commodities Use'!AC44</f>
        <v>7124587.9075489389</v>
      </c>
      <c r="AD25" s="98">
        <f>'Core Commodities Use'!AD32+'Core Commodities Use'!AD44</f>
        <v>7124587.9075489389</v>
      </c>
      <c r="AE25" s="98">
        <f>'Core Commodities Use'!AE32+'Core Commodities Use'!AE44</f>
        <v>7124587.9075489389</v>
      </c>
      <c r="AF25" s="98">
        <f>'Core Commodities Use'!AF32+'Core Commodities Use'!AF44</f>
        <v>7124587.9075489389</v>
      </c>
      <c r="AG25" s="98">
        <f>'Core Commodities Use'!AG32+'Core Commodities Use'!AG44</f>
        <v>7124587.9075489389</v>
      </c>
      <c r="AH25" s="53">
        <f t="shared" ref="AH25:AH27" si="1">SUM(D25:AG25)</f>
        <v>460260365.93328089</v>
      </c>
      <c r="AI25"/>
      <c r="AJ25" s="23" t="s">
        <v>311</v>
      </c>
      <c r="AZ25"/>
      <c r="BA25"/>
      <c r="BB25"/>
      <c r="BC25"/>
      <c r="BD25"/>
      <c r="BE25"/>
      <c r="BF25"/>
      <c r="BG25"/>
      <c r="BH25"/>
      <c r="BI25"/>
      <c r="BJ25"/>
      <c r="BK25"/>
      <c r="BL25"/>
      <c r="BM25"/>
      <c r="BN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row>
    <row r="26" spans="2:103" s="1" customFormat="1" hidden="1" outlineLevel="1" x14ac:dyDescent="0.25">
      <c r="B26" t="s">
        <v>154</v>
      </c>
      <c r="C26" t="s">
        <v>170</v>
      </c>
      <c r="D26" s="98">
        <f>'Core Commodities Use'!D33+'Core Commodities Use'!D50</f>
        <v>261286.05720287678</v>
      </c>
      <c r="E26" s="98">
        <f>'Core Commodities Use'!E33+'Core Commodities Use'!E50</f>
        <v>280053.88112651004</v>
      </c>
      <c r="F26" s="98">
        <f>'Core Commodities Use'!F33+'Core Commodities Use'!F50</f>
        <v>280053.88112651004</v>
      </c>
      <c r="G26" s="98">
        <f>'Core Commodities Use'!G33+'Core Commodities Use'!G50</f>
        <v>299698.99826324207</v>
      </c>
      <c r="H26" s="98">
        <f>'Core Commodities Use'!H33+'Core Commodities Use'!H50</f>
        <v>299698.99826324207</v>
      </c>
      <c r="I26" s="98">
        <f>'Core Commodities Use'!I33+'Core Commodities Use'!I50</f>
        <v>268615.28080787358</v>
      </c>
      <c r="J26" s="98">
        <f>'Core Commodities Use'!J33+'Core Commodities Use'!J50</f>
        <v>268615.28080787358</v>
      </c>
      <c r="K26" s="98">
        <f>'Core Commodities Use'!K33+'Core Commodities Use'!K50</f>
        <v>259012.49521457759</v>
      </c>
      <c r="L26" s="98">
        <f>'Core Commodities Use'!L33+'Core Commodities Use'!L50</f>
        <v>259012.49521457759</v>
      </c>
      <c r="M26" s="98">
        <f>'Core Commodities Use'!M33+'Core Commodities Use'!M50</f>
        <v>258565.48644467274</v>
      </c>
      <c r="N26" s="98">
        <f>'Core Commodities Use'!N33+'Core Commodities Use'!N50</f>
        <v>222406.57935464202</v>
      </c>
      <c r="O26" s="98">
        <f>'Core Commodities Use'!O33+'Core Commodities Use'!O50</f>
        <v>218915.04632238334</v>
      </c>
      <c r="P26" s="98">
        <f>'Core Commodities Use'!P33+'Core Commodities Use'!P50</f>
        <v>218915.04632238334</v>
      </c>
      <c r="Q26" s="98">
        <f>'Core Commodities Use'!Q33+'Core Commodities Use'!Q50</f>
        <v>218142.41487150022</v>
      </c>
      <c r="R26" s="98">
        <f>'Core Commodities Use'!R33+'Core Commodities Use'!R50</f>
        <v>144483.601555553</v>
      </c>
      <c r="S26" s="98">
        <f>'Core Commodities Use'!S33+'Core Commodities Use'!S50</f>
        <v>165316.17341266482</v>
      </c>
      <c r="T26" s="98">
        <f>'Core Commodities Use'!T33+'Core Commodities Use'!T50</f>
        <v>165316.17341266482</v>
      </c>
      <c r="U26" s="98">
        <f>'Core Commodities Use'!U33+'Core Commodities Use'!U50</f>
        <v>165249.68529523592</v>
      </c>
      <c r="V26" s="98">
        <f>'Core Commodities Use'!V33+'Core Commodities Use'!V50</f>
        <v>165249.68529523592</v>
      </c>
      <c r="W26" s="98">
        <f>'Core Commodities Use'!W33+'Core Commodities Use'!W50</f>
        <v>164877.54257590559</v>
      </c>
      <c r="X26" s="98">
        <f>'Core Commodities Use'!X33+'Core Commodities Use'!X50</f>
        <v>164877.54257590559</v>
      </c>
      <c r="Y26" s="98">
        <f>'Core Commodities Use'!Y33+'Core Commodities Use'!Y50</f>
        <v>164877.54257590559</v>
      </c>
      <c r="Z26" s="98">
        <f>'Core Commodities Use'!Z33+'Core Commodities Use'!Z50</f>
        <v>164877.54257590559</v>
      </c>
      <c r="AA26" s="98">
        <f>'Core Commodities Use'!AA33+'Core Commodities Use'!AA50</f>
        <v>164877.54257590559</v>
      </c>
      <c r="AB26" s="98">
        <f>'Core Commodities Use'!AB33+'Core Commodities Use'!AB50</f>
        <v>164877.54257590559</v>
      </c>
      <c r="AC26" s="98">
        <f>'Core Commodities Use'!AC33+'Core Commodities Use'!AC50</f>
        <v>164385.26105735954</v>
      </c>
      <c r="AD26" s="98">
        <f>'Core Commodities Use'!AD33+'Core Commodities Use'!AD50</f>
        <v>164385.26105735954</v>
      </c>
      <c r="AE26" s="98">
        <f>'Core Commodities Use'!AE33+'Core Commodities Use'!AE50</f>
        <v>164385.26105735954</v>
      </c>
      <c r="AF26" s="98">
        <f>'Core Commodities Use'!AF33+'Core Commodities Use'!AF50</f>
        <v>164385.26105735954</v>
      </c>
      <c r="AG26" s="98">
        <f>'Core Commodities Use'!AG33+'Core Commodities Use'!AG50</f>
        <v>164385.26105735954</v>
      </c>
      <c r="AH26" s="53">
        <f t="shared" si="1"/>
        <v>6229798.8210564526</v>
      </c>
      <c r="AI26"/>
      <c r="AJ26" s="23" t="s">
        <v>311</v>
      </c>
      <c r="AZ26"/>
      <c r="BA26"/>
      <c r="BB26"/>
      <c r="BC26"/>
      <c r="BD26"/>
      <c r="BE26"/>
      <c r="BF26"/>
      <c r="BG26"/>
      <c r="BH26"/>
      <c r="BI26"/>
      <c r="BJ26"/>
      <c r="BK26"/>
      <c r="BL26"/>
      <c r="BM26"/>
      <c r="BN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row>
    <row r="27" spans="2:103" s="1" customFormat="1" hidden="1" outlineLevel="1" x14ac:dyDescent="0.25">
      <c r="B27" t="s">
        <v>312</v>
      </c>
      <c r="C27" t="s">
        <v>313</v>
      </c>
      <c r="D27" s="98">
        <f>D24*'Global Inputs'!C$83+Outputs!D25*CO2_emissions_gas_tons_per_therm</f>
        <v>198922.1023747992</v>
      </c>
      <c r="E27" s="98">
        <f>E24*'Global Inputs'!D$83+Outputs!E25*CO2_emissions_gas_tons_per_therm</f>
        <v>198922.1023747992</v>
      </c>
      <c r="F27" s="98">
        <f>F24*'Global Inputs'!E$83+Outputs!F25*CO2_emissions_gas_tons_per_therm</f>
        <v>198922.1023747992</v>
      </c>
      <c r="G27" s="98">
        <f>G24*'Global Inputs'!F$83+Outputs!G25*CO2_emissions_gas_tons_per_therm</f>
        <v>196675.17029264136</v>
      </c>
      <c r="H27" s="98">
        <f>H24*'Global Inputs'!G$83+Outputs!H25*CO2_emissions_gas_tons_per_therm</f>
        <v>196675.17029264136</v>
      </c>
      <c r="I27" s="98">
        <f>I24*'Global Inputs'!H$83+Outputs!I25*CO2_emissions_gas_tons_per_therm</f>
        <v>162534.27347190946</v>
      </c>
      <c r="J27" s="98">
        <f>J24*'Global Inputs'!I$83+Outputs!J25*CO2_emissions_gas_tons_per_therm</f>
        <v>162534.27347190946</v>
      </c>
      <c r="K27" s="98">
        <f>K24*'Global Inputs'!J$83+Outputs!K25*CO2_emissions_gas_tons_per_therm</f>
        <v>157508.99883711879</v>
      </c>
      <c r="L27" s="98">
        <f>L24*'Global Inputs'!K$83+Outputs!L25*CO2_emissions_gas_tons_per_therm</f>
        <v>157508.99883711879</v>
      </c>
      <c r="M27" s="98">
        <f>M24*'Global Inputs'!L$83+Outputs!M25*CO2_emissions_gas_tons_per_therm</f>
        <v>155421.25719233381</v>
      </c>
      <c r="N27" s="98">
        <f>N24*'Global Inputs'!M$83+Outputs!N25*CO2_emissions_gas_tons_per_therm</f>
        <v>137828.18526455632</v>
      </c>
      <c r="O27" s="98">
        <f>O24*'Global Inputs'!N$83+Outputs!O25*CO2_emissions_gas_tons_per_therm</f>
        <v>135235.56477230618</v>
      </c>
      <c r="P27" s="98">
        <f>P24*'Global Inputs'!O$83+Outputs!P25*CO2_emissions_gas_tons_per_therm</f>
        <v>135235.56477230618</v>
      </c>
      <c r="Q27" s="98">
        <f>Q24*'Global Inputs'!P$83+Outputs!Q25*CO2_emissions_gas_tons_per_therm</f>
        <v>134603.6816280756</v>
      </c>
      <c r="R27" s="98">
        <f>R24*'Global Inputs'!Q$83+Outputs!R25*CO2_emissions_gas_tons_per_therm</f>
        <v>45398.21607412809</v>
      </c>
      <c r="S27" s="98">
        <f>S24*'Global Inputs'!R$83+Outputs!S25*CO2_emissions_gas_tons_per_therm</f>
        <v>48261.89223139231</v>
      </c>
      <c r="T27" s="98">
        <f>T24*'Global Inputs'!S$83+Outputs!T25*CO2_emissions_gas_tons_per_therm</f>
        <v>48261.89223139231</v>
      </c>
      <c r="U27" s="98">
        <f>U24*'Global Inputs'!T$83+Outputs!U25*CO2_emissions_gas_tons_per_therm</f>
        <v>48138.257320063916</v>
      </c>
      <c r="V27" s="98">
        <f>V24*'Global Inputs'!U$83+Outputs!V25*CO2_emissions_gas_tons_per_therm</f>
        <v>48138.257320063916</v>
      </c>
      <c r="W27" s="98">
        <f>W24*'Global Inputs'!V$83+Outputs!W25*CO2_emissions_gas_tons_per_therm</f>
        <v>48018.576087139052</v>
      </c>
      <c r="X27" s="98">
        <f>X24*'Global Inputs'!W$83+Outputs!X25*CO2_emissions_gas_tons_per_therm</f>
        <v>48018.576087139052</v>
      </c>
      <c r="Y27" s="98">
        <f>Y24*'Global Inputs'!X$83+Outputs!Y25*CO2_emissions_gas_tons_per_therm</f>
        <v>48018.576087139052</v>
      </c>
      <c r="Z27" s="98">
        <f>Z24*'Global Inputs'!Y$83+Outputs!Z25*CO2_emissions_gas_tons_per_therm</f>
        <v>48018.576087139052</v>
      </c>
      <c r="AA27" s="98">
        <f>AA24*'Global Inputs'!Z$83+Outputs!AA25*CO2_emissions_gas_tons_per_therm</f>
        <v>48018.576087139052</v>
      </c>
      <c r="AB27" s="98">
        <f>AB24*'Global Inputs'!AA$83+Outputs!AB25*CO2_emissions_gas_tons_per_therm</f>
        <v>48018.576087139052</v>
      </c>
      <c r="AC27" s="98">
        <f>AC24*'Global Inputs'!AB$83+Outputs!AC25*CO2_emissions_gas_tons_per_therm</f>
        <v>47898.604502451512</v>
      </c>
      <c r="AD27" s="98">
        <f>AD24*'Global Inputs'!AC$83+Outputs!AD25*CO2_emissions_gas_tons_per_therm</f>
        <v>47898.604502451512</v>
      </c>
      <c r="AE27" s="98">
        <f>AE24*'Global Inputs'!AD$83+Outputs!AE25*CO2_emissions_gas_tons_per_therm</f>
        <v>47898.604502451512</v>
      </c>
      <c r="AF27" s="98">
        <f>AF24*'Global Inputs'!AE$83+Outputs!AF25*CO2_emissions_gas_tons_per_therm</f>
        <v>47898.604502451512</v>
      </c>
      <c r="AG27" s="98">
        <f>AG24*'Global Inputs'!AF$83+Outputs!AG25*CO2_emissions_gas_tons_per_therm</f>
        <v>47898.604502451512</v>
      </c>
      <c r="AH27" s="53">
        <f t="shared" si="1"/>
        <v>3094330.440169448</v>
      </c>
      <c r="AI27"/>
      <c r="AJ27" s="23"/>
      <c r="AZ27"/>
      <c r="BA27"/>
      <c r="BB27"/>
      <c r="BC27"/>
      <c r="BD27"/>
      <c r="BE27"/>
      <c r="BF27"/>
      <c r="BG27"/>
      <c r="BH27"/>
      <c r="BI27"/>
      <c r="BJ27"/>
      <c r="BK27"/>
      <c r="BL27"/>
      <c r="BM27"/>
      <c r="BN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row>
    <row r="28" spans="2:103" hidden="1" outlineLevel="1" x14ac:dyDescent="0.25">
      <c r="B28" t="s">
        <v>314</v>
      </c>
      <c r="C28" t="s">
        <v>315</v>
      </c>
      <c r="AG28" s="51">
        <f>AG24*Btuh_per_W/'Global Inputs'!$D$17+AG25*'Global Inputs'!$D$16/'Global Inputs'!$D$17/'Global Inputs'!$D$17</f>
        <v>1441756.1812601229</v>
      </c>
      <c r="AH28" s="53">
        <f>AH24*Btuh_per_W/'Global Inputs'!$D$17+AH25*'Global Inputs'!$D$16/'Global Inputs'!$D$17/'Global Inputs'!$D$17</f>
        <v>60766029.961423501</v>
      </c>
    </row>
    <row r="29" spans="2:103" hidden="1" outlineLevel="1" x14ac:dyDescent="0.25">
      <c r="AH29" s="54"/>
    </row>
    <row r="30" spans="2:103" s="1" customFormat="1" ht="17.25" hidden="1" outlineLevel="1" thickBot="1" x14ac:dyDescent="0.3">
      <c r="B30" s="19" t="s">
        <v>296</v>
      </c>
      <c r="C30" s="19"/>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55"/>
      <c r="AI30" s="19"/>
      <c r="AJ30" s="19"/>
      <c r="AZ30"/>
      <c r="BA30"/>
      <c r="BB30"/>
      <c r="BC30"/>
      <c r="BD30"/>
      <c r="BE30"/>
      <c r="BF30"/>
      <c r="BG30"/>
      <c r="BH30"/>
      <c r="BI30"/>
      <c r="BJ30"/>
      <c r="BK30"/>
      <c r="BL30"/>
      <c r="BM30"/>
      <c r="BN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row>
    <row r="31" spans="2:103" s="1" customFormat="1" ht="16.5" hidden="1" outlineLevel="1" thickTop="1" thickBot="1" x14ac:dyDescent="0.3">
      <c r="B31" s="20" t="s">
        <v>310</v>
      </c>
      <c r="C31" s="20" t="s">
        <v>13</v>
      </c>
      <c r="D31" s="97" t="s">
        <v>17</v>
      </c>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56" t="s">
        <v>224</v>
      </c>
      <c r="AI31" s="20"/>
      <c r="AJ31" s="20" t="s">
        <v>15</v>
      </c>
      <c r="AZ31"/>
      <c r="BA31"/>
      <c r="BB31"/>
      <c r="BC31"/>
      <c r="BD31"/>
      <c r="BE31"/>
      <c r="BF31"/>
      <c r="BG31"/>
      <c r="BH31"/>
      <c r="BI31"/>
      <c r="BJ31"/>
      <c r="BK31"/>
      <c r="BL31"/>
      <c r="BM31"/>
      <c r="BN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row>
    <row r="32" spans="2:103" hidden="1" outlineLevel="1" x14ac:dyDescent="0.25">
      <c r="D32" s="100">
        <f>'Core Loads'!$C$14</f>
        <v>2025</v>
      </c>
      <c r="E32" s="100">
        <f>'Core Loads'!$D$14</f>
        <v>2026</v>
      </c>
      <c r="F32" s="100">
        <f>'Core Loads'!$E$14</f>
        <v>2027</v>
      </c>
      <c r="G32" s="100">
        <f>'Core Loads'!$F$14</f>
        <v>2028</v>
      </c>
      <c r="H32" s="100">
        <f>'Core Loads'!$G$14</f>
        <v>2029</v>
      </c>
      <c r="I32" s="100">
        <f>'Core Loads'!$H$14</f>
        <v>2030</v>
      </c>
      <c r="J32" s="100">
        <f>'Core Loads'!$I$14</f>
        <v>2031</v>
      </c>
      <c r="K32" s="100">
        <f>'Core Loads'!$J$14</f>
        <v>2032</v>
      </c>
      <c r="L32" s="100">
        <f>'Core Loads'!$K$14</f>
        <v>2033</v>
      </c>
      <c r="M32" s="100">
        <f>'Core Loads'!$L$14</f>
        <v>2034</v>
      </c>
      <c r="N32" s="100">
        <f>'Core Loads'!$M$14</f>
        <v>2035</v>
      </c>
      <c r="O32" s="100">
        <f>'Core Loads'!$N$14</f>
        <v>2036</v>
      </c>
      <c r="P32" s="100">
        <f>'Core Loads'!$O$14</f>
        <v>2037</v>
      </c>
      <c r="Q32" s="100">
        <f>'Core Loads'!$P$14</f>
        <v>2038</v>
      </c>
      <c r="R32" s="100">
        <f>'Core Loads'!$Q$14</f>
        <v>2039</v>
      </c>
      <c r="S32" s="100">
        <f>'Core Loads'!$R$14</f>
        <v>2040</v>
      </c>
      <c r="T32" s="100">
        <f>'Core Loads'!$S$14</f>
        <v>2041</v>
      </c>
      <c r="U32" s="100">
        <f>'Core Loads'!$T$14</f>
        <v>2042</v>
      </c>
      <c r="V32" s="100">
        <f>'Core Loads'!$U$14</f>
        <v>2043</v>
      </c>
      <c r="W32" s="100">
        <f>'Core Loads'!$V$14</f>
        <v>2044</v>
      </c>
      <c r="X32" s="100">
        <f>'Core Loads'!$W$14</f>
        <v>2045</v>
      </c>
      <c r="Y32" s="100">
        <f>'Core Loads'!$X$14</f>
        <v>2046</v>
      </c>
      <c r="Z32" s="100">
        <f>'Core Loads'!$Y$14</f>
        <v>2047</v>
      </c>
      <c r="AA32" s="100">
        <f>'Core Loads'!$Z$14</f>
        <v>2048</v>
      </c>
      <c r="AB32" s="100">
        <f>'Core Loads'!$AA$14</f>
        <v>2049</v>
      </c>
      <c r="AC32" s="100">
        <f>'Core Loads'!$AB$14</f>
        <v>2050</v>
      </c>
      <c r="AD32" s="100">
        <f>'Core Loads'!$AC$14</f>
        <v>2051</v>
      </c>
      <c r="AE32" s="100">
        <f>'Core Loads'!$AD$14</f>
        <v>2052</v>
      </c>
      <c r="AF32" s="100">
        <f>'Core Loads'!$AE$14</f>
        <v>2053</v>
      </c>
      <c r="AG32" s="100">
        <f>'Core Loads'!$AF$14</f>
        <v>2054</v>
      </c>
      <c r="AH32" s="8"/>
    </row>
    <row r="33" spans="2:103" s="1" customFormat="1" hidden="1" outlineLevel="1" x14ac:dyDescent="0.25">
      <c r="B33" t="s">
        <v>141</v>
      </c>
      <c r="C33" t="s">
        <v>109</v>
      </c>
      <c r="D33" s="98">
        <f>'Core Commodities Use'!D62+'Core Commodities Use'!D69</f>
        <v>40881228.977333002</v>
      </c>
      <c r="E33" s="98">
        <f>'Core Commodities Use'!E62+'Core Commodities Use'!E69</f>
        <v>40881228.977333002</v>
      </c>
      <c r="F33" s="98">
        <f>'Core Commodities Use'!F62+'Core Commodities Use'!F69</f>
        <v>40881228.977333002</v>
      </c>
      <c r="G33" s="98">
        <f>'Core Commodities Use'!G62+'Core Commodities Use'!G69</f>
        <v>38703970.829197206</v>
      </c>
      <c r="H33" s="98">
        <f>'Core Commodities Use'!H62+'Core Commodities Use'!H69</f>
        <v>38703970.829197206</v>
      </c>
      <c r="I33" s="98">
        <f>'Core Commodities Use'!I62+'Core Commodities Use'!I69</f>
        <v>144979354.69012418</v>
      </c>
      <c r="J33" s="98">
        <f>'Core Commodities Use'!J62+'Core Commodities Use'!J69</f>
        <v>144979354.69012418</v>
      </c>
      <c r="K33" s="98">
        <f>'Core Commodities Use'!K62+'Core Commodities Use'!K69</f>
        <v>139241066.59700841</v>
      </c>
      <c r="L33" s="98">
        <f>'Core Commodities Use'!L62+'Core Commodities Use'!L69</f>
        <v>139241066.59700841</v>
      </c>
      <c r="M33" s="98">
        <f>'Core Commodities Use'!M62+'Core Commodities Use'!M69</f>
        <v>139836397.949</v>
      </c>
      <c r="N33" s="98">
        <f>'Core Commodities Use'!N62+'Core Commodities Use'!N69</f>
        <v>221776033.2219646</v>
      </c>
      <c r="O33" s="98">
        <f>'Core Commodities Use'!O62+'Core Commodities Use'!O69</f>
        <v>220343199.31930685</v>
      </c>
      <c r="P33" s="98">
        <f>'Core Commodities Use'!P62+'Core Commodities Use'!P69</f>
        <v>220343199.31930685</v>
      </c>
      <c r="Q33" s="98">
        <f>'Core Commodities Use'!Q62+'Core Commodities Use'!Q69</f>
        <v>219988679.50909752</v>
      </c>
      <c r="R33" s="98">
        <f>'Core Commodities Use'!R62+'Core Commodities Use'!R69</f>
        <v>353949831.95474601</v>
      </c>
      <c r="S33" s="98">
        <f>'Core Commodities Use'!S62+'Core Commodities Use'!S69</f>
        <v>402745531.68411994</v>
      </c>
      <c r="T33" s="98">
        <f>'Core Commodities Use'!T62+'Core Commodities Use'!T69</f>
        <v>402745531.68411994</v>
      </c>
      <c r="U33" s="98">
        <f>'Core Commodities Use'!U62+'Core Commodities Use'!U69</f>
        <v>402247666.1524266</v>
      </c>
      <c r="V33" s="98">
        <f>'Core Commodities Use'!V62+'Core Commodities Use'!V69</f>
        <v>402247666.1524266</v>
      </c>
      <c r="W33" s="98">
        <f>'Core Commodities Use'!W62+'Core Commodities Use'!W69</f>
        <v>401217333.94377863</v>
      </c>
      <c r="X33" s="98">
        <f>'Core Commodities Use'!X62+'Core Commodities Use'!X69</f>
        <v>401217333.94377863</v>
      </c>
      <c r="Y33" s="98">
        <f>'Core Commodities Use'!Y62+'Core Commodities Use'!Y69</f>
        <v>401217333.94377863</v>
      </c>
      <c r="Z33" s="98">
        <f>'Core Commodities Use'!Z62+'Core Commodities Use'!Z69</f>
        <v>401217333.94377863</v>
      </c>
      <c r="AA33" s="98">
        <f>'Core Commodities Use'!AA62+'Core Commodities Use'!AA69</f>
        <v>401217333.94377863</v>
      </c>
      <c r="AB33" s="98">
        <f>'Core Commodities Use'!AB62+'Core Commodities Use'!AB69</f>
        <v>401217333.94377863</v>
      </c>
      <c r="AC33" s="98">
        <f>'Core Commodities Use'!AC62+'Core Commodities Use'!AC69</f>
        <v>400062049.15477121</v>
      </c>
      <c r="AD33" s="98">
        <f>'Core Commodities Use'!AD62+'Core Commodities Use'!AD69</f>
        <v>400062049.15477121</v>
      </c>
      <c r="AE33" s="98">
        <f>'Core Commodities Use'!AE62+'Core Commodities Use'!AE69</f>
        <v>400062049.15477121</v>
      </c>
      <c r="AF33" s="98">
        <f>'Core Commodities Use'!AF62+'Core Commodities Use'!AF69</f>
        <v>400062049.15477121</v>
      </c>
      <c r="AG33" s="98">
        <f>'Core Commodities Use'!AG62+'Core Commodities Use'!AG69</f>
        <v>400062049.15477121</v>
      </c>
      <c r="AH33" s="53">
        <f>SUM(D33:AG33)</f>
        <v>8162330457.5477009</v>
      </c>
      <c r="AI33"/>
      <c r="AJ33" s="23" t="s">
        <v>311</v>
      </c>
      <c r="AZ33"/>
      <c r="BA33"/>
      <c r="BB33"/>
      <c r="BC33"/>
      <c r="BD33"/>
      <c r="BE33"/>
      <c r="BF33"/>
      <c r="BG33"/>
      <c r="BH33"/>
      <c r="BI33"/>
      <c r="BJ33"/>
      <c r="BK33"/>
      <c r="BL33"/>
      <c r="BM33"/>
      <c r="BN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row>
    <row r="34" spans="2:103" s="1" customFormat="1" hidden="1" outlineLevel="1" x14ac:dyDescent="0.25">
      <c r="B34" t="s">
        <v>136</v>
      </c>
      <c r="C34" t="s">
        <v>169</v>
      </c>
      <c r="D34" s="98">
        <f>'Core Commodities Use'!D63+'Core Commodities Use'!D75</f>
        <v>28820560.60629487</v>
      </c>
      <c r="E34" s="98">
        <f>'Core Commodities Use'!E63+'Core Commodities Use'!E75</f>
        <v>28820560.60629487</v>
      </c>
      <c r="F34" s="98">
        <f>'Core Commodities Use'!F63+'Core Commodities Use'!F75</f>
        <v>28820560.60629487</v>
      </c>
      <c r="G34" s="98">
        <f>'Core Commodities Use'!G63+'Core Commodities Use'!G75</f>
        <v>28545341.288089495</v>
      </c>
      <c r="H34" s="98">
        <f>'Core Commodities Use'!H63+'Core Commodities Use'!H75</f>
        <v>28545341.288089495</v>
      </c>
      <c r="I34" s="98">
        <f>'Core Commodities Use'!I63+'Core Commodities Use'!I75</f>
        <v>21374251.397505261</v>
      </c>
      <c r="J34" s="98">
        <f>'Core Commodities Use'!J63+'Core Commodities Use'!J75</f>
        <v>21374251.397505261</v>
      </c>
      <c r="K34" s="98">
        <f>'Core Commodities Use'!K63+'Core Commodities Use'!K75</f>
        <v>20706876.478281714</v>
      </c>
      <c r="L34" s="98">
        <f>'Core Commodities Use'!L63+'Core Commodities Use'!L75</f>
        <v>20706876.478281714</v>
      </c>
      <c r="M34" s="98">
        <f>'Core Commodities Use'!M63+'Core Commodities Use'!M75</f>
        <v>20396339.270965789</v>
      </c>
      <c r="N34" s="98">
        <f>'Core Commodities Use'!N63+'Core Commodities Use'!N75</f>
        <v>16670601.866040172</v>
      </c>
      <c r="O34" s="98">
        <f>'Core Commodities Use'!O63+'Core Commodities Use'!O75</f>
        <v>16331380.62114461</v>
      </c>
      <c r="P34" s="98">
        <f>'Core Commodities Use'!P63+'Core Commodities Use'!P75</f>
        <v>16331380.62114461</v>
      </c>
      <c r="Q34" s="98">
        <f>'Core Commodities Use'!Q63+'Core Commodities Use'!Q75</f>
        <v>16248856.769805884</v>
      </c>
      <c r="R34" s="98">
        <f>'Core Commodities Use'!R63+'Core Commodities Use'!R75</f>
        <v>0</v>
      </c>
      <c r="S34" s="98">
        <f>'Core Commodities Use'!S63+'Core Commodities Use'!S75</f>
        <v>0</v>
      </c>
      <c r="T34" s="98">
        <f>'Core Commodities Use'!T63+'Core Commodities Use'!T75</f>
        <v>0</v>
      </c>
      <c r="U34" s="98">
        <f>'Core Commodities Use'!U63+'Core Commodities Use'!U75</f>
        <v>0</v>
      </c>
      <c r="V34" s="98">
        <f>'Core Commodities Use'!V63+'Core Commodities Use'!V75</f>
        <v>0</v>
      </c>
      <c r="W34" s="98">
        <f>'Core Commodities Use'!W63+'Core Commodities Use'!W75</f>
        <v>0</v>
      </c>
      <c r="X34" s="98">
        <f>'Core Commodities Use'!X63+'Core Commodities Use'!X75</f>
        <v>0</v>
      </c>
      <c r="Y34" s="98">
        <f>'Core Commodities Use'!Y63+'Core Commodities Use'!Y75</f>
        <v>0</v>
      </c>
      <c r="Z34" s="98">
        <f>'Core Commodities Use'!Z63+'Core Commodities Use'!Z75</f>
        <v>0</v>
      </c>
      <c r="AA34" s="98">
        <f>'Core Commodities Use'!AA63+'Core Commodities Use'!AA75</f>
        <v>0</v>
      </c>
      <c r="AB34" s="98">
        <f>'Core Commodities Use'!AB63+'Core Commodities Use'!AB75</f>
        <v>0</v>
      </c>
      <c r="AC34" s="98">
        <f>'Core Commodities Use'!AC63+'Core Commodities Use'!AC75</f>
        <v>0</v>
      </c>
      <c r="AD34" s="98">
        <f>'Core Commodities Use'!AD63+'Core Commodities Use'!AD75</f>
        <v>0</v>
      </c>
      <c r="AE34" s="98">
        <f>'Core Commodities Use'!AE63+'Core Commodities Use'!AE75</f>
        <v>0</v>
      </c>
      <c r="AF34" s="98">
        <f>'Core Commodities Use'!AF63+'Core Commodities Use'!AF75</f>
        <v>0</v>
      </c>
      <c r="AG34" s="98">
        <f>'Core Commodities Use'!AG63+'Core Commodities Use'!AG75</f>
        <v>0</v>
      </c>
      <c r="AH34" s="53">
        <f t="shared" ref="AH34:AH36" si="2">SUM(D34:AG34)</f>
        <v>313693179.29573858</v>
      </c>
      <c r="AI34"/>
      <c r="AJ34" s="23" t="s">
        <v>311</v>
      </c>
      <c r="AZ34"/>
      <c r="BA34"/>
      <c r="BB34"/>
      <c r="BC34"/>
      <c r="BD34"/>
      <c r="BE34"/>
      <c r="BF34"/>
      <c r="BG34"/>
      <c r="BH34"/>
      <c r="BI34"/>
      <c r="BJ34"/>
      <c r="BK34"/>
      <c r="BL34"/>
      <c r="BM34"/>
      <c r="BN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row>
    <row r="35" spans="2:103" s="1" customFormat="1" hidden="1" outlineLevel="1" x14ac:dyDescent="0.25">
      <c r="B35" t="s">
        <v>154</v>
      </c>
      <c r="C35" t="s">
        <v>170</v>
      </c>
      <c r="D35" s="98">
        <f>'Core Commodities Use'!D64+'Core Commodities Use'!D81</f>
        <v>261286.05720287678</v>
      </c>
      <c r="E35" s="98">
        <f>'Core Commodities Use'!E64+'Core Commodities Use'!E81</f>
        <v>280053.88112651004</v>
      </c>
      <c r="F35" s="98">
        <f>'Core Commodities Use'!F64+'Core Commodities Use'!F81</f>
        <v>280053.88112651004</v>
      </c>
      <c r="G35" s="98">
        <f>'Core Commodities Use'!G64+'Core Commodities Use'!G81</f>
        <v>299698.99826324207</v>
      </c>
      <c r="H35" s="98">
        <f>'Core Commodities Use'!H64+'Core Commodities Use'!H81</f>
        <v>299698.99826324207</v>
      </c>
      <c r="I35" s="98">
        <f>'Core Commodities Use'!I64+'Core Commodities Use'!I81</f>
        <v>268615.28080787358</v>
      </c>
      <c r="J35" s="98">
        <f>'Core Commodities Use'!J64+'Core Commodities Use'!J81</f>
        <v>268615.28080787358</v>
      </c>
      <c r="K35" s="98">
        <f>'Core Commodities Use'!K64+'Core Commodities Use'!K81</f>
        <v>259012.49521457759</v>
      </c>
      <c r="L35" s="98">
        <f>'Core Commodities Use'!L64+'Core Commodities Use'!L81</f>
        <v>259012.49521457759</v>
      </c>
      <c r="M35" s="98">
        <f>'Core Commodities Use'!M64+'Core Commodities Use'!M81</f>
        <v>258565.48644467274</v>
      </c>
      <c r="N35" s="98">
        <f>'Core Commodities Use'!N64+'Core Commodities Use'!N81</f>
        <v>222406.57935464202</v>
      </c>
      <c r="O35" s="98">
        <f>'Core Commodities Use'!O64+'Core Commodities Use'!O81</f>
        <v>218915.04632238334</v>
      </c>
      <c r="P35" s="98">
        <f>'Core Commodities Use'!P64+'Core Commodities Use'!P81</f>
        <v>218915.04632238334</v>
      </c>
      <c r="Q35" s="98">
        <f>'Core Commodities Use'!Q64+'Core Commodities Use'!Q81</f>
        <v>218142.41487150022</v>
      </c>
      <c r="R35" s="98">
        <f>'Core Commodities Use'!R64+'Core Commodities Use'!R81</f>
        <v>144483.601555553</v>
      </c>
      <c r="S35" s="98">
        <f>'Core Commodities Use'!S64+'Core Commodities Use'!S81</f>
        <v>165316.17341266482</v>
      </c>
      <c r="T35" s="98">
        <f>'Core Commodities Use'!T64+'Core Commodities Use'!T81</f>
        <v>165316.17341266482</v>
      </c>
      <c r="U35" s="98">
        <f>'Core Commodities Use'!U64+'Core Commodities Use'!U81</f>
        <v>165249.68529523592</v>
      </c>
      <c r="V35" s="98">
        <f>'Core Commodities Use'!V64+'Core Commodities Use'!V81</f>
        <v>165249.68529523592</v>
      </c>
      <c r="W35" s="98">
        <f>'Core Commodities Use'!W64+'Core Commodities Use'!W81</f>
        <v>164877.54257590559</v>
      </c>
      <c r="X35" s="98">
        <f>'Core Commodities Use'!X64+'Core Commodities Use'!X81</f>
        <v>164877.54257590559</v>
      </c>
      <c r="Y35" s="98">
        <f>'Core Commodities Use'!Y64+'Core Commodities Use'!Y81</f>
        <v>164877.54257590559</v>
      </c>
      <c r="Z35" s="98">
        <f>'Core Commodities Use'!Z64+'Core Commodities Use'!Z81</f>
        <v>164877.54257590559</v>
      </c>
      <c r="AA35" s="98">
        <f>'Core Commodities Use'!AA64+'Core Commodities Use'!AA81</f>
        <v>164877.54257590559</v>
      </c>
      <c r="AB35" s="98">
        <f>'Core Commodities Use'!AB64+'Core Commodities Use'!AB81</f>
        <v>164877.54257590559</v>
      </c>
      <c r="AC35" s="98">
        <f>'Core Commodities Use'!AC64+'Core Commodities Use'!AC81</f>
        <v>164385.26105735954</v>
      </c>
      <c r="AD35" s="98">
        <f>'Core Commodities Use'!AD64+'Core Commodities Use'!AD81</f>
        <v>164385.26105735954</v>
      </c>
      <c r="AE35" s="98">
        <f>'Core Commodities Use'!AE64+'Core Commodities Use'!AE81</f>
        <v>164385.26105735954</v>
      </c>
      <c r="AF35" s="98">
        <f>'Core Commodities Use'!AF64+'Core Commodities Use'!AF81</f>
        <v>164385.26105735954</v>
      </c>
      <c r="AG35" s="98">
        <f>'Core Commodities Use'!AG64+'Core Commodities Use'!AG81</f>
        <v>164385.26105735954</v>
      </c>
      <c r="AH35" s="53">
        <f t="shared" si="2"/>
        <v>6229798.8210564526</v>
      </c>
      <c r="AI35"/>
      <c r="AJ35" s="23" t="s">
        <v>311</v>
      </c>
      <c r="AZ35"/>
      <c r="BA35"/>
      <c r="BB35"/>
      <c r="BC35"/>
      <c r="BD35"/>
      <c r="BE35"/>
      <c r="BF35"/>
      <c r="BG35"/>
      <c r="BH35"/>
      <c r="BI35"/>
      <c r="BJ35"/>
      <c r="BK35"/>
      <c r="BL35"/>
      <c r="BM35"/>
      <c r="BN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row>
    <row r="36" spans="2:103" s="1" customFormat="1" ht="17.25" hidden="1" outlineLevel="1" thickBot="1" x14ac:dyDescent="0.3">
      <c r="B36" t="s">
        <v>312</v>
      </c>
      <c r="C36" t="s">
        <v>313</v>
      </c>
      <c r="D36" s="98">
        <f>D33*'Global Inputs'!C$83+Outputs!D34*CO2_emissions_gas_tons_per_therm</f>
        <v>193760.6289561204</v>
      </c>
      <c r="E36" s="98">
        <f>E33*'Global Inputs'!D$83+Outputs!E34*CO2_emissions_gas_tons_per_therm</f>
        <v>193760.6289561204</v>
      </c>
      <c r="F36" s="98">
        <f>F33*'Global Inputs'!E$83+Outputs!F34*CO2_emissions_gas_tons_per_therm</f>
        <v>193760.6289561204</v>
      </c>
      <c r="G36" s="98">
        <f>G33*'Global Inputs'!F$83+Outputs!G34*CO2_emissions_gas_tons_per_therm</f>
        <v>191910.32947982568</v>
      </c>
      <c r="H36" s="98">
        <f>H33*'Global Inputs'!G$83+Outputs!H34*CO2_emissions_gas_tons_per_therm</f>
        <v>191910.32947982568</v>
      </c>
      <c r="I36" s="98">
        <f>I33*'Global Inputs'!H$83+Outputs!I34*CO2_emissions_gas_tons_per_therm</f>
        <v>143699.09214542786</v>
      </c>
      <c r="J36" s="98">
        <f>J33*'Global Inputs'!I$83+Outputs!J34*CO2_emissions_gas_tons_per_therm</f>
        <v>143699.09214542786</v>
      </c>
      <c r="K36" s="98">
        <f>K33*'Global Inputs'!J$83+Outputs!K34*CO2_emissions_gas_tons_per_therm</f>
        <v>139212.33056348795</v>
      </c>
      <c r="L36" s="98">
        <f>L33*'Global Inputs'!K$83+Outputs!L34*CO2_emissions_gas_tons_per_therm</f>
        <v>139212.33056348795</v>
      </c>
      <c r="M36" s="98">
        <f>M33*'Global Inputs'!L$83+Outputs!M34*CO2_emissions_gas_tons_per_therm</f>
        <v>137124.588918703</v>
      </c>
      <c r="N36" s="98">
        <f>N33*'Global Inputs'!M$83+Outputs!N34*CO2_emissions_gas_tons_per_therm</f>
        <v>112076.45634538807</v>
      </c>
      <c r="O36" s="98">
        <f>O33*'Global Inputs'!N$83+Outputs!O34*CO2_emissions_gas_tons_per_therm</f>
        <v>109795.87191595521</v>
      </c>
      <c r="P36" s="98">
        <f>P33*'Global Inputs'!O$83+Outputs!P34*CO2_emissions_gas_tons_per_therm</f>
        <v>109795.87191595521</v>
      </c>
      <c r="Q36" s="98">
        <f>Q33*'Global Inputs'!P$83+Outputs!Q34*CO2_emissions_gas_tons_per_therm</f>
        <v>109241.06406340495</v>
      </c>
      <c r="R36" s="98">
        <f>R33*'Global Inputs'!Q$83+Outputs!R34*CO2_emissions_gas_tons_per_therm</f>
        <v>0</v>
      </c>
      <c r="S36" s="98">
        <f>S33*'Global Inputs'!R$83+Outputs!S34*CO2_emissions_gas_tons_per_therm</f>
        <v>0</v>
      </c>
      <c r="T36" s="98">
        <f>T33*'Global Inputs'!S$83+Outputs!T34*CO2_emissions_gas_tons_per_therm</f>
        <v>0</v>
      </c>
      <c r="U36" s="98">
        <f>U33*'Global Inputs'!T$83+Outputs!U34*CO2_emissions_gas_tons_per_therm</f>
        <v>0</v>
      </c>
      <c r="V36" s="98">
        <f>V33*'Global Inputs'!U$83+Outputs!V34*CO2_emissions_gas_tons_per_therm</f>
        <v>0</v>
      </c>
      <c r="W36" s="98">
        <f>W33*'Global Inputs'!V$83+Outputs!W34*CO2_emissions_gas_tons_per_therm</f>
        <v>0</v>
      </c>
      <c r="X36" s="98">
        <f>X33*'Global Inputs'!W$83+Outputs!X34*CO2_emissions_gas_tons_per_therm</f>
        <v>0</v>
      </c>
      <c r="Y36" s="98">
        <f>Y33*'Global Inputs'!X$83+Outputs!Y34*CO2_emissions_gas_tons_per_therm</f>
        <v>0</v>
      </c>
      <c r="Z36" s="98">
        <f>Z33*'Global Inputs'!Y$83+Outputs!Z34*CO2_emissions_gas_tons_per_therm</f>
        <v>0</v>
      </c>
      <c r="AA36" s="98">
        <f>AA33*'Global Inputs'!Z$83+Outputs!AA34*CO2_emissions_gas_tons_per_therm</f>
        <v>0</v>
      </c>
      <c r="AB36" s="98">
        <f>AB33*'Global Inputs'!AA$83+Outputs!AB34*CO2_emissions_gas_tons_per_therm</f>
        <v>0</v>
      </c>
      <c r="AC36" s="98">
        <f>AC33*'Global Inputs'!AB$83+Outputs!AC34*CO2_emissions_gas_tons_per_therm</f>
        <v>0</v>
      </c>
      <c r="AD36" s="98">
        <f>AD33*'Global Inputs'!AC$83+Outputs!AD34*CO2_emissions_gas_tons_per_therm</f>
        <v>0</v>
      </c>
      <c r="AE36" s="98">
        <f>AE33*'Global Inputs'!AD$83+Outputs!AE34*CO2_emissions_gas_tons_per_therm</f>
        <v>0</v>
      </c>
      <c r="AF36" s="98">
        <f>AF33*'Global Inputs'!AE$83+Outputs!AF34*CO2_emissions_gas_tons_per_therm</f>
        <v>0</v>
      </c>
      <c r="AG36" s="98">
        <f>AG33*'Global Inputs'!AF$83+Outputs!AG34*CO2_emissions_gas_tons_per_therm</f>
        <v>0</v>
      </c>
      <c r="AH36" s="53">
        <f t="shared" si="2"/>
        <v>2108959.2444052505</v>
      </c>
      <c r="AI36"/>
      <c r="AJ36" s="23"/>
      <c r="AM36" s="19" t="s">
        <v>316</v>
      </c>
      <c r="AN36" s="19"/>
      <c r="AO36" s="19"/>
      <c r="AP36" s="19"/>
      <c r="AQ36" s="19"/>
      <c r="AR36" s="19"/>
      <c r="AS36" s="19"/>
      <c r="AT36" s="19"/>
      <c r="AU36" s="19"/>
      <c r="AV36" s="19"/>
      <c r="AW36" s="19"/>
      <c r="AX36" s="19"/>
      <c r="AZ36"/>
      <c r="BA36"/>
      <c r="BB36"/>
      <c r="BC36"/>
      <c r="BD36"/>
      <c r="BE36"/>
      <c r="BF36"/>
      <c r="BG36"/>
      <c r="BH36"/>
      <c r="BI36"/>
      <c r="BJ36"/>
      <c r="BK36"/>
      <c r="BL36"/>
      <c r="BM36"/>
      <c r="BN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row>
    <row r="37" spans="2:103" ht="15.75" hidden="1" outlineLevel="1" thickTop="1" x14ac:dyDescent="0.25">
      <c r="B37" t="s">
        <v>314</v>
      </c>
      <c r="C37" t="s">
        <v>315</v>
      </c>
      <c r="AG37" s="51">
        <f>AG33*Btuh_per_W/'Global Inputs'!$D$17+AG34*'Global Inputs'!$D$16/'Global Inputs'!$D$17/'Global Inputs'!$D$17</f>
        <v>1365011.7117160792</v>
      </c>
      <c r="AH37" s="53">
        <f>AH33*Btuh_per_W/'Global Inputs'!$D$17+AH34*'Global Inputs'!$D$16/'Global Inputs'!$D$17/'Global Inputs'!$D$17</f>
        <v>59219189.450726613</v>
      </c>
      <c r="AM37" s="1"/>
      <c r="AN37" s="1"/>
      <c r="AO37" s="1"/>
      <c r="AP37" s="1"/>
      <c r="AQ37" s="1"/>
      <c r="AR37" s="1"/>
      <c r="AS37" s="1"/>
      <c r="AT37" s="1"/>
      <c r="AU37" s="1"/>
      <c r="AV37" s="1"/>
      <c r="AW37" s="1"/>
      <c r="AX37" s="1"/>
    </row>
    <row r="38" spans="2:103" hidden="1" outlineLevel="1" x14ac:dyDescent="0.25">
      <c r="AH38" s="54"/>
      <c r="AY38" s="1"/>
    </row>
    <row r="39" spans="2:103" s="1" customFormat="1" ht="17.25" hidden="1" outlineLevel="1" thickBot="1" x14ac:dyDescent="0.3">
      <c r="B39" s="19" t="s">
        <v>297</v>
      </c>
      <c r="C39" s="19"/>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c r="AD39" s="96"/>
      <c r="AE39" s="96"/>
      <c r="AF39" s="96"/>
      <c r="AG39" s="96"/>
      <c r="AH39" s="55"/>
      <c r="AI39" s="19"/>
      <c r="AJ39" s="19"/>
      <c r="AZ39"/>
      <c r="BA39"/>
      <c r="BB39"/>
      <c r="BC39"/>
      <c r="BD39"/>
      <c r="BE39"/>
      <c r="BF39"/>
      <c r="BG39"/>
      <c r="BH39"/>
      <c r="BI39"/>
      <c r="BJ39"/>
      <c r="BK39"/>
      <c r="BL39"/>
      <c r="BM39"/>
      <c r="BN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row>
    <row r="40" spans="2:103" s="1" customFormat="1" ht="16.5" hidden="1" outlineLevel="1" thickTop="1" thickBot="1" x14ac:dyDescent="0.3">
      <c r="B40" s="20" t="s">
        <v>310</v>
      </c>
      <c r="C40" s="20" t="s">
        <v>13</v>
      </c>
      <c r="D40" s="97" t="s">
        <v>17</v>
      </c>
      <c r="E40" s="97"/>
      <c r="F40" s="97"/>
      <c r="G40" s="97"/>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56" t="s">
        <v>224</v>
      </c>
      <c r="AI40" s="20"/>
      <c r="AJ40" s="20" t="s">
        <v>15</v>
      </c>
      <c r="AZ40"/>
      <c r="BA40"/>
      <c r="BB40"/>
      <c r="BC40"/>
      <c r="BD40"/>
      <c r="BE40"/>
      <c r="BF40"/>
      <c r="BG40"/>
      <c r="BH40"/>
      <c r="BI40"/>
      <c r="BJ40"/>
      <c r="BK40"/>
      <c r="BL40"/>
      <c r="BM40"/>
      <c r="BN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row>
    <row r="41" spans="2:103" hidden="1" outlineLevel="1" x14ac:dyDescent="0.25">
      <c r="D41" s="100">
        <f>'Core Loads'!$C$14</f>
        <v>2025</v>
      </c>
      <c r="E41" s="100">
        <f>'Core Loads'!$D$14</f>
        <v>2026</v>
      </c>
      <c r="F41" s="100">
        <f>'Core Loads'!$E$14</f>
        <v>2027</v>
      </c>
      <c r="G41" s="100">
        <f>'Core Loads'!$F$14</f>
        <v>2028</v>
      </c>
      <c r="H41" s="100">
        <f>'Core Loads'!$G$14</f>
        <v>2029</v>
      </c>
      <c r="I41" s="100">
        <f>'Core Loads'!$H$14</f>
        <v>2030</v>
      </c>
      <c r="J41" s="100">
        <f>'Core Loads'!$I$14</f>
        <v>2031</v>
      </c>
      <c r="K41" s="100">
        <f>'Core Loads'!$J$14</f>
        <v>2032</v>
      </c>
      <c r="L41" s="100">
        <f>'Core Loads'!$K$14</f>
        <v>2033</v>
      </c>
      <c r="M41" s="100">
        <f>'Core Loads'!$L$14</f>
        <v>2034</v>
      </c>
      <c r="N41" s="100">
        <f>'Core Loads'!$M$14</f>
        <v>2035</v>
      </c>
      <c r="O41" s="100">
        <f>'Core Loads'!$N$14</f>
        <v>2036</v>
      </c>
      <c r="P41" s="100">
        <f>'Core Loads'!$O$14</f>
        <v>2037</v>
      </c>
      <c r="Q41" s="100">
        <f>'Core Loads'!$P$14</f>
        <v>2038</v>
      </c>
      <c r="R41" s="100">
        <f>'Core Loads'!$Q$14</f>
        <v>2039</v>
      </c>
      <c r="S41" s="100">
        <f>'Core Loads'!$R$14</f>
        <v>2040</v>
      </c>
      <c r="T41" s="100">
        <f>'Core Loads'!$S$14</f>
        <v>2041</v>
      </c>
      <c r="U41" s="100">
        <f>'Core Loads'!$T$14</f>
        <v>2042</v>
      </c>
      <c r="V41" s="100">
        <f>'Core Loads'!$U$14</f>
        <v>2043</v>
      </c>
      <c r="W41" s="100">
        <f>'Core Loads'!$V$14</f>
        <v>2044</v>
      </c>
      <c r="X41" s="100">
        <f>'Core Loads'!$W$14</f>
        <v>2045</v>
      </c>
      <c r="Y41" s="100">
        <f>'Core Loads'!$X$14</f>
        <v>2046</v>
      </c>
      <c r="Z41" s="100">
        <f>'Core Loads'!$Y$14</f>
        <v>2047</v>
      </c>
      <c r="AA41" s="100">
        <f>'Core Loads'!$Z$14</f>
        <v>2048</v>
      </c>
      <c r="AB41" s="100">
        <f>'Core Loads'!$AA$14</f>
        <v>2049</v>
      </c>
      <c r="AC41" s="100">
        <f>'Core Loads'!$AB$14</f>
        <v>2050</v>
      </c>
      <c r="AD41" s="100">
        <f>'Core Loads'!$AC$14</f>
        <v>2051</v>
      </c>
      <c r="AE41" s="100">
        <f>'Core Loads'!$AD$14</f>
        <v>2052</v>
      </c>
      <c r="AF41" s="100">
        <f>'Core Loads'!$AE$14</f>
        <v>2053</v>
      </c>
      <c r="AG41" s="100">
        <f>'Core Loads'!$AF$14</f>
        <v>2054</v>
      </c>
      <c r="AH41" s="8"/>
      <c r="AM41" s="1"/>
      <c r="AN41" s="1"/>
      <c r="AO41" s="1"/>
      <c r="AP41" s="1"/>
      <c r="AQ41" s="1"/>
      <c r="AR41" s="1"/>
      <c r="AS41" s="1"/>
      <c r="AT41" s="1"/>
      <c r="AU41" s="1"/>
      <c r="AV41" s="1"/>
      <c r="AW41" s="1"/>
      <c r="AX41" s="1"/>
      <c r="AY41" s="1"/>
    </row>
    <row r="42" spans="2:103" s="1" customFormat="1" hidden="1" outlineLevel="1" x14ac:dyDescent="0.25">
      <c r="B42" t="s">
        <v>141</v>
      </c>
      <c r="C42" t="s">
        <v>109</v>
      </c>
      <c r="D42" s="98">
        <f>'Core Commodities Use'!D93+'Core Commodities Use'!D100</f>
        <v>30759933.538222048</v>
      </c>
      <c r="E42" s="98">
        <f>'Core Commodities Use'!E93+'Core Commodities Use'!E100</f>
        <v>30759933.538222048</v>
      </c>
      <c r="F42" s="98">
        <f>'Core Commodities Use'!F93+'Core Commodities Use'!F100</f>
        <v>30759933.538222048</v>
      </c>
      <c r="G42" s="98">
        <f>'Core Commodities Use'!G93+'Core Commodities Use'!G100</f>
        <v>29646735.000699997</v>
      </c>
      <c r="H42" s="98">
        <f>'Core Commodities Use'!H93+'Core Commodities Use'!H100</f>
        <v>29646735.000699997</v>
      </c>
      <c r="I42" s="98">
        <f>'Core Commodities Use'!I93+'Core Commodities Use'!I100</f>
        <v>106387961.58038113</v>
      </c>
      <c r="J42" s="98">
        <f>'Core Commodities Use'!J93+'Core Commodities Use'!J100</f>
        <v>106387961.58038113</v>
      </c>
      <c r="K42" s="98">
        <f>'Core Commodities Use'!K93+'Core Commodities Use'!K100</f>
        <v>102094360.53733748</v>
      </c>
      <c r="L42" s="98">
        <f>'Core Commodities Use'!L93+'Core Commodities Use'!L100</f>
        <v>102094360.53733748</v>
      </c>
      <c r="M42" s="98">
        <f>'Core Commodities Use'!M93+'Core Commodities Use'!M100</f>
        <v>102689691.88932908</v>
      </c>
      <c r="N42" s="98">
        <f>'Core Commodities Use'!N93+'Core Commodities Use'!N100</f>
        <v>166606299.67795473</v>
      </c>
      <c r="O42" s="98">
        <f>'Core Commodities Use'!O93+'Core Commodities Use'!O100</f>
        <v>165942244.04951635</v>
      </c>
      <c r="P42" s="98">
        <f>'Core Commodities Use'!P93+'Core Commodities Use'!P100</f>
        <v>165942244.04951635</v>
      </c>
      <c r="Q42" s="98">
        <f>'Core Commodities Use'!Q93+'Core Commodities Use'!Q100</f>
        <v>165794496.71247479</v>
      </c>
      <c r="R42" s="98">
        <f>'Core Commodities Use'!R93+'Core Commodities Use'!R100</f>
        <v>260074297.75379011</v>
      </c>
      <c r="S42" s="98">
        <f>'Core Commodities Use'!S93+'Core Commodities Use'!S100</f>
        <v>303633784.12180173</v>
      </c>
      <c r="T42" s="98">
        <f>'Core Commodities Use'!T93+'Core Commodities Use'!T100</f>
        <v>303633784.12180173</v>
      </c>
      <c r="U42" s="98">
        <f>'Core Commodities Use'!U93+'Core Commodities Use'!U100</f>
        <v>303390755.77581608</v>
      </c>
      <c r="V42" s="98">
        <f>'Core Commodities Use'!V93+'Core Commodities Use'!V100</f>
        <v>303390755.77581608</v>
      </c>
      <c r="W42" s="98">
        <f>'Core Commodities Use'!W93+'Core Commodities Use'!W100</f>
        <v>302681496.42961389</v>
      </c>
      <c r="X42" s="98">
        <f>'Core Commodities Use'!X93+'Core Commodities Use'!X100</f>
        <v>302681496.42961389</v>
      </c>
      <c r="Y42" s="98">
        <f>'Core Commodities Use'!Y93+'Core Commodities Use'!Y100</f>
        <v>302681496.42961389</v>
      </c>
      <c r="Z42" s="98">
        <f>'Core Commodities Use'!Z93+'Core Commodities Use'!Z100</f>
        <v>302681496.42961389</v>
      </c>
      <c r="AA42" s="98">
        <f>'Core Commodities Use'!AA93+'Core Commodities Use'!AA100</f>
        <v>302681496.42961389</v>
      </c>
      <c r="AB42" s="98">
        <f>'Core Commodities Use'!AB93+'Core Commodities Use'!AB100</f>
        <v>302681496.42961389</v>
      </c>
      <c r="AC42" s="98">
        <f>'Core Commodities Use'!AC93+'Core Commodities Use'!AC100</f>
        <v>301848063.43947595</v>
      </c>
      <c r="AD42" s="98">
        <f>'Core Commodities Use'!AD93+'Core Commodities Use'!AD100</f>
        <v>301848063.43947595</v>
      </c>
      <c r="AE42" s="98">
        <f>'Core Commodities Use'!AE93+'Core Commodities Use'!AE100</f>
        <v>301848063.43947595</v>
      </c>
      <c r="AF42" s="98">
        <f>'Core Commodities Use'!AF93+'Core Commodities Use'!AF100</f>
        <v>301848063.43947595</v>
      </c>
      <c r="AG42" s="98">
        <f>'Core Commodities Use'!AG93+'Core Commodities Use'!AG100</f>
        <v>301848063.43947595</v>
      </c>
      <c r="AH42" s="53">
        <f>SUM(D42:AG42)</f>
        <v>6134965564.5543842</v>
      </c>
      <c r="AI42"/>
      <c r="AJ42" s="23" t="s">
        <v>311</v>
      </c>
      <c r="AZ42"/>
      <c r="BA42"/>
      <c r="BB42"/>
      <c r="BC42"/>
      <c r="BD42"/>
      <c r="BE42"/>
      <c r="BF42"/>
      <c r="BG42"/>
      <c r="BH42"/>
      <c r="BI42"/>
      <c r="BJ42"/>
      <c r="BK42"/>
      <c r="BL42"/>
      <c r="BM42"/>
      <c r="BN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row>
    <row r="43" spans="2:103" s="1" customFormat="1" hidden="1" outlineLevel="1" x14ac:dyDescent="0.25">
      <c r="B43" t="s">
        <v>136</v>
      </c>
      <c r="C43" t="s">
        <v>169</v>
      </c>
      <c r="D43" s="98">
        <f>'Core Commodities Use'!D94+'Core Commodities Use'!D106</f>
        <v>28820560.60629487</v>
      </c>
      <c r="E43" s="98">
        <f>'Core Commodities Use'!E94+'Core Commodities Use'!E106</f>
        <v>28820560.60629487</v>
      </c>
      <c r="F43" s="98">
        <f>'Core Commodities Use'!F94+'Core Commodities Use'!F106</f>
        <v>28820560.60629487</v>
      </c>
      <c r="G43" s="98">
        <f>'Core Commodities Use'!G94+'Core Commodities Use'!G106</f>
        <v>28545341.288089495</v>
      </c>
      <c r="H43" s="98">
        <f>'Core Commodities Use'!H94+'Core Commodities Use'!H106</f>
        <v>28545341.288089495</v>
      </c>
      <c r="I43" s="98">
        <f>'Core Commodities Use'!I94+'Core Commodities Use'!I106</f>
        <v>21374251.397505261</v>
      </c>
      <c r="J43" s="98">
        <f>'Core Commodities Use'!J94+'Core Commodities Use'!J106</f>
        <v>21374251.397505261</v>
      </c>
      <c r="K43" s="98">
        <f>'Core Commodities Use'!K94+'Core Commodities Use'!K106</f>
        <v>20706876.478281714</v>
      </c>
      <c r="L43" s="98">
        <f>'Core Commodities Use'!L94+'Core Commodities Use'!L106</f>
        <v>20706876.478281714</v>
      </c>
      <c r="M43" s="98">
        <f>'Core Commodities Use'!M94+'Core Commodities Use'!M106</f>
        <v>20396339.270965789</v>
      </c>
      <c r="N43" s="98">
        <f>'Core Commodities Use'!N94+'Core Commodities Use'!N106</f>
        <v>16670601.866040172</v>
      </c>
      <c r="O43" s="98">
        <f>'Core Commodities Use'!O94+'Core Commodities Use'!O106</f>
        <v>16331380.62114461</v>
      </c>
      <c r="P43" s="98">
        <f>'Core Commodities Use'!P94+'Core Commodities Use'!P106</f>
        <v>16331380.62114461</v>
      </c>
      <c r="Q43" s="98">
        <f>'Core Commodities Use'!Q94+'Core Commodities Use'!Q106</f>
        <v>16248856.769805884</v>
      </c>
      <c r="R43" s="98">
        <f>'Core Commodities Use'!R94+'Core Commodities Use'!R106</f>
        <v>0</v>
      </c>
      <c r="S43" s="98">
        <f>'Core Commodities Use'!S94+'Core Commodities Use'!S106</f>
        <v>0</v>
      </c>
      <c r="T43" s="98">
        <f>'Core Commodities Use'!T94+'Core Commodities Use'!T106</f>
        <v>0</v>
      </c>
      <c r="U43" s="98">
        <f>'Core Commodities Use'!U94+'Core Commodities Use'!U106</f>
        <v>0</v>
      </c>
      <c r="V43" s="98">
        <f>'Core Commodities Use'!V94+'Core Commodities Use'!V106</f>
        <v>0</v>
      </c>
      <c r="W43" s="98">
        <f>'Core Commodities Use'!W94+'Core Commodities Use'!W106</f>
        <v>0</v>
      </c>
      <c r="X43" s="98">
        <f>'Core Commodities Use'!X94+'Core Commodities Use'!X106</f>
        <v>0</v>
      </c>
      <c r="Y43" s="98">
        <f>'Core Commodities Use'!Y94+'Core Commodities Use'!Y106</f>
        <v>0</v>
      </c>
      <c r="Z43" s="98">
        <f>'Core Commodities Use'!Z94+'Core Commodities Use'!Z106</f>
        <v>0</v>
      </c>
      <c r="AA43" s="98">
        <f>'Core Commodities Use'!AA94+'Core Commodities Use'!AA106</f>
        <v>0</v>
      </c>
      <c r="AB43" s="98">
        <f>'Core Commodities Use'!AB94+'Core Commodities Use'!AB106</f>
        <v>0</v>
      </c>
      <c r="AC43" s="98">
        <f>'Core Commodities Use'!AC94+'Core Commodities Use'!AC106</f>
        <v>0</v>
      </c>
      <c r="AD43" s="98">
        <f>'Core Commodities Use'!AD94+'Core Commodities Use'!AD106</f>
        <v>0</v>
      </c>
      <c r="AE43" s="98">
        <f>'Core Commodities Use'!AE94+'Core Commodities Use'!AE106</f>
        <v>0</v>
      </c>
      <c r="AF43" s="98">
        <f>'Core Commodities Use'!AF94+'Core Commodities Use'!AF106</f>
        <v>0</v>
      </c>
      <c r="AG43" s="98">
        <f>'Core Commodities Use'!AG94+'Core Commodities Use'!AG106</f>
        <v>0</v>
      </c>
      <c r="AH43" s="53">
        <f t="shared" ref="AH43:AH45" si="3">SUM(D43:AG43)</f>
        <v>313693179.29573858</v>
      </c>
      <c r="AI43"/>
      <c r="AJ43" s="23" t="s">
        <v>311</v>
      </c>
      <c r="AM43"/>
      <c r="AN43"/>
      <c r="AO43"/>
      <c r="AP43"/>
      <c r="AQ43"/>
      <c r="AR43"/>
      <c r="AS43"/>
      <c r="AT43"/>
      <c r="AU43"/>
      <c r="AV43"/>
      <c r="AW43"/>
      <c r="AX43"/>
      <c r="AZ43"/>
      <c r="BA43"/>
      <c r="BB43"/>
      <c r="BC43"/>
      <c r="BD43"/>
      <c r="BE43"/>
      <c r="BF43"/>
      <c r="BG43"/>
      <c r="BH43"/>
      <c r="BI43"/>
      <c r="BJ43"/>
      <c r="BK43"/>
      <c r="BL43"/>
      <c r="BM43"/>
      <c r="BN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row>
    <row r="44" spans="2:103" s="1" customFormat="1" hidden="1" outlineLevel="1" x14ac:dyDescent="0.25">
      <c r="B44" t="s">
        <v>154</v>
      </c>
      <c r="C44" t="s">
        <v>170</v>
      </c>
      <c r="D44" s="98">
        <f>'Core Commodities Use'!D95+'Core Commodities Use'!D112</f>
        <v>261286.05720287678</v>
      </c>
      <c r="E44" s="98">
        <f>'Core Commodities Use'!E95+'Core Commodities Use'!E112</f>
        <v>280053.88112651004</v>
      </c>
      <c r="F44" s="98">
        <f>'Core Commodities Use'!F95+'Core Commodities Use'!F112</f>
        <v>280053.88112651004</v>
      </c>
      <c r="G44" s="98">
        <f>'Core Commodities Use'!G95+'Core Commodities Use'!G112</f>
        <v>299698.99826324207</v>
      </c>
      <c r="H44" s="98">
        <f>'Core Commodities Use'!H95+'Core Commodities Use'!H112</f>
        <v>299698.99826324207</v>
      </c>
      <c r="I44" s="98">
        <f>'Core Commodities Use'!I95+'Core Commodities Use'!I112</f>
        <v>268615.28080787358</v>
      </c>
      <c r="J44" s="98">
        <f>'Core Commodities Use'!J95+'Core Commodities Use'!J112</f>
        <v>268615.28080787358</v>
      </c>
      <c r="K44" s="98">
        <f>'Core Commodities Use'!K95+'Core Commodities Use'!K112</f>
        <v>259012.49521457759</v>
      </c>
      <c r="L44" s="98">
        <f>'Core Commodities Use'!L95+'Core Commodities Use'!L112</f>
        <v>259012.49521457759</v>
      </c>
      <c r="M44" s="98">
        <f>'Core Commodities Use'!M95+'Core Commodities Use'!M112</f>
        <v>258565.48644467274</v>
      </c>
      <c r="N44" s="98">
        <f>'Core Commodities Use'!N95+'Core Commodities Use'!N112</f>
        <v>222406.57935464202</v>
      </c>
      <c r="O44" s="98">
        <f>'Core Commodities Use'!O95+'Core Commodities Use'!O112</f>
        <v>218915.04632238334</v>
      </c>
      <c r="P44" s="98">
        <f>'Core Commodities Use'!P95+'Core Commodities Use'!P112</f>
        <v>218915.04632238334</v>
      </c>
      <c r="Q44" s="98">
        <f>'Core Commodities Use'!Q95+'Core Commodities Use'!Q112</f>
        <v>218142.41487150022</v>
      </c>
      <c r="R44" s="98">
        <f>'Core Commodities Use'!R95+'Core Commodities Use'!R112</f>
        <v>144483.601555553</v>
      </c>
      <c r="S44" s="98">
        <f>'Core Commodities Use'!S95+'Core Commodities Use'!S112</f>
        <v>165316.17341266482</v>
      </c>
      <c r="T44" s="98">
        <f>'Core Commodities Use'!T95+'Core Commodities Use'!T112</f>
        <v>165316.17341266482</v>
      </c>
      <c r="U44" s="98">
        <f>'Core Commodities Use'!U95+'Core Commodities Use'!U112</f>
        <v>165249.68529523592</v>
      </c>
      <c r="V44" s="98">
        <f>'Core Commodities Use'!V95+'Core Commodities Use'!V112</f>
        <v>165249.68529523592</v>
      </c>
      <c r="W44" s="98">
        <f>'Core Commodities Use'!W95+'Core Commodities Use'!W112</f>
        <v>164877.54257590559</v>
      </c>
      <c r="X44" s="98">
        <f>'Core Commodities Use'!X95+'Core Commodities Use'!X112</f>
        <v>164877.54257590559</v>
      </c>
      <c r="Y44" s="98">
        <f>'Core Commodities Use'!Y95+'Core Commodities Use'!Y112</f>
        <v>164877.54257590559</v>
      </c>
      <c r="Z44" s="98">
        <f>'Core Commodities Use'!Z95+'Core Commodities Use'!Z112</f>
        <v>164877.54257590559</v>
      </c>
      <c r="AA44" s="98">
        <f>'Core Commodities Use'!AA95+'Core Commodities Use'!AA112</f>
        <v>164877.54257590559</v>
      </c>
      <c r="AB44" s="98">
        <f>'Core Commodities Use'!AB95+'Core Commodities Use'!AB112</f>
        <v>164877.54257590559</v>
      </c>
      <c r="AC44" s="98">
        <f>'Core Commodities Use'!AC95+'Core Commodities Use'!AC112</f>
        <v>164385.26105735954</v>
      </c>
      <c r="AD44" s="98">
        <f>'Core Commodities Use'!AD95+'Core Commodities Use'!AD112</f>
        <v>164385.26105735954</v>
      </c>
      <c r="AE44" s="98">
        <f>'Core Commodities Use'!AE95+'Core Commodities Use'!AE112</f>
        <v>164385.26105735954</v>
      </c>
      <c r="AF44" s="98">
        <f>'Core Commodities Use'!AF95+'Core Commodities Use'!AF112</f>
        <v>164385.26105735954</v>
      </c>
      <c r="AG44" s="98">
        <f>'Core Commodities Use'!AG95+'Core Commodities Use'!AG112</f>
        <v>164385.26105735954</v>
      </c>
      <c r="AH44" s="53">
        <f t="shared" si="3"/>
        <v>6229798.8210564526</v>
      </c>
      <c r="AI44"/>
      <c r="AJ44" s="23" t="s">
        <v>311</v>
      </c>
      <c r="AZ44"/>
      <c r="BA44"/>
      <c r="BB44"/>
      <c r="BC44"/>
      <c r="BD44"/>
      <c r="BE44"/>
      <c r="BF44"/>
      <c r="BG44"/>
      <c r="BH44"/>
      <c r="BI44"/>
      <c r="BJ44"/>
      <c r="BK44"/>
      <c r="BL44"/>
      <c r="BM44"/>
      <c r="BN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row>
    <row r="45" spans="2:103" s="1" customFormat="1" hidden="1" outlineLevel="1" x14ac:dyDescent="0.25">
      <c r="B45" t="s">
        <v>312</v>
      </c>
      <c r="C45" t="s">
        <v>313</v>
      </c>
      <c r="D45" s="98">
        <f>D42*'Global Inputs'!C$83+Outputs!D43*CO2_emissions_gas_tons_per_therm</f>
        <v>193760.6289561204</v>
      </c>
      <c r="E45" s="98">
        <f>E42*'Global Inputs'!D$83+Outputs!E43*CO2_emissions_gas_tons_per_therm</f>
        <v>193760.6289561204</v>
      </c>
      <c r="F45" s="98">
        <f>F42*'Global Inputs'!E$83+Outputs!F43*CO2_emissions_gas_tons_per_therm</f>
        <v>193760.6289561204</v>
      </c>
      <c r="G45" s="98">
        <f>G42*'Global Inputs'!F$83+Outputs!G43*CO2_emissions_gas_tons_per_therm</f>
        <v>191910.32947982568</v>
      </c>
      <c r="H45" s="98">
        <f>H42*'Global Inputs'!G$83+Outputs!H43*CO2_emissions_gas_tons_per_therm</f>
        <v>191910.32947982568</v>
      </c>
      <c r="I45" s="98">
        <f>I42*'Global Inputs'!H$83+Outputs!I43*CO2_emissions_gas_tons_per_therm</f>
        <v>143699.09214542786</v>
      </c>
      <c r="J45" s="98">
        <f>J42*'Global Inputs'!I$83+Outputs!J43*CO2_emissions_gas_tons_per_therm</f>
        <v>143699.09214542786</v>
      </c>
      <c r="K45" s="98">
        <f>K42*'Global Inputs'!J$83+Outputs!K43*CO2_emissions_gas_tons_per_therm</f>
        <v>139212.33056348795</v>
      </c>
      <c r="L45" s="98">
        <f>L42*'Global Inputs'!K$83+Outputs!L43*CO2_emissions_gas_tons_per_therm</f>
        <v>139212.33056348795</v>
      </c>
      <c r="M45" s="98">
        <f>M42*'Global Inputs'!L$83+Outputs!M43*CO2_emissions_gas_tons_per_therm</f>
        <v>137124.588918703</v>
      </c>
      <c r="N45" s="98">
        <f>N42*'Global Inputs'!M$83+Outputs!N43*CO2_emissions_gas_tons_per_therm</f>
        <v>112076.45634538807</v>
      </c>
      <c r="O45" s="98">
        <f>O42*'Global Inputs'!N$83+Outputs!O43*CO2_emissions_gas_tons_per_therm</f>
        <v>109795.87191595521</v>
      </c>
      <c r="P45" s="98">
        <f>P42*'Global Inputs'!O$83+Outputs!P43*CO2_emissions_gas_tons_per_therm</f>
        <v>109795.87191595521</v>
      </c>
      <c r="Q45" s="98">
        <f>Q42*'Global Inputs'!P$83+Outputs!Q43*CO2_emissions_gas_tons_per_therm</f>
        <v>109241.06406340495</v>
      </c>
      <c r="R45" s="98">
        <f>R42*'Global Inputs'!Q$83+Outputs!R43*CO2_emissions_gas_tons_per_therm</f>
        <v>0</v>
      </c>
      <c r="S45" s="98">
        <f>S42*'Global Inputs'!R$83+Outputs!S43*CO2_emissions_gas_tons_per_therm</f>
        <v>0</v>
      </c>
      <c r="T45" s="98">
        <f>T42*'Global Inputs'!S$83+Outputs!T43*CO2_emissions_gas_tons_per_therm</f>
        <v>0</v>
      </c>
      <c r="U45" s="98">
        <f>U42*'Global Inputs'!T$83+Outputs!U43*CO2_emissions_gas_tons_per_therm</f>
        <v>0</v>
      </c>
      <c r="V45" s="98">
        <f>V42*'Global Inputs'!U$83+Outputs!V43*CO2_emissions_gas_tons_per_therm</f>
        <v>0</v>
      </c>
      <c r="W45" s="98">
        <f>W42*'Global Inputs'!V$83+Outputs!W43*CO2_emissions_gas_tons_per_therm</f>
        <v>0</v>
      </c>
      <c r="X45" s="98">
        <f>X42*'Global Inputs'!W$83+Outputs!X43*CO2_emissions_gas_tons_per_therm</f>
        <v>0</v>
      </c>
      <c r="Y45" s="98">
        <f>Y42*'Global Inputs'!X$83+Outputs!Y43*CO2_emissions_gas_tons_per_therm</f>
        <v>0</v>
      </c>
      <c r="Z45" s="98">
        <f>Z42*'Global Inputs'!Y$83+Outputs!Z43*CO2_emissions_gas_tons_per_therm</f>
        <v>0</v>
      </c>
      <c r="AA45" s="98">
        <f>AA42*'Global Inputs'!Z$83+Outputs!AA43*CO2_emissions_gas_tons_per_therm</f>
        <v>0</v>
      </c>
      <c r="AB45" s="98">
        <f>AB42*'Global Inputs'!AA$83+Outputs!AB43*CO2_emissions_gas_tons_per_therm</f>
        <v>0</v>
      </c>
      <c r="AC45" s="98">
        <f>AC42*'Global Inputs'!AB$83+Outputs!AC43*CO2_emissions_gas_tons_per_therm</f>
        <v>0</v>
      </c>
      <c r="AD45" s="98">
        <f>AD42*'Global Inputs'!AC$83+Outputs!AD43*CO2_emissions_gas_tons_per_therm</f>
        <v>0</v>
      </c>
      <c r="AE45" s="98">
        <f>AE42*'Global Inputs'!AD$83+Outputs!AE43*CO2_emissions_gas_tons_per_therm</f>
        <v>0</v>
      </c>
      <c r="AF45" s="98">
        <f>AF42*'Global Inputs'!AE$83+Outputs!AF43*CO2_emissions_gas_tons_per_therm</f>
        <v>0</v>
      </c>
      <c r="AG45" s="98">
        <f>AG42*'Global Inputs'!AF$83+Outputs!AG43*CO2_emissions_gas_tons_per_therm</f>
        <v>0</v>
      </c>
      <c r="AH45" s="53">
        <f t="shared" si="3"/>
        <v>2108959.2444052505</v>
      </c>
      <c r="AI45"/>
      <c r="AJ45" s="23"/>
      <c r="AZ45"/>
      <c r="BA45"/>
      <c r="BB45"/>
      <c r="BC45"/>
      <c r="BD45"/>
      <c r="BE45"/>
      <c r="BF45"/>
      <c r="BG45"/>
      <c r="BH45"/>
      <c r="BI45"/>
      <c r="BJ45"/>
      <c r="BK45"/>
      <c r="BL45"/>
      <c r="BM45"/>
      <c r="BN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row>
    <row r="46" spans="2:103" hidden="1" outlineLevel="1" x14ac:dyDescent="0.25">
      <c r="B46" t="s">
        <v>314</v>
      </c>
      <c r="C46" t="s">
        <v>315</v>
      </c>
      <c r="AG46" s="51">
        <f>AG42*Btuh_per_W/'Global Inputs'!$D$17+AG43*'Global Inputs'!$D$16/'Global Inputs'!$D$17/'Global Inputs'!$D$17</f>
        <v>1029905.5924554919</v>
      </c>
      <c r="AH46" s="53">
        <f>AH42*Btuh_per_W/'Global Inputs'!$D$17+AH43*'Global Inputs'!$D$16/'Global Inputs'!$D$17/'Global Inputs'!$D$17</f>
        <v>52301820.435833424</v>
      </c>
      <c r="AM46" s="1"/>
      <c r="AN46" s="1"/>
      <c r="AO46" s="1"/>
      <c r="AP46" s="1"/>
      <c r="AQ46" s="1"/>
      <c r="AR46" s="1"/>
      <c r="AS46" s="1"/>
      <c r="AT46" s="1"/>
      <c r="AU46" s="1"/>
      <c r="AV46" s="1"/>
      <c r="AW46" s="1"/>
      <c r="AX46" s="1"/>
    </row>
    <row r="47" spans="2:103" s="1" customFormat="1" hidden="1" outlineLevel="1" x14ac:dyDescent="0.25">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57"/>
      <c r="AM47"/>
      <c r="AN47"/>
      <c r="AO47"/>
      <c r="AP47"/>
      <c r="AQ47"/>
      <c r="AR47"/>
      <c r="AS47"/>
      <c r="AT47"/>
      <c r="AU47"/>
      <c r="AV47"/>
      <c r="AW47"/>
      <c r="AX47"/>
      <c r="AZ47"/>
      <c r="BA47"/>
      <c r="BB47"/>
      <c r="BC47"/>
      <c r="BD47"/>
      <c r="BE47"/>
      <c r="BF47"/>
      <c r="BG47"/>
      <c r="BH47"/>
      <c r="BI47"/>
      <c r="BJ47"/>
      <c r="BK47"/>
      <c r="BL47"/>
      <c r="BM47"/>
      <c r="BN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row>
    <row r="48" spans="2:103" s="1" customFormat="1" ht="17.25" hidden="1" outlineLevel="1" thickBot="1" x14ac:dyDescent="0.3">
      <c r="B48" s="19" t="s">
        <v>285</v>
      </c>
      <c r="C48" s="19"/>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55"/>
      <c r="AI48" s="19"/>
      <c r="AJ48" s="19"/>
      <c r="AZ48"/>
      <c r="BA48"/>
      <c r="BB48"/>
      <c r="BC48"/>
      <c r="BD48"/>
      <c r="BE48"/>
      <c r="BF48"/>
      <c r="BG48"/>
      <c r="BH48"/>
      <c r="BI48"/>
      <c r="BJ48"/>
      <c r="BK48"/>
      <c r="BL48"/>
      <c r="BM48"/>
      <c r="BN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row>
    <row r="49" spans="2:103" s="1" customFormat="1" ht="16.5" hidden="1" outlineLevel="1" thickTop="1" thickBot="1" x14ac:dyDescent="0.3">
      <c r="B49" s="20" t="s">
        <v>310</v>
      </c>
      <c r="C49" s="20" t="s">
        <v>13</v>
      </c>
      <c r="D49" s="97" t="s">
        <v>17</v>
      </c>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56" t="s">
        <v>224</v>
      </c>
      <c r="AI49" s="20"/>
      <c r="AJ49" s="20" t="s">
        <v>15</v>
      </c>
      <c r="AZ49"/>
      <c r="BA49"/>
      <c r="BB49"/>
      <c r="BC49"/>
      <c r="BD49"/>
      <c r="BE49"/>
      <c r="BF49"/>
      <c r="BG49"/>
      <c r="BH49"/>
      <c r="BI49"/>
      <c r="BJ49"/>
      <c r="BK49"/>
      <c r="BL49"/>
      <c r="BM49"/>
      <c r="BN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row>
    <row r="50" spans="2:103" hidden="1" outlineLevel="1" x14ac:dyDescent="0.25">
      <c r="D50" s="100">
        <f>'Core Loads'!$C$14</f>
        <v>2025</v>
      </c>
      <c r="E50" s="100">
        <f>'Core Loads'!$D$14</f>
        <v>2026</v>
      </c>
      <c r="F50" s="100">
        <f>'Core Loads'!$E$14</f>
        <v>2027</v>
      </c>
      <c r="G50" s="100">
        <f>'Core Loads'!$F$14</f>
        <v>2028</v>
      </c>
      <c r="H50" s="100">
        <f>'Core Loads'!$G$14</f>
        <v>2029</v>
      </c>
      <c r="I50" s="100">
        <f>'Core Loads'!$H$14</f>
        <v>2030</v>
      </c>
      <c r="J50" s="100">
        <f>'Core Loads'!$I$14</f>
        <v>2031</v>
      </c>
      <c r="K50" s="100">
        <f>'Core Loads'!$J$14</f>
        <v>2032</v>
      </c>
      <c r="L50" s="100">
        <f>'Core Loads'!$K$14</f>
        <v>2033</v>
      </c>
      <c r="M50" s="100">
        <f>'Core Loads'!$L$14</f>
        <v>2034</v>
      </c>
      <c r="N50" s="100">
        <f>'Core Loads'!$M$14</f>
        <v>2035</v>
      </c>
      <c r="O50" s="100">
        <f>'Core Loads'!$N$14</f>
        <v>2036</v>
      </c>
      <c r="P50" s="100">
        <f>'Core Loads'!$O$14</f>
        <v>2037</v>
      </c>
      <c r="Q50" s="100">
        <f>'Core Loads'!$P$14</f>
        <v>2038</v>
      </c>
      <c r="R50" s="100">
        <f>'Core Loads'!$Q$14</f>
        <v>2039</v>
      </c>
      <c r="S50" s="100">
        <f>'Core Loads'!$R$14</f>
        <v>2040</v>
      </c>
      <c r="T50" s="100">
        <f>'Core Loads'!$S$14</f>
        <v>2041</v>
      </c>
      <c r="U50" s="100">
        <f>'Core Loads'!$T$14</f>
        <v>2042</v>
      </c>
      <c r="V50" s="100">
        <f>'Core Loads'!$U$14</f>
        <v>2043</v>
      </c>
      <c r="W50" s="100">
        <f>'Core Loads'!$V$14</f>
        <v>2044</v>
      </c>
      <c r="X50" s="100">
        <f>'Core Loads'!$W$14</f>
        <v>2045</v>
      </c>
      <c r="Y50" s="100">
        <f>'Core Loads'!$X$14</f>
        <v>2046</v>
      </c>
      <c r="Z50" s="100">
        <f>'Core Loads'!$Y$14</f>
        <v>2047</v>
      </c>
      <c r="AA50" s="100">
        <f>'Core Loads'!$Z$14</f>
        <v>2048</v>
      </c>
      <c r="AB50" s="100">
        <f>'Core Loads'!$AA$14</f>
        <v>2049</v>
      </c>
      <c r="AC50" s="100">
        <f>'Core Loads'!$AB$14</f>
        <v>2050</v>
      </c>
      <c r="AD50" s="100">
        <f>'Core Loads'!$AC$14</f>
        <v>2051</v>
      </c>
      <c r="AE50" s="100">
        <f>'Core Loads'!$AD$14</f>
        <v>2052</v>
      </c>
      <c r="AF50" s="100">
        <f>'Core Loads'!$AE$14</f>
        <v>2053</v>
      </c>
      <c r="AG50" s="100">
        <f>'Core Loads'!$AF$14</f>
        <v>2054</v>
      </c>
      <c r="AH50" s="8"/>
      <c r="AM50" s="1"/>
      <c r="AN50" s="1"/>
      <c r="AO50" s="1"/>
      <c r="AP50" s="1"/>
      <c r="AQ50" s="1"/>
      <c r="AR50" s="1"/>
      <c r="AS50" s="1"/>
      <c r="AT50" s="1"/>
      <c r="AU50" s="1"/>
      <c r="AV50" s="1"/>
      <c r="AW50" s="1"/>
      <c r="AX50" s="1"/>
    </row>
    <row r="51" spans="2:103" s="1" customFormat="1" hidden="1" outlineLevel="1" x14ac:dyDescent="0.25">
      <c r="B51" t="s">
        <v>141</v>
      </c>
      <c r="C51" t="s">
        <v>109</v>
      </c>
      <c r="D51" s="98">
        <f>'Core Commodities Use'!D124+'Core Commodities Use'!D131</f>
        <v>0</v>
      </c>
      <c r="E51" s="98">
        <f>'Core Commodities Use'!E124+'Core Commodities Use'!E131</f>
        <v>2865758.5345967412</v>
      </c>
      <c r="F51" s="98">
        <f>'Core Commodities Use'!F124+'Core Commodities Use'!F131</f>
        <v>0</v>
      </c>
      <c r="G51" s="98">
        <f>'Core Commodities Use'!G124+'Core Commodities Use'!G131</f>
        <v>0</v>
      </c>
      <c r="H51" s="98">
        <f>'Core Commodities Use'!H124+'Core Commodities Use'!H131</f>
        <v>0</v>
      </c>
      <c r="I51" s="98">
        <f>'Core Commodities Use'!I124+'Core Commodities Use'!I131</f>
        <v>0</v>
      </c>
      <c r="J51" s="98">
        <f>'Core Commodities Use'!J124+'Core Commodities Use'!J131</f>
        <v>0</v>
      </c>
      <c r="K51" s="98">
        <f>'Core Commodities Use'!K124+'Core Commodities Use'!K131</f>
        <v>0</v>
      </c>
      <c r="L51" s="98">
        <f>'Core Commodities Use'!L124+'Core Commodities Use'!L131</f>
        <v>0</v>
      </c>
      <c r="M51" s="98">
        <f>'Core Commodities Use'!M124+'Core Commodities Use'!M131</f>
        <v>0</v>
      </c>
      <c r="N51" s="98">
        <f>'Core Commodities Use'!N124+'Core Commodities Use'!N131</f>
        <v>0</v>
      </c>
      <c r="O51" s="98">
        <f>'Core Commodities Use'!O124+'Core Commodities Use'!O131</f>
        <v>0</v>
      </c>
      <c r="P51" s="98">
        <f>'Core Commodities Use'!P124+'Core Commodities Use'!P131</f>
        <v>0</v>
      </c>
      <c r="Q51" s="98">
        <f>'Core Commodities Use'!Q124+'Core Commodities Use'!Q131</f>
        <v>0</v>
      </c>
      <c r="R51" s="98">
        <f>'Core Commodities Use'!R124+'Core Commodities Use'!R131</f>
        <v>0</v>
      </c>
      <c r="S51" s="98">
        <f>'Core Commodities Use'!S124+'Core Commodities Use'!S131</f>
        <v>0</v>
      </c>
      <c r="T51" s="98">
        <f>'Core Commodities Use'!T124+'Core Commodities Use'!T131</f>
        <v>0</v>
      </c>
      <c r="U51" s="98">
        <f>'Core Commodities Use'!U124+'Core Commodities Use'!U131</f>
        <v>0</v>
      </c>
      <c r="V51" s="98">
        <f>'Core Commodities Use'!V124+'Core Commodities Use'!V131</f>
        <v>0</v>
      </c>
      <c r="W51" s="98">
        <f>'Core Commodities Use'!W124+'Core Commodities Use'!W131</f>
        <v>0</v>
      </c>
      <c r="X51" s="98">
        <f>'Core Commodities Use'!X124+'Core Commodities Use'!X131</f>
        <v>0</v>
      </c>
      <c r="Y51" s="98">
        <f>'Core Commodities Use'!Y124+'Core Commodities Use'!Y131</f>
        <v>0</v>
      </c>
      <c r="Z51" s="98">
        <f>'Core Commodities Use'!Z124+'Core Commodities Use'!Z131</f>
        <v>0</v>
      </c>
      <c r="AA51" s="98">
        <f>'Core Commodities Use'!AA124+'Core Commodities Use'!AA131</f>
        <v>0</v>
      </c>
      <c r="AB51" s="98">
        <f>'Core Commodities Use'!AB124+'Core Commodities Use'!AB131</f>
        <v>0</v>
      </c>
      <c r="AC51" s="98">
        <f>'Core Commodities Use'!AC124+'Core Commodities Use'!AC131</f>
        <v>0</v>
      </c>
      <c r="AD51" s="98">
        <f>'Core Commodities Use'!AD124+'Core Commodities Use'!AD131</f>
        <v>0</v>
      </c>
      <c r="AE51" s="98">
        <f>'Core Commodities Use'!AE124+'Core Commodities Use'!AE131</f>
        <v>0</v>
      </c>
      <c r="AF51" s="98">
        <f>'Core Commodities Use'!AF124+'Core Commodities Use'!AF131</f>
        <v>0</v>
      </c>
      <c r="AG51" s="98">
        <f>'Core Commodities Use'!AG124+'Core Commodities Use'!AG131</f>
        <v>0</v>
      </c>
      <c r="AH51" s="53">
        <f>SUM(D51:AG51)</f>
        <v>2865758.5345967412</v>
      </c>
      <c r="AI51"/>
      <c r="AJ51" s="23" t="s">
        <v>311</v>
      </c>
      <c r="AZ51"/>
      <c r="BA51"/>
      <c r="BB51"/>
      <c r="BC51"/>
      <c r="BD51"/>
      <c r="BE51"/>
      <c r="BF51"/>
      <c r="BG51"/>
      <c r="BH51"/>
      <c r="BI51"/>
      <c r="BJ51"/>
      <c r="BK51"/>
      <c r="BL51"/>
      <c r="BM51"/>
      <c r="BN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row>
    <row r="52" spans="2:103" s="1" customFormat="1" hidden="1" outlineLevel="1" x14ac:dyDescent="0.25">
      <c r="B52" t="s">
        <v>136</v>
      </c>
      <c r="C52" t="s">
        <v>169</v>
      </c>
      <c r="D52" s="98">
        <f>'Core Commodities Use'!D125+'Core Commodities Use'!D132</f>
        <v>31258877.283118241</v>
      </c>
      <c r="E52" s="98">
        <f>'Core Commodities Use'!E125+'Core Commodities Use'!E132</f>
        <v>31258877.283118241</v>
      </c>
      <c r="F52" s="98">
        <f>'Core Commodities Use'!F125+'Core Commodities Use'!F132</f>
        <v>13231647.348791353</v>
      </c>
      <c r="G52" s="98">
        <f>'Core Commodities Use'!G125+'Core Commodities Use'!G132</f>
        <v>12967671.873370046</v>
      </c>
      <c r="H52" s="98">
        <f>'Core Commodities Use'!H125+'Core Commodities Use'!H132</f>
        <v>12967671.873370046</v>
      </c>
      <c r="I52" s="98">
        <f>'Core Commodities Use'!I125+'Core Commodities Use'!I132</f>
        <v>12750842.004018847</v>
      </c>
      <c r="J52" s="98">
        <f>'Core Commodities Use'!J125+'Core Commodities Use'!J132</f>
        <v>12750842.004018847</v>
      </c>
      <c r="K52" s="98">
        <f>'Core Commodities Use'!K125+'Core Commodities Use'!K132</f>
        <v>12218669.935102589</v>
      </c>
      <c r="L52" s="98">
        <f>'Core Commodities Use'!L125+'Core Commodities Use'!L132</f>
        <v>12218669.935102589</v>
      </c>
      <c r="M52" s="98">
        <f>'Core Commodities Use'!M125+'Core Commodities Use'!M132</f>
        <v>12043802.794555094</v>
      </c>
      <c r="N52" s="98">
        <f>'Core Commodities Use'!N125+'Core Commodities Use'!N132</f>
        <v>12043802.794555094</v>
      </c>
      <c r="O52" s="98">
        <f>'Core Commodities Use'!O125+'Core Commodities Use'!O132</f>
        <v>11773318.044142656</v>
      </c>
      <c r="P52" s="98">
        <f>'Core Commodities Use'!P125+'Core Commodities Use'!P132</f>
        <v>11773318.044142656</v>
      </c>
      <c r="Q52" s="98">
        <f>'Core Commodities Use'!Q125+'Core Commodities Use'!Q132</f>
        <v>11708380.608110853</v>
      </c>
      <c r="R52" s="98">
        <f>'Core Commodities Use'!R125+'Core Commodities Use'!R132</f>
        <v>11708380.608110853</v>
      </c>
      <c r="S52" s="98">
        <f>'Core Commodities Use'!S125+'Core Commodities Use'!S132</f>
        <v>12487631.497734144</v>
      </c>
      <c r="T52" s="98">
        <f>'Core Commodities Use'!T125+'Core Commodities Use'!T132</f>
        <v>12487631.497734144</v>
      </c>
      <c r="U52" s="98">
        <f>'Core Commodities Use'!U125+'Core Commodities Use'!U132</f>
        <v>12455788.749060519</v>
      </c>
      <c r="V52" s="98">
        <f>'Core Commodities Use'!V125+'Core Commodities Use'!V132</f>
        <v>12455788.749060519</v>
      </c>
      <c r="W52" s="98">
        <f>'Core Commodities Use'!W125+'Core Commodities Use'!W132</f>
        <v>12421037.488191342</v>
      </c>
      <c r="X52" s="98">
        <f>'Core Commodities Use'!X125+'Core Commodities Use'!X132</f>
        <v>12421037.488191342</v>
      </c>
      <c r="Y52" s="98">
        <f>'Core Commodities Use'!Y125+'Core Commodities Use'!Y132</f>
        <v>12421037.488191342</v>
      </c>
      <c r="Z52" s="98">
        <f>'Core Commodities Use'!Z125+'Core Commodities Use'!Z132</f>
        <v>12421037.488191342</v>
      </c>
      <c r="AA52" s="98">
        <f>'Core Commodities Use'!AA125+'Core Commodities Use'!AA132</f>
        <v>12421037.488191342</v>
      </c>
      <c r="AB52" s="98">
        <f>'Core Commodities Use'!AB125+'Core Commodities Use'!AB132</f>
        <v>12421037.488191342</v>
      </c>
      <c r="AC52" s="98">
        <f>'Core Commodities Use'!AC125+'Core Commodities Use'!AC132</f>
        <v>12386201.919284876</v>
      </c>
      <c r="AD52" s="98">
        <f>'Core Commodities Use'!AD125+'Core Commodities Use'!AD132</f>
        <v>12386201.919284876</v>
      </c>
      <c r="AE52" s="98">
        <f>'Core Commodities Use'!AE125+'Core Commodities Use'!AE132</f>
        <v>12386201.919284876</v>
      </c>
      <c r="AF52" s="98">
        <f>'Core Commodities Use'!AF125+'Core Commodities Use'!AF132</f>
        <v>12386201.919284876</v>
      </c>
      <c r="AG52" s="98">
        <f>'Core Commodities Use'!AG125+'Core Commodities Use'!AG132</f>
        <v>12386201.919284876</v>
      </c>
      <c r="AH52" s="53">
        <f t="shared" ref="AH52:AH54" si="4">SUM(D52:AG52)</f>
        <v>409018847.4527899</v>
      </c>
      <c r="AI52"/>
      <c r="AJ52" s="23" t="s">
        <v>311</v>
      </c>
      <c r="AM52"/>
      <c r="AN52"/>
      <c r="AO52"/>
      <c r="AP52"/>
      <c r="AQ52"/>
      <c r="AR52"/>
      <c r="AS52"/>
      <c r="AT52"/>
      <c r="AU52"/>
      <c r="AV52"/>
      <c r="AW52"/>
      <c r="AX52"/>
      <c r="AZ52"/>
      <c r="BA52"/>
      <c r="BB52"/>
      <c r="BC52"/>
      <c r="BD52"/>
      <c r="BE52"/>
      <c r="BF52"/>
      <c r="BG52"/>
      <c r="BH52"/>
      <c r="BI52"/>
      <c r="BJ52"/>
      <c r="BK52"/>
      <c r="BL52"/>
      <c r="BM52"/>
      <c r="BN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row>
    <row r="53" spans="2:103" s="1" customFormat="1" hidden="1" outlineLevel="1" x14ac:dyDescent="0.25">
      <c r="B53" t="s">
        <v>154</v>
      </c>
      <c r="C53" t="s">
        <v>170</v>
      </c>
      <c r="D53" s="98">
        <f>'Core Commodities Use'!D126+'Core Commodities Use'!D133</f>
        <v>278436.87957137165</v>
      </c>
      <c r="E53" s="98">
        <f>'Core Commodities Use'!E126+'Core Commodities Use'!E133</f>
        <v>297204.70349500491</v>
      </c>
      <c r="F53" s="98">
        <f>'Core Commodities Use'!F126+'Core Commodities Use'!F133</f>
        <v>168874.65072308262</v>
      </c>
      <c r="G53" s="98">
        <f>'Core Commodities Use'!G126+'Core Commodities Use'!G133</f>
        <v>189729.76823222468</v>
      </c>
      <c r="H53" s="98">
        <f>'Core Commodities Use'!H126+'Core Commodities Use'!H133</f>
        <v>189729.76823222468</v>
      </c>
      <c r="I53" s="98">
        <f>'Core Commodities Use'!I126+'Core Commodities Use'!I133</f>
        <v>210959.01780681187</v>
      </c>
      <c r="J53" s="98">
        <f>'Core Commodities Use'!J126+'Core Commodities Use'!J133</f>
        <v>210959.01780681187</v>
      </c>
      <c r="K53" s="98">
        <f>'Core Commodities Use'!K126+'Core Commodities Use'!K133</f>
        <v>204508.3938066377</v>
      </c>
      <c r="L53" s="98">
        <f>'Core Commodities Use'!L126+'Core Commodities Use'!L133</f>
        <v>204508.3938066377</v>
      </c>
      <c r="M53" s="98">
        <f>'Core Commodities Use'!M126+'Core Commodities Use'!M133</f>
        <v>206948.18031278072</v>
      </c>
      <c r="N53" s="98">
        <f>'Core Commodities Use'!N126+'Core Commodities Use'!N133</f>
        <v>206948.18031278072</v>
      </c>
      <c r="O53" s="98">
        <f>'Core Commodities Use'!O126+'Core Commodities Use'!O133</f>
        <v>205098.19315986955</v>
      </c>
      <c r="P53" s="98">
        <f>'Core Commodities Use'!P126+'Core Commodities Use'!P133</f>
        <v>205098.19315986955</v>
      </c>
      <c r="Q53" s="98">
        <f>'Core Commodities Use'!Q126+'Core Commodities Use'!Q133</f>
        <v>204677.11497469028</v>
      </c>
      <c r="R53" s="98">
        <f>'Core Commodities Use'!R126+'Core Commodities Use'!R133</f>
        <v>204677.11497469028</v>
      </c>
      <c r="S53" s="98">
        <f>'Core Commodities Use'!S126+'Core Commodities Use'!S133</f>
        <v>235460.84056518428</v>
      </c>
      <c r="T53" s="98">
        <f>'Core Commodities Use'!T126+'Core Commodities Use'!T133</f>
        <v>235460.84056518428</v>
      </c>
      <c r="U53" s="98">
        <f>'Core Commodities Use'!U126+'Core Commodities Use'!U133</f>
        <v>235394.23290744744</v>
      </c>
      <c r="V53" s="98">
        <f>'Core Commodities Use'!V126+'Core Commodities Use'!V133</f>
        <v>235394.23290744744</v>
      </c>
      <c r="W53" s="98">
        <f>'Core Commodities Use'!W126+'Core Commodities Use'!W133</f>
        <v>234839.63347978302</v>
      </c>
      <c r="X53" s="98">
        <f>'Core Commodities Use'!X126+'Core Commodities Use'!X133</f>
        <v>234839.63347978302</v>
      </c>
      <c r="Y53" s="98">
        <f>'Core Commodities Use'!Y126+'Core Commodities Use'!Y133</f>
        <v>234839.63347978302</v>
      </c>
      <c r="Z53" s="98">
        <f>'Core Commodities Use'!Z126+'Core Commodities Use'!Z133</f>
        <v>234839.63347978302</v>
      </c>
      <c r="AA53" s="98">
        <f>'Core Commodities Use'!AA126+'Core Commodities Use'!AA133</f>
        <v>234839.63347978302</v>
      </c>
      <c r="AB53" s="98">
        <f>'Core Commodities Use'!AB126+'Core Commodities Use'!AB133</f>
        <v>234839.63347978302</v>
      </c>
      <c r="AC53" s="98">
        <f>'Core Commodities Use'!AC126+'Core Commodities Use'!AC133</f>
        <v>234104.83462259287</v>
      </c>
      <c r="AD53" s="98">
        <f>'Core Commodities Use'!AD126+'Core Commodities Use'!AD133</f>
        <v>234104.83462259287</v>
      </c>
      <c r="AE53" s="98">
        <f>'Core Commodities Use'!AE126+'Core Commodities Use'!AE133</f>
        <v>234104.83462259287</v>
      </c>
      <c r="AF53" s="98">
        <f>'Core Commodities Use'!AF126+'Core Commodities Use'!AF133</f>
        <v>234104.83462259287</v>
      </c>
      <c r="AG53" s="98">
        <f>'Core Commodities Use'!AG126+'Core Commodities Use'!AG133</f>
        <v>234104.83462259287</v>
      </c>
      <c r="AH53" s="53">
        <f t="shared" si="4"/>
        <v>6709629.6913124146</v>
      </c>
      <c r="AI53"/>
      <c r="AJ53" s="23" t="s">
        <v>311</v>
      </c>
      <c r="AM53"/>
      <c r="AN53"/>
      <c r="AO53"/>
      <c r="AP53"/>
      <c r="AQ53"/>
      <c r="AR53"/>
      <c r="AS53"/>
      <c r="AT53"/>
      <c r="AU53"/>
      <c r="AV53"/>
      <c r="AW53"/>
      <c r="AX53"/>
      <c r="AZ53"/>
      <c r="BA53"/>
      <c r="BB53"/>
      <c r="BC53"/>
      <c r="BD53"/>
      <c r="BE53"/>
      <c r="BF53"/>
      <c r="BG53"/>
      <c r="BH53"/>
      <c r="BI53"/>
      <c r="BJ53"/>
      <c r="BK53"/>
      <c r="BL53"/>
      <c r="BM53"/>
      <c r="BN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row>
    <row r="54" spans="2:103" s="1" customFormat="1" hidden="1" outlineLevel="1" x14ac:dyDescent="0.25">
      <c r="B54" t="s">
        <v>312</v>
      </c>
      <c r="C54" t="s">
        <v>313</v>
      </c>
      <c r="D54" s="98">
        <f>D51*'Global Inputs'!C$83+Outputs!D52*CO2_emissions_gas_tons_per_therm</f>
        <v>210153.43197440394</v>
      </c>
      <c r="E54" s="98">
        <f>E51*'Global Inputs'!D$83+Outputs!E52*CO2_emissions_gas_tons_per_therm</f>
        <v>210153.43197440394</v>
      </c>
      <c r="F54" s="98">
        <f>F51*'Global Inputs'!E$83+Outputs!F52*CO2_emissions_gas_tons_per_therm</f>
        <v>88956.365125924262</v>
      </c>
      <c r="G54" s="98">
        <f>G51*'Global Inputs'!F$83+Outputs!G52*CO2_emissions_gas_tons_per_therm</f>
        <v>87181.65800466681</v>
      </c>
      <c r="H54" s="98">
        <f>H51*'Global Inputs'!G$83+Outputs!H52*CO2_emissions_gas_tons_per_therm</f>
        <v>87181.65800466681</v>
      </c>
      <c r="I54" s="98">
        <f>I51*'Global Inputs'!H$83+Outputs!I52*CO2_emissions_gas_tons_per_therm</f>
        <v>85723.910793018702</v>
      </c>
      <c r="J54" s="98">
        <f>J51*'Global Inputs'!I$83+Outputs!J52*CO2_emissions_gas_tons_per_therm</f>
        <v>85723.910793018702</v>
      </c>
      <c r="K54" s="98">
        <f>K51*'Global Inputs'!J$83+Outputs!K52*CO2_emissions_gas_tons_per_therm</f>
        <v>82146.117973694709</v>
      </c>
      <c r="L54" s="98">
        <f>L51*'Global Inputs'!K$83+Outputs!L52*CO2_emissions_gas_tons_per_therm</f>
        <v>82146.117973694709</v>
      </c>
      <c r="M54" s="98">
        <f>M51*'Global Inputs'!L$83+Outputs!M52*CO2_emissions_gas_tons_per_therm</f>
        <v>80970.486187793897</v>
      </c>
      <c r="N54" s="98">
        <f>N51*'Global Inputs'!M$83+Outputs!N52*CO2_emissions_gas_tons_per_therm</f>
        <v>80970.486187793897</v>
      </c>
      <c r="O54" s="98">
        <f>O51*'Global Inputs'!N$83+Outputs!O52*CO2_emissions_gas_tons_per_therm</f>
        <v>79152.017210771068</v>
      </c>
      <c r="P54" s="98">
        <f>P51*'Global Inputs'!O$83+Outputs!P52*CO2_emissions_gas_tons_per_therm</f>
        <v>79152.017210771068</v>
      </c>
      <c r="Q54" s="98">
        <f>Q51*'Global Inputs'!P$83+Outputs!Q52*CO2_emissions_gas_tons_per_therm</f>
        <v>78715.442828329265</v>
      </c>
      <c r="R54" s="98">
        <f>R51*'Global Inputs'!Q$83+Outputs!R52*CO2_emissions_gas_tons_per_therm</f>
        <v>78715.442828329265</v>
      </c>
      <c r="S54" s="98">
        <f>S51*'Global Inputs'!R$83+Outputs!S52*CO2_emissions_gas_tons_per_therm</f>
        <v>83954.346559266647</v>
      </c>
      <c r="T54" s="98">
        <f>T51*'Global Inputs'!S$83+Outputs!T52*CO2_emissions_gas_tons_per_therm</f>
        <v>83954.346559266647</v>
      </c>
      <c r="U54" s="98">
        <f>U51*'Global Inputs'!T$83+Outputs!U52*CO2_emissions_gas_tons_per_therm</f>
        <v>83740.267759933864</v>
      </c>
      <c r="V54" s="98">
        <f>V51*'Global Inputs'!U$83+Outputs!V52*CO2_emissions_gas_tons_per_therm</f>
        <v>83740.267759933864</v>
      </c>
      <c r="W54" s="98">
        <f>W51*'Global Inputs'!V$83+Outputs!W52*CO2_emissions_gas_tons_per_therm</f>
        <v>83506.635033110389</v>
      </c>
      <c r="X54" s="98">
        <f>X51*'Global Inputs'!W$83+Outputs!X52*CO2_emissions_gas_tons_per_therm</f>
        <v>83506.635033110389</v>
      </c>
      <c r="Y54" s="98">
        <f>Y51*'Global Inputs'!X$83+Outputs!Y52*CO2_emissions_gas_tons_per_therm</f>
        <v>83506.635033110389</v>
      </c>
      <c r="Z54" s="98">
        <f>Z51*'Global Inputs'!Y$83+Outputs!Z52*CO2_emissions_gas_tons_per_therm</f>
        <v>83506.635033110389</v>
      </c>
      <c r="AA54" s="98">
        <f>AA51*'Global Inputs'!Z$83+Outputs!AA52*CO2_emissions_gas_tons_per_therm</f>
        <v>83506.635033110389</v>
      </c>
      <c r="AB54" s="98">
        <f>AB51*'Global Inputs'!AA$83+Outputs!AB52*CO2_emissions_gas_tons_per_therm</f>
        <v>83506.635033110389</v>
      </c>
      <c r="AC54" s="98">
        <f>AC51*'Global Inputs'!AB$83+Outputs!AC52*CO2_emissions_gas_tons_per_therm</f>
        <v>83272.435503352215</v>
      </c>
      <c r="AD54" s="98">
        <f>AD51*'Global Inputs'!AC$83+Outputs!AD52*CO2_emissions_gas_tons_per_therm</f>
        <v>83272.435503352215</v>
      </c>
      <c r="AE54" s="98">
        <f>AE51*'Global Inputs'!AD$83+Outputs!AE52*CO2_emissions_gas_tons_per_therm</f>
        <v>83272.435503352215</v>
      </c>
      <c r="AF54" s="98">
        <f>AF51*'Global Inputs'!AE$83+Outputs!AF52*CO2_emissions_gas_tons_per_therm</f>
        <v>83272.435503352215</v>
      </c>
      <c r="AG54" s="98">
        <f>AG51*'Global Inputs'!AF$83+Outputs!AG52*CO2_emissions_gas_tons_per_therm</f>
        <v>83272.435503352215</v>
      </c>
      <c r="AH54" s="53">
        <f t="shared" si="4"/>
        <v>2749833.711425106</v>
      </c>
      <c r="AI54"/>
      <c r="AJ54" s="23"/>
      <c r="AZ54"/>
      <c r="BA54"/>
      <c r="BB54"/>
      <c r="BC54"/>
      <c r="BD54"/>
      <c r="BE54"/>
      <c r="BF54"/>
      <c r="BG54"/>
      <c r="BH54"/>
      <c r="BI54"/>
      <c r="BJ54"/>
      <c r="BK54"/>
      <c r="BL54"/>
      <c r="BM54"/>
      <c r="BN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row>
    <row r="55" spans="2:103" hidden="1" outlineLevel="1" x14ac:dyDescent="0.25">
      <c r="B55" t="s">
        <v>314</v>
      </c>
      <c r="C55" t="s">
        <v>315</v>
      </c>
      <c r="AG55" s="51">
        <f>AG51*Btuh_per_W/'Global Inputs'!$D$17+AG52*'Global Inputs'!$D$16/'Global Inputs'!$D$17/'Global Inputs'!$D$17</f>
        <v>1238620.1919284875</v>
      </c>
      <c r="AH55" s="53">
        <f>AH51*Btuh_per_W/'Global Inputs'!$D$17+AH52*'Global Inputs'!$D$16/'Global Inputs'!$D$17/'Global Inputs'!$D$17</f>
        <v>40911662.713399038</v>
      </c>
      <c r="AM55" s="1"/>
      <c r="AN55" s="1"/>
      <c r="AO55" s="1"/>
      <c r="AP55" s="1"/>
      <c r="AQ55" s="1"/>
      <c r="AR55" s="1"/>
      <c r="AS55" s="1"/>
      <c r="AT55" s="1"/>
      <c r="AU55" s="1"/>
      <c r="AV55" s="1"/>
      <c r="AW55" s="1"/>
      <c r="AX55" s="1"/>
    </row>
    <row r="56" spans="2:103" hidden="1" outlineLevel="1" x14ac:dyDescent="0.25">
      <c r="AH56" s="54"/>
    </row>
    <row r="57" spans="2:103" s="1" customFormat="1" ht="17.25" hidden="1" outlineLevel="1" thickBot="1" x14ac:dyDescent="0.3">
      <c r="B57" s="19" t="s">
        <v>286</v>
      </c>
      <c r="C57" s="19"/>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c r="AD57" s="96"/>
      <c r="AE57" s="96"/>
      <c r="AF57" s="96"/>
      <c r="AG57" s="96"/>
      <c r="AH57" s="55"/>
      <c r="AI57" s="19"/>
      <c r="AJ57" s="19"/>
      <c r="AZ57"/>
      <c r="BA57"/>
      <c r="BB57"/>
      <c r="BC57"/>
      <c r="BD57"/>
      <c r="BE57"/>
      <c r="BF57"/>
      <c r="BG57"/>
      <c r="BH57"/>
      <c r="BI57"/>
      <c r="BJ57"/>
      <c r="BK57"/>
      <c r="BL57"/>
      <c r="BM57"/>
      <c r="BN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row>
    <row r="58" spans="2:103" s="1" customFormat="1" ht="16.5" hidden="1" outlineLevel="1" thickTop="1" thickBot="1" x14ac:dyDescent="0.3">
      <c r="B58" s="20" t="s">
        <v>310</v>
      </c>
      <c r="C58" s="20" t="s">
        <v>13</v>
      </c>
      <c r="D58" s="97" t="s">
        <v>17</v>
      </c>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56" t="s">
        <v>224</v>
      </c>
      <c r="AI58" s="20"/>
      <c r="AJ58" s="20" t="s">
        <v>15</v>
      </c>
      <c r="AZ58"/>
      <c r="BA58"/>
      <c r="BB58"/>
      <c r="BC58"/>
      <c r="BD58"/>
      <c r="BE58"/>
      <c r="BF58"/>
      <c r="BG58"/>
      <c r="BH58"/>
      <c r="BI58"/>
      <c r="BJ58"/>
      <c r="BK58"/>
      <c r="BL58"/>
      <c r="BM58"/>
      <c r="BN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row>
    <row r="59" spans="2:103" hidden="1" outlineLevel="1" x14ac:dyDescent="0.25">
      <c r="D59" s="100">
        <f>'Core Loads'!$C$14</f>
        <v>2025</v>
      </c>
      <c r="E59" s="100">
        <f>'Core Loads'!$D$14</f>
        <v>2026</v>
      </c>
      <c r="F59" s="100">
        <f>'Core Loads'!$E$14</f>
        <v>2027</v>
      </c>
      <c r="G59" s="100">
        <f>'Core Loads'!$F$14</f>
        <v>2028</v>
      </c>
      <c r="H59" s="100">
        <f>'Core Loads'!$G$14</f>
        <v>2029</v>
      </c>
      <c r="I59" s="100">
        <f>'Core Loads'!$H$14</f>
        <v>2030</v>
      </c>
      <c r="J59" s="100">
        <f>'Core Loads'!$I$14</f>
        <v>2031</v>
      </c>
      <c r="K59" s="100">
        <f>'Core Loads'!$J$14</f>
        <v>2032</v>
      </c>
      <c r="L59" s="100">
        <f>'Core Loads'!$K$14</f>
        <v>2033</v>
      </c>
      <c r="M59" s="100">
        <f>'Core Loads'!$L$14</f>
        <v>2034</v>
      </c>
      <c r="N59" s="100">
        <f>'Core Loads'!$M$14</f>
        <v>2035</v>
      </c>
      <c r="O59" s="100">
        <f>'Core Loads'!$N$14</f>
        <v>2036</v>
      </c>
      <c r="P59" s="100">
        <f>'Core Loads'!$O$14</f>
        <v>2037</v>
      </c>
      <c r="Q59" s="100">
        <f>'Core Loads'!$P$14</f>
        <v>2038</v>
      </c>
      <c r="R59" s="100">
        <f>'Core Loads'!$Q$14</f>
        <v>2039</v>
      </c>
      <c r="S59" s="100">
        <f>'Core Loads'!$R$14</f>
        <v>2040</v>
      </c>
      <c r="T59" s="100">
        <f>'Core Loads'!$S$14</f>
        <v>2041</v>
      </c>
      <c r="U59" s="100">
        <f>'Core Loads'!$T$14</f>
        <v>2042</v>
      </c>
      <c r="V59" s="100">
        <f>'Core Loads'!$U$14</f>
        <v>2043</v>
      </c>
      <c r="W59" s="100">
        <f>'Core Loads'!$V$14</f>
        <v>2044</v>
      </c>
      <c r="X59" s="100">
        <f>'Core Loads'!$W$14</f>
        <v>2045</v>
      </c>
      <c r="Y59" s="100">
        <f>'Core Loads'!$X$14</f>
        <v>2046</v>
      </c>
      <c r="Z59" s="100">
        <f>'Core Loads'!$Y$14</f>
        <v>2047</v>
      </c>
      <c r="AA59" s="100">
        <f>'Core Loads'!$Z$14</f>
        <v>2048</v>
      </c>
      <c r="AB59" s="100">
        <f>'Core Loads'!$AA$14</f>
        <v>2049</v>
      </c>
      <c r="AC59" s="100">
        <f>'Core Loads'!$AB$14</f>
        <v>2050</v>
      </c>
      <c r="AD59" s="100">
        <f>'Core Loads'!$AC$14</f>
        <v>2051</v>
      </c>
      <c r="AE59" s="100">
        <f>'Core Loads'!$AD$14</f>
        <v>2052</v>
      </c>
      <c r="AF59" s="100">
        <f>'Core Loads'!$AE$14</f>
        <v>2053</v>
      </c>
      <c r="AG59" s="100">
        <f>'Core Loads'!$AF$14</f>
        <v>2054</v>
      </c>
      <c r="AH59" s="8"/>
      <c r="AM59" s="1"/>
      <c r="AN59" s="1"/>
      <c r="AO59" s="1"/>
      <c r="AP59" s="1"/>
      <c r="AQ59" s="1"/>
      <c r="AR59" s="1"/>
      <c r="AS59" s="1"/>
      <c r="AT59" s="1"/>
      <c r="AU59" s="1"/>
      <c r="AV59" s="1"/>
      <c r="AW59" s="1"/>
      <c r="AX59" s="1"/>
    </row>
    <row r="60" spans="2:103" s="1" customFormat="1" ht="17.25" hidden="1" outlineLevel="1" thickBot="1" x14ac:dyDescent="0.3">
      <c r="B60" t="s">
        <v>141</v>
      </c>
      <c r="C60" t="s">
        <v>109</v>
      </c>
      <c r="D60" s="98">
        <f>'Core Commodities Use'!D140+'Core Commodities Use'!D147</f>
        <v>0</v>
      </c>
      <c r="E60" s="98">
        <f>'Core Commodities Use'!E140+'Core Commodities Use'!E147</f>
        <v>2865758.5345967412</v>
      </c>
      <c r="F60" s="98">
        <f>'Core Commodities Use'!F140+'Core Commodities Use'!F147</f>
        <v>213515470.00814971</v>
      </c>
      <c r="G60" s="98">
        <f>'Core Commodities Use'!G140+'Core Commodities Use'!G147</f>
        <v>229465787.09521624</v>
      </c>
      <c r="H60" s="98">
        <f>'Core Commodities Use'!H140+'Core Commodities Use'!H147</f>
        <v>229465787.09521624</v>
      </c>
      <c r="I60" s="98">
        <f>'Core Commodities Use'!I140+'Core Commodities Use'!I147</f>
        <v>234269958.37737536</v>
      </c>
      <c r="J60" s="98">
        <f>'Core Commodities Use'!J140+'Core Commodities Use'!J147</f>
        <v>234269958.37737536</v>
      </c>
      <c r="K60" s="98">
        <f>'Core Commodities Use'!K140+'Core Commodities Use'!K147</f>
        <v>223444695.67282408</v>
      </c>
      <c r="L60" s="98">
        <f>'Core Commodities Use'!L140+'Core Commodities Use'!L147</f>
        <v>223444695.67282408</v>
      </c>
      <c r="M60" s="98">
        <f>'Core Commodities Use'!M140+'Core Commodities Use'!M147</f>
        <v>223635944.05278075</v>
      </c>
      <c r="N60" s="98">
        <f>'Core Commodities Use'!N140+'Core Commodities Use'!N147</f>
        <v>223635944.05278075</v>
      </c>
      <c r="O60" s="98">
        <f>'Core Commodities Use'!O140+'Core Commodities Use'!O147</f>
        <v>221889618.50614679</v>
      </c>
      <c r="P60" s="98">
        <f>'Core Commodities Use'!P140+'Core Commodities Use'!P147</f>
        <v>221889618.50614679</v>
      </c>
      <c r="Q60" s="98">
        <f>'Core Commodities Use'!Q140+'Core Commodities Use'!Q147</f>
        <v>221508563.44931492</v>
      </c>
      <c r="R60" s="98">
        <f>'Core Commodities Use'!R140+'Core Commodities Use'!R147</f>
        <v>221508563.44931492</v>
      </c>
      <c r="S60" s="98">
        <f>'Core Commodities Use'!S140+'Core Commodities Use'!S147</f>
        <v>263195564.81473142</v>
      </c>
      <c r="T60" s="98">
        <f>'Core Commodities Use'!T140+'Core Commodities Use'!T147</f>
        <v>263195564.81473142</v>
      </c>
      <c r="U60" s="98">
        <f>'Core Commodities Use'!U140+'Core Commodities Use'!U147</f>
        <v>263082526.47690898</v>
      </c>
      <c r="V60" s="98">
        <f>'Core Commodities Use'!V140+'Core Commodities Use'!V147</f>
        <v>263082526.47690898</v>
      </c>
      <c r="W60" s="98">
        <f>'Core Commodities Use'!W140+'Core Commodities Use'!W147</f>
        <v>262508797.67526135</v>
      </c>
      <c r="X60" s="98">
        <f>'Core Commodities Use'!X140+'Core Commodities Use'!X147</f>
        <v>262508797.67526135</v>
      </c>
      <c r="Y60" s="98">
        <f>'Core Commodities Use'!Y140+'Core Commodities Use'!Y147</f>
        <v>262508797.67526135</v>
      </c>
      <c r="Z60" s="98">
        <f>'Core Commodities Use'!Z140+'Core Commodities Use'!Z147</f>
        <v>262508797.67526135</v>
      </c>
      <c r="AA60" s="98">
        <f>'Core Commodities Use'!AA140+'Core Commodities Use'!AA147</f>
        <v>262508797.67526135</v>
      </c>
      <c r="AB60" s="98">
        <f>'Core Commodities Use'!AB140+'Core Commodities Use'!AB147</f>
        <v>262508797.67526135</v>
      </c>
      <c r="AC60" s="98">
        <f>'Core Commodities Use'!AC140+'Core Commodities Use'!AC147</f>
        <v>261801987.10315412</v>
      </c>
      <c r="AD60" s="98">
        <f>'Core Commodities Use'!AD140+'Core Commodities Use'!AD147</f>
        <v>261801987.10315412</v>
      </c>
      <c r="AE60" s="98">
        <f>'Core Commodities Use'!AE140+'Core Commodities Use'!AE147</f>
        <v>261801987.10315412</v>
      </c>
      <c r="AF60" s="98">
        <f>'Core Commodities Use'!AF140+'Core Commodities Use'!AF147</f>
        <v>261801987.10315412</v>
      </c>
      <c r="AG60" s="98">
        <f>'Core Commodities Use'!AG140+'Core Commodities Use'!AG147</f>
        <v>261801987.10315412</v>
      </c>
      <c r="AH60" s="53">
        <f>SUM(D60:AG60)</f>
        <v>6861429267.0006847</v>
      </c>
      <c r="AI60"/>
      <c r="AJ60" s="23" t="s">
        <v>317</v>
      </c>
      <c r="AM60" s="19" t="s">
        <v>92</v>
      </c>
      <c r="AN60" s="19"/>
      <c r="AO60" s="19"/>
      <c r="AP60" s="19"/>
      <c r="AQ60" s="19"/>
      <c r="AR60" s="19"/>
      <c r="AS60" s="19"/>
      <c r="AT60" s="19"/>
      <c r="AU60" s="19"/>
      <c r="AV60" s="19"/>
      <c r="AW60" s="19"/>
      <c r="AX60" s="19"/>
      <c r="AZ60"/>
      <c r="BA60"/>
      <c r="BB60"/>
      <c r="BC60"/>
      <c r="BD60"/>
      <c r="BE60"/>
      <c r="BF60"/>
      <c r="BG60"/>
      <c r="BH60"/>
      <c r="BI60"/>
      <c r="BJ60"/>
      <c r="BK60"/>
      <c r="BL60"/>
      <c r="BM60"/>
      <c r="BN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row>
    <row r="61" spans="2:103" s="1" customFormat="1" ht="15.75" hidden="1" outlineLevel="1" thickTop="1" x14ac:dyDescent="0.25">
      <c r="B61" t="s">
        <v>136</v>
      </c>
      <c r="C61" t="s">
        <v>169</v>
      </c>
      <c r="D61" s="98">
        <f>'Core Commodities Use'!D141+'Core Commodities Use'!D148</f>
        <v>31258877.283118241</v>
      </c>
      <c r="E61" s="98">
        <f>'Core Commodities Use'!E141+'Core Commodities Use'!E148</f>
        <v>31258877.283118241</v>
      </c>
      <c r="F61" s="98">
        <f>'Core Commodities Use'!F141+'Core Commodities Use'!F148</f>
        <v>8313140.9880687799</v>
      </c>
      <c r="G61" s="98">
        <f>'Core Commodities Use'!G141+'Core Commodities Use'!G148</f>
        <v>8136703.1927119317</v>
      </c>
      <c r="H61" s="98">
        <f>'Core Commodities Use'!H141+'Core Commodities Use'!H148</f>
        <v>8136703.1927119317</v>
      </c>
      <c r="I61" s="98">
        <f>'Core Commodities Use'!I141+'Core Commodities Use'!I148</f>
        <v>8007874.6843401222</v>
      </c>
      <c r="J61" s="98">
        <f>'Core Commodities Use'!J141+'Core Commodities Use'!J148</f>
        <v>8007874.6843401222</v>
      </c>
      <c r="K61" s="98">
        <f>'Core Commodities Use'!K141+'Core Commodities Use'!K148</f>
        <v>7626218.3372912602</v>
      </c>
      <c r="L61" s="98">
        <f>'Core Commodities Use'!L141+'Core Commodities Use'!L148</f>
        <v>7626218.3372912602</v>
      </c>
      <c r="M61" s="98">
        <f>'Core Commodities Use'!M141+'Core Commodities Use'!M148</f>
        <v>7500809.3615512364</v>
      </c>
      <c r="N61" s="98">
        <f>'Core Commodities Use'!N141+'Core Commodities Use'!N148</f>
        <v>7500809.3615512364</v>
      </c>
      <c r="O61" s="98">
        <f>'Core Commodities Use'!O141+'Core Commodities Use'!O148</f>
        <v>7325257.4422050472</v>
      </c>
      <c r="P61" s="98">
        <f>'Core Commodities Use'!P141+'Core Commodities Use'!P148</f>
        <v>7325257.4422050472</v>
      </c>
      <c r="Q61" s="98">
        <f>'Core Commodities Use'!Q141+'Core Commodities Use'!Q148</f>
        <v>7286849.5097296908</v>
      </c>
      <c r="R61" s="98">
        <f>'Core Commodities Use'!R141+'Core Commodities Use'!R148</f>
        <v>7286849.5097296908</v>
      </c>
      <c r="S61" s="98">
        <f>'Core Commodities Use'!S141+'Core Commodities Use'!S148</f>
        <v>7806338.301771313</v>
      </c>
      <c r="T61" s="98">
        <f>'Core Commodities Use'!T141+'Core Commodities Use'!T148</f>
        <v>7806338.301771313</v>
      </c>
      <c r="U61" s="98">
        <f>'Core Commodities Use'!U141+'Core Commodities Use'!U148</f>
        <v>7786557.2135725571</v>
      </c>
      <c r="V61" s="98">
        <f>'Core Commodities Use'!V141+'Core Commodities Use'!V148</f>
        <v>7786557.2135725571</v>
      </c>
      <c r="W61" s="98">
        <f>'Core Commodities Use'!W141+'Core Commodities Use'!W148</f>
        <v>7761634.7494799159</v>
      </c>
      <c r="X61" s="98">
        <f>'Core Commodities Use'!X141+'Core Commodities Use'!X148</f>
        <v>7761634.7494799159</v>
      </c>
      <c r="Y61" s="98">
        <f>'Core Commodities Use'!Y141+'Core Commodities Use'!Y148</f>
        <v>7761634.7494799159</v>
      </c>
      <c r="Z61" s="98">
        <f>'Core Commodities Use'!Z141+'Core Commodities Use'!Z148</f>
        <v>7761634.7494799159</v>
      </c>
      <c r="AA61" s="98">
        <f>'Core Commodities Use'!AA141+'Core Commodities Use'!AA148</f>
        <v>7761634.7494799159</v>
      </c>
      <c r="AB61" s="98">
        <f>'Core Commodities Use'!AB141+'Core Commodities Use'!AB148</f>
        <v>7761634.7494799159</v>
      </c>
      <c r="AC61" s="98">
        <f>'Core Commodities Use'!AC141+'Core Commodities Use'!AC148</f>
        <v>7736651.8224291112</v>
      </c>
      <c r="AD61" s="98">
        <f>'Core Commodities Use'!AD141+'Core Commodities Use'!AD148</f>
        <v>7736651.8224291112</v>
      </c>
      <c r="AE61" s="98">
        <f>'Core Commodities Use'!AE141+'Core Commodities Use'!AE148</f>
        <v>7736651.8224291112</v>
      </c>
      <c r="AF61" s="98">
        <f>'Core Commodities Use'!AF141+'Core Commodities Use'!AF148</f>
        <v>7736651.8224291112</v>
      </c>
      <c r="AG61" s="98">
        <f>'Core Commodities Use'!AG141+'Core Commodities Use'!AG148</f>
        <v>7736651.8224291112</v>
      </c>
      <c r="AH61" s="53">
        <f t="shared" ref="AH61:AH62" si="5">SUM(D61:AG61)</f>
        <v>279037179.24967664</v>
      </c>
      <c r="AI61"/>
      <c r="AJ61" s="23" t="s">
        <v>317</v>
      </c>
      <c r="AZ61"/>
      <c r="BA61"/>
      <c r="BB61"/>
      <c r="BC61"/>
      <c r="BD61"/>
      <c r="BE61"/>
      <c r="BF61"/>
      <c r="BG61"/>
      <c r="BH61"/>
      <c r="BI61"/>
      <c r="BJ61"/>
      <c r="BK61"/>
      <c r="BL61"/>
      <c r="BM61"/>
      <c r="BN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row>
    <row r="62" spans="2:103" s="1" customFormat="1" hidden="1" outlineLevel="1" x14ac:dyDescent="0.25">
      <c r="B62" t="s">
        <v>154</v>
      </c>
      <c r="C62" t="s">
        <v>170</v>
      </c>
      <c r="D62" s="98">
        <f>'Core Commodities Use'!D142+'Core Commodities Use'!D149</f>
        <v>278436.87957137165</v>
      </c>
      <c r="E62" s="98">
        <f>'Core Commodities Use'!E142+'Core Commodities Use'!E149</f>
        <v>297204.70349500491</v>
      </c>
      <c r="F62" s="98">
        <f>'Core Commodities Use'!F142+'Core Commodities Use'!F149</f>
        <v>168824.41307064128</v>
      </c>
      <c r="G62" s="98">
        <f>'Core Commodities Use'!G142+'Core Commodities Use'!G149</f>
        <v>189680.59682185159</v>
      </c>
      <c r="H62" s="98">
        <f>'Core Commodities Use'!H142+'Core Commodities Use'!H149</f>
        <v>189680.59682185159</v>
      </c>
      <c r="I62" s="98">
        <f>'Core Commodities Use'!I142+'Core Commodities Use'!I149</f>
        <v>210910.62492790326</v>
      </c>
      <c r="J62" s="98">
        <f>'Core Commodities Use'!J142+'Core Commodities Use'!J149</f>
        <v>210910.62492790326</v>
      </c>
      <c r="K62" s="98">
        <f>'Core Commodities Use'!K142+'Core Commodities Use'!K149</f>
        <v>204462.30733862033</v>
      </c>
      <c r="L62" s="98">
        <f>'Core Commodities Use'!L142+'Core Commodities Use'!L149</f>
        <v>204462.30733862033</v>
      </c>
      <c r="M62" s="98">
        <f>'Core Commodities Use'!M142+'Core Commodities Use'!M149</f>
        <v>206902.85171144037</v>
      </c>
      <c r="N62" s="98">
        <f>'Core Commodities Use'!N142+'Core Commodities Use'!N149</f>
        <v>206902.85171144037</v>
      </c>
      <c r="O62" s="98">
        <f>'Core Commodities Use'!O142+'Core Commodities Use'!O149</f>
        <v>205053.92544710572</v>
      </c>
      <c r="P62" s="98">
        <f>'Core Commodities Use'!P142+'Core Commodities Use'!P149</f>
        <v>205053.92544710572</v>
      </c>
      <c r="Q62" s="98">
        <f>'Core Commodities Use'!Q142+'Core Commodities Use'!Q149</f>
        <v>204633.07936726013</v>
      </c>
      <c r="R62" s="98">
        <f>'Core Commodities Use'!R142+'Core Commodities Use'!R149</f>
        <v>204633.07936726013</v>
      </c>
      <c r="S62" s="98">
        <f>'Core Commodities Use'!S142+'Core Commodities Use'!S149</f>
        <v>235413.66560315649</v>
      </c>
      <c r="T62" s="98">
        <f>'Core Commodities Use'!T142+'Core Commodities Use'!T149</f>
        <v>235413.66560315649</v>
      </c>
      <c r="U62" s="98">
        <f>'Core Commodities Use'!U142+'Core Commodities Use'!U149</f>
        <v>235347.17748572759</v>
      </c>
      <c r="V62" s="98">
        <f>'Core Commodities Use'!V142+'Core Commodities Use'!V149</f>
        <v>235347.17748572759</v>
      </c>
      <c r="W62" s="98">
        <f>'Core Commodities Use'!W142+'Core Commodities Use'!W149</f>
        <v>234792.7286685353</v>
      </c>
      <c r="X62" s="98">
        <f>'Core Commodities Use'!X142+'Core Commodities Use'!X149</f>
        <v>234792.7286685353</v>
      </c>
      <c r="Y62" s="98">
        <f>'Core Commodities Use'!Y142+'Core Commodities Use'!Y149</f>
        <v>234792.7286685353</v>
      </c>
      <c r="Z62" s="98">
        <f>'Core Commodities Use'!Z142+'Core Commodities Use'!Z149</f>
        <v>234792.7286685353</v>
      </c>
      <c r="AA62" s="98">
        <f>'Core Commodities Use'!AA142+'Core Commodities Use'!AA149</f>
        <v>234792.7286685353</v>
      </c>
      <c r="AB62" s="98">
        <f>'Core Commodities Use'!AB142+'Core Commodities Use'!AB149</f>
        <v>234792.7286685353</v>
      </c>
      <c r="AC62" s="98">
        <f>'Core Commodities Use'!AC142+'Core Commodities Use'!AC149</f>
        <v>234058.0807872047</v>
      </c>
      <c r="AD62" s="98">
        <f>'Core Commodities Use'!AD142+'Core Commodities Use'!AD149</f>
        <v>234058.0807872047</v>
      </c>
      <c r="AE62" s="98">
        <f>'Core Commodities Use'!AE142+'Core Commodities Use'!AE149</f>
        <v>234058.0807872047</v>
      </c>
      <c r="AF62" s="98">
        <f>'Core Commodities Use'!AF142+'Core Commodities Use'!AF149</f>
        <v>234058.0807872047</v>
      </c>
      <c r="AG62" s="98">
        <f>'Core Commodities Use'!AG142+'Core Commodities Use'!AG149</f>
        <v>234058.0807872047</v>
      </c>
      <c r="AH62" s="53">
        <f t="shared" si="5"/>
        <v>6708321.2294903863</v>
      </c>
      <c r="AI62"/>
      <c r="AJ62" s="23" t="s">
        <v>317</v>
      </c>
      <c r="AM62"/>
      <c r="AN62"/>
      <c r="AO62"/>
      <c r="AP62"/>
      <c r="AQ62"/>
      <c r="AR62"/>
      <c r="AS62"/>
      <c r="AT62"/>
      <c r="AU62"/>
      <c r="AV62"/>
      <c r="AW62"/>
      <c r="AX62"/>
      <c r="AZ62"/>
      <c r="BA62"/>
      <c r="BB62"/>
      <c r="BC62"/>
      <c r="BD62"/>
      <c r="BE62"/>
      <c r="BF62"/>
      <c r="BG62"/>
      <c r="BH62"/>
      <c r="BI62"/>
      <c r="BJ62"/>
      <c r="BK62"/>
      <c r="BL62"/>
      <c r="BM62"/>
      <c r="BN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row>
    <row r="63" spans="2:103" s="1" customFormat="1" hidden="1" outlineLevel="1" x14ac:dyDescent="0.25">
      <c r="B63" t="s">
        <v>312</v>
      </c>
      <c r="C63" t="s">
        <v>313</v>
      </c>
      <c r="D63" s="98">
        <f>D60*'Global Inputs'!C$83+Outputs!D61*CO2_emissions_gas_tons_per_therm</f>
        <v>210153.43197440394</v>
      </c>
      <c r="E63" s="98">
        <f>E60*'Global Inputs'!D$83+Outputs!E61*CO2_emissions_gas_tons_per_therm</f>
        <v>210153.43197440394</v>
      </c>
      <c r="F63" s="98">
        <f>F60*'Global Inputs'!E$83+Outputs!F61*CO2_emissions_gas_tons_per_therm</f>
        <v>55889.246862786407</v>
      </c>
      <c r="G63" s="98">
        <f>G60*'Global Inputs'!F$83+Outputs!G61*CO2_emissions_gas_tons_per_therm</f>
        <v>54703.055564602313</v>
      </c>
      <c r="H63" s="98">
        <f>H60*'Global Inputs'!G$83+Outputs!H61*CO2_emissions_gas_tons_per_therm</f>
        <v>54703.055564602313</v>
      </c>
      <c r="I63" s="98">
        <f>I60*'Global Inputs'!H$83+Outputs!I61*CO2_emissions_gas_tons_per_therm</f>
        <v>53836.941502818641</v>
      </c>
      <c r="J63" s="98">
        <f>J60*'Global Inputs'!I$83+Outputs!J61*CO2_emissions_gas_tons_per_therm</f>
        <v>53836.941502818641</v>
      </c>
      <c r="K63" s="98">
        <f>K60*'Global Inputs'!J$83+Outputs!K61*CO2_emissions_gas_tons_per_therm</f>
        <v>51271.065881609138</v>
      </c>
      <c r="L63" s="98">
        <f>L60*'Global Inputs'!K$83+Outputs!L61*CO2_emissions_gas_tons_per_therm</f>
        <v>51271.065881609138</v>
      </c>
      <c r="M63" s="98">
        <f>M60*'Global Inputs'!L$83+Outputs!M61*CO2_emissions_gas_tons_per_therm</f>
        <v>50427.941337708959</v>
      </c>
      <c r="N63" s="98">
        <f>N60*'Global Inputs'!M$83+Outputs!N61*CO2_emissions_gas_tons_per_therm</f>
        <v>50427.941337708959</v>
      </c>
      <c r="O63" s="98">
        <f>O60*'Global Inputs'!N$83+Outputs!O61*CO2_emissions_gas_tons_per_therm</f>
        <v>49247.705783944533</v>
      </c>
      <c r="P63" s="98">
        <f>P60*'Global Inputs'!O$83+Outputs!P61*CO2_emissions_gas_tons_per_therm</f>
        <v>49247.705783944533</v>
      </c>
      <c r="Q63" s="98">
        <f>Q60*'Global Inputs'!P$83+Outputs!Q61*CO2_emissions_gas_tons_per_therm</f>
        <v>48989.48925391271</v>
      </c>
      <c r="R63" s="98">
        <f>R60*'Global Inputs'!Q$83+Outputs!R61*CO2_emissions_gas_tons_per_therm</f>
        <v>48989.48925391271</v>
      </c>
      <c r="S63" s="98">
        <f>S60*'Global Inputs'!R$83+Outputs!S61*CO2_emissions_gas_tons_per_therm</f>
        <v>52482.012402808534</v>
      </c>
      <c r="T63" s="98">
        <f>T60*'Global Inputs'!S$83+Outputs!T61*CO2_emissions_gas_tons_per_therm</f>
        <v>52482.012402808534</v>
      </c>
      <c r="U63" s="98">
        <f>U60*'Global Inputs'!T$83+Outputs!U61*CO2_emissions_gas_tons_per_therm</f>
        <v>52349.0241468483</v>
      </c>
      <c r="V63" s="98">
        <f>V60*'Global Inputs'!U$83+Outputs!V61*CO2_emissions_gas_tons_per_therm</f>
        <v>52349.0241468483</v>
      </c>
      <c r="W63" s="98">
        <f>W60*'Global Inputs'!V$83+Outputs!W61*CO2_emissions_gas_tons_per_therm</f>
        <v>52181.470420753474</v>
      </c>
      <c r="X63" s="98">
        <f>X60*'Global Inputs'!W$83+Outputs!X61*CO2_emissions_gas_tons_per_therm</f>
        <v>52181.470420753474</v>
      </c>
      <c r="Y63" s="98">
        <f>Y60*'Global Inputs'!X$83+Outputs!Y61*CO2_emissions_gas_tons_per_therm</f>
        <v>52181.470420753474</v>
      </c>
      <c r="Z63" s="98">
        <f>Z60*'Global Inputs'!Y$83+Outputs!Z61*CO2_emissions_gas_tons_per_therm</f>
        <v>52181.470420753474</v>
      </c>
      <c r="AA63" s="98">
        <f>AA60*'Global Inputs'!Z$83+Outputs!AA61*CO2_emissions_gas_tons_per_therm</f>
        <v>52181.470420753474</v>
      </c>
      <c r="AB63" s="98">
        <f>AB60*'Global Inputs'!AA$83+Outputs!AB61*CO2_emissions_gas_tons_per_therm</f>
        <v>52181.470420753474</v>
      </c>
      <c r="AC63" s="98">
        <f>AC60*'Global Inputs'!AB$83+Outputs!AC61*CO2_emissions_gas_tons_per_therm</f>
        <v>52013.510202190912</v>
      </c>
      <c r="AD63" s="98">
        <f>AD60*'Global Inputs'!AC$83+Outputs!AD61*CO2_emissions_gas_tons_per_therm</f>
        <v>52013.510202190912</v>
      </c>
      <c r="AE63" s="98">
        <f>AE60*'Global Inputs'!AD$83+Outputs!AE61*CO2_emissions_gas_tons_per_therm</f>
        <v>52013.510202190912</v>
      </c>
      <c r="AF63" s="98">
        <f>AF60*'Global Inputs'!AE$83+Outputs!AF61*CO2_emissions_gas_tons_per_therm</f>
        <v>52013.510202190912</v>
      </c>
      <c r="AG63" s="98">
        <f>AG60*'Global Inputs'!AF$83+Outputs!AG61*CO2_emissions_gas_tons_per_therm</f>
        <v>52013.510202190912</v>
      </c>
      <c r="AH63" s="53">
        <f t="shared" ref="AH63" si="6">SUM(D63:AG63)</f>
        <v>1875966.9560955763</v>
      </c>
      <c r="AI63"/>
      <c r="AJ63" s="23"/>
      <c r="AZ63"/>
      <c r="BA63"/>
      <c r="BB63"/>
      <c r="BC63"/>
      <c r="BD63"/>
      <c r="BE63"/>
      <c r="BF63"/>
      <c r="BG63"/>
      <c r="BH63"/>
      <c r="BI63"/>
      <c r="BJ63"/>
      <c r="BK63"/>
      <c r="BL63"/>
      <c r="BM63"/>
      <c r="BN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row>
    <row r="64" spans="2:103" hidden="1" outlineLevel="1" x14ac:dyDescent="0.25">
      <c r="B64" t="s">
        <v>314</v>
      </c>
      <c r="C64" t="s">
        <v>315</v>
      </c>
      <c r="AG64" s="51">
        <f>AG60*Btuh_per_W/'Global Inputs'!$D$17+AG61*'Global Inputs'!$D$16/'Global Inputs'!$D$17/'Global Inputs'!$D$17</f>
        <v>1666933.562238873</v>
      </c>
      <c r="AH64" s="53">
        <f>AH60*Btuh_per_W/'Global Inputs'!$D$17+AH61*'Global Inputs'!$D$16/'Global Inputs'!$D$17/'Global Inputs'!$D$17</f>
        <v>51314914.583973996</v>
      </c>
      <c r="AM64" s="1"/>
      <c r="AN64" s="1"/>
      <c r="AO64" s="1"/>
      <c r="AP64" s="1"/>
      <c r="AQ64" s="1"/>
      <c r="AR64" s="1"/>
      <c r="AS64" s="1"/>
      <c r="AT64" s="1"/>
      <c r="AU64" s="1"/>
      <c r="AV64" s="1"/>
      <c r="AW64" s="1"/>
      <c r="AX64" s="1"/>
    </row>
    <row r="65" spans="2:103" hidden="1" outlineLevel="1" x14ac:dyDescent="0.25">
      <c r="AH65" s="54"/>
      <c r="AM65" s="1"/>
      <c r="AN65" s="1"/>
      <c r="AO65" s="1"/>
      <c r="AP65" s="1"/>
      <c r="AQ65" s="1"/>
      <c r="AR65" s="1"/>
      <c r="AS65" s="1"/>
      <c r="AT65" s="1"/>
      <c r="AU65" s="1"/>
      <c r="AV65" s="1"/>
      <c r="AW65" s="1"/>
      <c r="AX65" s="1"/>
    </row>
    <row r="66" spans="2:103" s="1" customFormat="1" ht="17.25" hidden="1" outlineLevel="1" thickBot="1" x14ac:dyDescent="0.3">
      <c r="B66" s="19" t="s">
        <v>298</v>
      </c>
      <c r="C66" s="19"/>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55"/>
      <c r="AI66" s="19"/>
      <c r="AJ66" s="19"/>
      <c r="AZ66"/>
      <c r="BA66"/>
      <c r="BB66"/>
      <c r="BC66"/>
      <c r="BD66"/>
      <c r="BE66"/>
      <c r="BF66"/>
      <c r="BG66"/>
      <c r="BH66"/>
      <c r="BI66"/>
      <c r="BJ66"/>
      <c r="BK66"/>
      <c r="BL66"/>
      <c r="BM66"/>
      <c r="BN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row>
    <row r="67" spans="2:103" s="1" customFormat="1" ht="16.5" hidden="1" outlineLevel="1" thickTop="1" thickBot="1" x14ac:dyDescent="0.3">
      <c r="B67" s="20" t="s">
        <v>310</v>
      </c>
      <c r="C67" s="20" t="s">
        <v>13</v>
      </c>
      <c r="D67" s="97" t="s">
        <v>17</v>
      </c>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97"/>
      <c r="AH67" s="56" t="s">
        <v>224</v>
      </c>
      <c r="AI67" s="20"/>
      <c r="AJ67" s="20" t="s">
        <v>15</v>
      </c>
      <c r="AM67"/>
      <c r="AN67"/>
      <c r="AO67"/>
      <c r="AP67"/>
      <c r="AQ67"/>
      <c r="AR67"/>
      <c r="AS67"/>
      <c r="AT67"/>
      <c r="AU67"/>
      <c r="AV67"/>
      <c r="AW67"/>
      <c r="AX67"/>
      <c r="AZ67"/>
      <c r="BA67"/>
      <c r="BB67"/>
      <c r="BC67"/>
      <c r="BD67"/>
      <c r="BE67"/>
      <c r="BF67"/>
      <c r="BG67"/>
      <c r="BH67"/>
      <c r="BI67"/>
      <c r="BJ67"/>
      <c r="BK67"/>
      <c r="BL67"/>
      <c r="BM67"/>
      <c r="BN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row>
    <row r="68" spans="2:103" hidden="1" outlineLevel="1" x14ac:dyDescent="0.25">
      <c r="D68" s="100">
        <f>'Core Loads'!$C$14</f>
        <v>2025</v>
      </c>
      <c r="E68" s="100">
        <f>'Core Loads'!$D$14</f>
        <v>2026</v>
      </c>
      <c r="F68" s="100">
        <f>'Core Loads'!$E$14</f>
        <v>2027</v>
      </c>
      <c r="G68" s="100">
        <f>'Core Loads'!$F$14</f>
        <v>2028</v>
      </c>
      <c r="H68" s="100">
        <f>'Core Loads'!$G$14</f>
        <v>2029</v>
      </c>
      <c r="I68" s="100">
        <f>'Core Loads'!$H$14</f>
        <v>2030</v>
      </c>
      <c r="J68" s="100">
        <f>'Core Loads'!$I$14</f>
        <v>2031</v>
      </c>
      <c r="K68" s="100">
        <f>'Core Loads'!$J$14</f>
        <v>2032</v>
      </c>
      <c r="L68" s="100">
        <f>'Core Loads'!$K$14</f>
        <v>2033</v>
      </c>
      <c r="M68" s="100">
        <f>'Core Loads'!$L$14</f>
        <v>2034</v>
      </c>
      <c r="N68" s="100">
        <f>'Core Loads'!$M$14</f>
        <v>2035</v>
      </c>
      <c r="O68" s="100">
        <f>'Core Loads'!$N$14</f>
        <v>2036</v>
      </c>
      <c r="P68" s="100">
        <f>'Core Loads'!$O$14</f>
        <v>2037</v>
      </c>
      <c r="Q68" s="100">
        <f>'Core Loads'!$P$14</f>
        <v>2038</v>
      </c>
      <c r="R68" s="100">
        <f>'Core Loads'!$Q$14</f>
        <v>2039</v>
      </c>
      <c r="S68" s="100">
        <f>'Core Loads'!$R$14</f>
        <v>2040</v>
      </c>
      <c r="T68" s="100">
        <f>'Core Loads'!$S$14</f>
        <v>2041</v>
      </c>
      <c r="U68" s="100">
        <f>'Core Loads'!$T$14</f>
        <v>2042</v>
      </c>
      <c r="V68" s="100">
        <f>'Core Loads'!$U$14</f>
        <v>2043</v>
      </c>
      <c r="W68" s="100">
        <f>'Core Loads'!$V$14</f>
        <v>2044</v>
      </c>
      <c r="X68" s="100">
        <f>'Core Loads'!$W$14</f>
        <v>2045</v>
      </c>
      <c r="Y68" s="100">
        <f>'Core Loads'!$X$14</f>
        <v>2046</v>
      </c>
      <c r="Z68" s="100">
        <f>'Core Loads'!$Y$14</f>
        <v>2047</v>
      </c>
      <c r="AA68" s="100">
        <f>'Core Loads'!$Z$14</f>
        <v>2048</v>
      </c>
      <c r="AB68" s="100">
        <f>'Core Loads'!$AA$14</f>
        <v>2049</v>
      </c>
      <c r="AC68" s="100">
        <f>'Core Loads'!$AB$14</f>
        <v>2050</v>
      </c>
      <c r="AD68" s="100">
        <f>'Core Loads'!$AC$14</f>
        <v>2051</v>
      </c>
      <c r="AE68" s="100">
        <f>'Core Loads'!$AD$14</f>
        <v>2052</v>
      </c>
      <c r="AF68" s="100">
        <f>'Core Loads'!$AE$14</f>
        <v>2053</v>
      </c>
      <c r="AG68" s="100">
        <f>'Core Loads'!$AF$14</f>
        <v>2054</v>
      </c>
      <c r="AH68" s="8"/>
    </row>
    <row r="69" spans="2:103" s="1" customFormat="1" hidden="1" outlineLevel="1" x14ac:dyDescent="0.25">
      <c r="B69" t="s">
        <v>141</v>
      </c>
      <c r="C69" t="s">
        <v>109</v>
      </c>
      <c r="D69" s="98">
        <f>'Core Commodities Use'!D156+'Core Commodities Use'!D163</f>
        <v>0</v>
      </c>
      <c r="E69" s="98">
        <f>'Core Commodities Use'!E156+'Core Commodities Use'!E163</f>
        <v>2865758.5345967412</v>
      </c>
      <c r="F69" s="98">
        <f>'Core Commodities Use'!F156+'Core Commodities Use'!F163</f>
        <v>2865758.5345967412</v>
      </c>
      <c r="G69" s="98">
        <f>'Core Commodities Use'!G156+'Core Commodities Use'!G163</f>
        <v>20224353.799504697</v>
      </c>
      <c r="H69" s="98">
        <f>'Core Commodities Use'!H156+'Core Commodities Use'!H163</f>
        <v>20224353.799504697</v>
      </c>
      <c r="I69" s="98">
        <f>'Core Commodities Use'!I156+'Core Commodities Use'!I163</f>
        <v>111765402.88531494</v>
      </c>
      <c r="J69" s="98">
        <f>'Core Commodities Use'!J156+'Core Commodities Use'!J163</f>
        <v>111765402.88531494</v>
      </c>
      <c r="K69" s="98">
        <f>'Core Commodities Use'!K156+'Core Commodities Use'!K163</f>
        <v>104086948.93205152</v>
      </c>
      <c r="L69" s="98">
        <f>'Core Commodities Use'!L156+'Core Commodities Use'!L163</f>
        <v>104086948.93205152</v>
      </c>
      <c r="M69" s="98">
        <f>'Core Commodities Use'!M156+'Core Commodities Use'!M163</f>
        <v>104086948.93205152</v>
      </c>
      <c r="N69" s="98">
        <f>'Core Commodities Use'!N156+'Core Commodities Use'!N163</f>
        <v>234810349.11198238</v>
      </c>
      <c r="O69" s="98">
        <f>'Core Commodities Use'!O156+'Core Commodities Use'!O163</f>
        <v>229501819.84741306</v>
      </c>
      <c r="P69" s="98">
        <f>'Core Commodities Use'!P156+'Core Commodities Use'!P163</f>
        <v>229501819.84741306</v>
      </c>
      <c r="Q69" s="98">
        <f>'Core Commodities Use'!Q156+'Core Commodities Use'!Q163</f>
        <v>228289943.04577079</v>
      </c>
      <c r="R69" s="98">
        <f>'Core Commodities Use'!R156+'Core Commodities Use'!R163</f>
        <v>419973326.82016635</v>
      </c>
      <c r="S69" s="98">
        <f>'Core Commodities Use'!S156+'Core Commodities Use'!S163</f>
        <v>475809134.20232391</v>
      </c>
      <c r="T69" s="98">
        <f>'Core Commodities Use'!T156+'Core Commodities Use'!T163</f>
        <v>475809134.20232391</v>
      </c>
      <c r="U69" s="98">
        <f>'Core Commodities Use'!U156+'Core Commodities Use'!U163</f>
        <v>475157337.79308224</v>
      </c>
      <c r="V69" s="98">
        <f>'Core Commodities Use'!V156+'Core Commodities Use'!V163</f>
        <v>475157337.79308224</v>
      </c>
      <c r="W69" s="98">
        <f>'Core Commodities Use'!W156+'Core Commodities Use'!W163</f>
        <v>473904820.31435812</v>
      </c>
      <c r="X69" s="98">
        <f>'Core Commodities Use'!X156+'Core Commodities Use'!X163</f>
        <v>473904820.31435812</v>
      </c>
      <c r="Y69" s="98">
        <f>'Core Commodities Use'!Y156+'Core Commodities Use'!Y163</f>
        <v>473904820.31435812</v>
      </c>
      <c r="Z69" s="98">
        <f>'Core Commodities Use'!Z156+'Core Commodities Use'!Z163</f>
        <v>473904820.31435812</v>
      </c>
      <c r="AA69" s="98">
        <f>'Core Commodities Use'!AA156+'Core Commodities Use'!AA163</f>
        <v>473904820.31435812</v>
      </c>
      <c r="AB69" s="98">
        <f>'Core Commodities Use'!AB156+'Core Commodities Use'!AB163</f>
        <v>473904820.31435812</v>
      </c>
      <c r="AC69" s="98">
        <f>'Core Commodities Use'!AC156+'Core Commodities Use'!AC163</f>
        <v>472517574.29496628</v>
      </c>
      <c r="AD69" s="98">
        <f>'Core Commodities Use'!AD156+'Core Commodities Use'!AD163</f>
        <v>472517574.29496628</v>
      </c>
      <c r="AE69" s="98">
        <f>'Core Commodities Use'!AE156+'Core Commodities Use'!AE163</f>
        <v>472517574.29496628</v>
      </c>
      <c r="AF69" s="98">
        <f>'Core Commodities Use'!AF156+'Core Commodities Use'!AF163</f>
        <v>472517574.29496628</v>
      </c>
      <c r="AG69" s="98">
        <f>'Core Commodities Use'!AG156+'Core Commodities Use'!AG163</f>
        <v>472517574.29496628</v>
      </c>
      <c r="AH69" s="53">
        <f>SUM(D69:AG69)</f>
        <v>9031998873.2595253</v>
      </c>
      <c r="AI69"/>
      <c r="AJ69" s="23" t="s">
        <v>311</v>
      </c>
      <c r="AZ69"/>
      <c r="BA69"/>
      <c r="BB69"/>
      <c r="BC69"/>
      <c r="BD69"/>
      <c r="BE69"/>
      <c r="BF69"/>
      <c r="BG69"/>
      <c r="BH69"/>
      <c r="BI69"/>
      <c r="BJ69"/>
      <c r="BK69"/>
      <c r="BL69"/>
      <c r="BM69"/>
      <c r="BN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row>
    <row r="70" spans="2:103" s="1" customFormat="1" hidden="1" outlineLevel="1" x14ac:dyDescent="0.25">
      <c r="B70" t="s">
        <v>136</v>
      </c>
      <c r="C70" t="s">
        <v>169</v>
      </c>
      <c r="D70" s="98">
        <f>'Core Commodities Use'!D157+'Core Commodities Use'!D164</f>
        <v>31258877.283118241</v>
      </c>
      <c r="E70" s="98">
        <f>'Core Commodities Use'!E157+'Core Commodities Use'!E164</f>
        <v>31258877.283118241</v>
      </c>
      <c r="F70" s="98">
        <f>'Core Commodities Use'!F157+'Core Commodities Use'!F164</f>
        <v>31258877.283118241</v>
      </c>
      <c r="G70" s="98">
        <f>'Core Commodities Use'!G157+'Core Commodities Use'!G164</f>
        <v>30779136.751878824</v>
      </c>
      <c r="H70" s="98">
        <f>'Core Commodities Use'!H157+'Core Commodities Use'!H164</f>
        <v>30779136.751878824</v>
      </c>
      <c r="I70" s="98">
        <f>'Core Commodities Use'!I157+'Core Commodities Use'!I164</f>
        <v>26715362.436630234</v>
      </c>
      <c r="J70" s="98">
        <f>'Core Commodities Use'!J157+'Core Commodities Use'!J164</f>
        <v>26715362.436630234</v>
      </c>
      <c r="K70" s="98">
        <f>'Core Commodities Use'!K157+'Core Commodities Use'!K164</f>
        <v>26000353.613023683</v>
      </c>
      <c r="L70" s="98">
        <f>'Core Commodities Use'!L157+'Core Commodities Use'!L164</f>
        <v>26000353.613023683</v>
      </c>
      <c r="M70" s="98">
        <f>'Core Commodities Use'!M157+'Core Commodities Use'!M164</f>
        <v>25689816.405707758</v>
      </c>
      <c r="N70" s="98">
        <f>'Core Commodities Use'!N157+'Core Commodities Use'!N164</f>
        <v>17369500.84125939</v>
      </c>
      <c r="O70" s="98">
        <f>'Core Commodities Use'!O157+'Core Commodities Use'!O164</f>
        <v>17280686.43057394</v>
      </c>
      <c r="P70" s="98">
        <f>'Core Commodities Use'!P157+'Core Commodities Use'!P164</f>
        <v>17280686.43057394</v>
      </c>
      <c r="Q70" s="98">
        <f>'Core Commodities Use'!Q157+'Core Commodities Use'!Q164</f>
        <v>17265421.55075188</v>
      </c>
      <c r="R70" s="98">
        <f>'Core Commodities Use'!R157+'Core Commodities Use'!R164</f>
        <v>0</v>
      </c>
      <c r="S70" s="98">
        <f>'Core Commodities Use'!S157+'Core Commodities Use'!S164</f>
        <v>0</v>
      </c>
      <c r="T70" s="98">
        <f>'Core Commodities Use'!T157+'Core Commodities Use'!T164</f>
        <v>0</v>
      </c>
      <c r="U70" s="98">
        <f>'Core Commodities Use'!U157+'Core Commodities Use'!U164</f>
        <v>0</v>
      </c>
      <c r="V70" s="98">
        <f>'Core Commodities Use'!V157+'Core Commodities Use'!V164</f>
        <v>0</v>
      </c>
      <c r="W70" s="98">
        <f>'Core Commodities Use'!W157+'Core Commodities Use'!W164</f>
        <v>0</v>
      </c>
      <c r="X70" s="98">
        <f>'Core Commodities Use'!X157+'Core Commodities Use'!X164</f>
        <v>0</v>
      </c>
      <c r="Y70" s="98">
        <f>'Core Commodities Use'!Y157+'Core Commodities Use'!Y164</f>
        <v>0</v>
      </c>
      <c r="Z70" s="98">
        <f>'Core Commodities Use'!Z157+'Core Commodities Use'!Z164</f>
        <v>0</v>
      </c>
      <c r="AA70" s="98">
        <f>'Core Commodities Use'!AA157+'Core Commodities Use'!AA164</f>
        <v>0</v>
      </c>
      <c r="AB70" s="98">
        <f>'Core Commodities Use'!AB157+'Core Commodities Use'!AB164</f>
        <v>0</v>
      </c>
      <c r="AC70" s="98">
        <f>'Core Commodities Use'!AC157+'Core Commodities Use'!AC164</f>
        <v>0</v>
      </c>
      <c r="AD70" s="98">
        <f>'Core Commodities Use'!AD157+'Core Commodities Use'!AD164</f>
        <v>0</v>
      </c>
      <c r="AE70" s="98">
        <f>'Core Commodities Use'!AE157+'Core Commodities Use'!AE164</f>
        <v>0</v>
      </c>
      <c r="AF70" s="98">
        <f>'Core Commodities Use'!AF157+'Core Commodities Use'!AF164</f>
        <v>0</v>
      </c>
      <c r="AG70" s="98">
        <f>'Core Commodities Use'!AG157+'Core Commodities Use'!AG164</f>
        <v>0</v>
      </c>
      <c r="AH70" s="53">
        <f t="shared" ref="AH70:AH72" si="7">SUM(D70:AG70)</f>
        <v>355652449.11128718</v>
      </c>
      <c r="AI70"/>
      <c r="AJ70" s="23" t="s">
        <v>311</v>
      </c>
      <c r="AZ70"/>
      <c r="BA70"/>
      <c r="BB70"/>
      <c r="BC70"/>
      <c r="BD70"/>
      <c r="BE70"/>
      <c r="BF70"/>
      <c r="BG70"/>
      <c r="BH70"/>
      <c r="BI70"/>
      <c r="BJ70"/>
      <c r="BK70"/>
      <c r="BL70"/>
      <c r="BM70"/>
      <c r="BN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row>
    <row r="71" spans="2:103" s="1" customFormat="1" hidden="1" outlineLevel="1" x14ac:dyDescent="0.25">
      <c r="B71" t="s">
        <v>154</v>
      </c>
      <c r="C71" t="s">
        <v>170</v>
      </c>
      <c r="D71" s="98">
        <f>'Core Commodities Use'!D158+'Core Commodities Use'!D165</f>
        <v>278436.87957137165</v>
      </c>
      <c r="E71" s="98">
        <f>'Core Commodities Use'!E158+'Core Commodities Use'!E165</f>
        <v>297204.70349500491</v>
      </c>
      <c r="F71" s="98">
        <f>'Core Commodities Use'!F158+'Core Commodities Use'!F165</f>
        <v>297204.70349500491</v>
      </c>
      <c r="G71" s="98">
        <f>'Core Commodities Use'!G158+'Core Commodities Use'!G165</f>
        <v>315431.18617302546</v>
      </c>
      <c r="H71" s="98">
        <f>'Core Commodities Use'!H158+'Core Commodities Use'!H165</f>
        <v>315431.18617302546</v>
      </c>
      <c r="I71" s="98">
        <f>'Core Commodities Use'!I158+'Core Commodities Use'!I165</f>
        <v>313904.4007714967</v>
      </c>
      <c r="J71" s="98">
        <f>'Core Commodities Use'!J158+'Core Commodities Use'!J165</f>
        <v>313904.4007714967</v>
      </c>
      <c r="K71" s="98">
        <f>'Core Commodities Use'!K158+'Core Commodities Use'!K165</f>
        <v>303318.1023746687</v>
      </c>
      <c r="L71" s="98">
        <f>'Core Commodities Use'!L158+'Core Commodities Use'!L165</f>
        <v>303318.1023746687</v>
      </c>
      <c r="M71" s="98">
        <f>'Core Commodities Use'!M158+'Core Commodities Use'!M165</f>
        <v>303961.47031906317</v>
      </c>
      <c r="N71" s="98">
        <f>'Core Commodities Use'!N158+'Core Commodities Use'!N165</f>
        <v>261875.29834903718</v>
      </c>
      <c r="O71" s="98">
        <f>'Core Commodities Use'!O158+'Core Commodities Use'!O165</f>
        <v>259512.37517345324</v>
      </c>
      <c r="P71" s="98">
        <f>'Core Commodities Use'!P158+'Core Commodities Use'!P165</f>
        <v>259512.37517345324</v>
      </c>
      <c r="Q71" s="98">
        <f>'Core Commodities Use'!Q158+'Core Commodities Use'!Q165</f>
        <v>259003.18643594004</v>
      </c>
      <c r="R71" s="98">
        <f>'Core Commodities Use'!R158+'Core Commodities Use'!R165</f>
        <v>204633.07936726013</v>
      </c>
      <c r="S71" s="98">
        <f>'Core Commodities Use'!S158+'Core Commodities Use'!S165</f>
        <v>235413.66560315649</v>
      </c>
      <c r="T71" s="98">
        <f>'Core Commodities Use'!T158+'Core Commodities Use'!T165</f>
        <v>235413.66560315649</v>
      </c>
      <c r="U71" s="98">
        <f>'Core Commodities Use'!U158+'Core Commodities Use'!U165</f>
        <v>235347.17748572759</v>
      </c>
      <c r="V71" s="98">
        <f>'Core Commodities Use'!V158+'Core Commodities Use'!V165</f>
        <v>235347.17748572759</v>
      </c>
      <c r="W71" s="98">
        <f>'Core Commodities Use'!W158+'Core Commodities Use'!W165</f>
        <v>234792.7286685353</v>
      </c>
      <c r="X71" s="98">
        <f>'Core Commodities Use'!X158+'Core Commodities Use'!X165</f>
        <v>234792.7286685353</v>
      </c>
      <c r="Y71" s="98">
        <f>'Core Commodities Use'!Y158+'Core Commodities Use'!Y165</f>
        <v>234792.7286685353</v>
      </c>
      <c r="Z71" s="98">
        <f>'Core Commodities Use'!Z158+'Core Commodities Use'!Z165</f>
        <v>234792.7286685353</v>
      </c>
      <c r="AA71" s="98">
        <f>'Core Commodities Use'!AA158+'Core Commodities Use'!AA165</f>
        <v>234792.7286685353</v>
      </c>
      <c r="AB71" s="98">
        <f>'Core Commodities Use'!AB158+'Core Commodities Use'!AB165</f>
        <v>234792.7286685353</v>
      </c>
      <c r="AC71" s="98">
        <f>'Core Commodities Use'!AC158+'Core Commodities Use'!AC165</f>
        <v>234058.0807872047</v>
      </c>
      <c r="AD71" s="98">
        <f>'Core Commodities Use'!AD158+'Core Commodities Use'!AD165</f>
        <v>234058.0807872047</v>
      </c>
      <c r="AE71" s="98">
        <f>'Core Commodities Use'!AE158+'Core Commodities Use'!AE165</f>
        <v>234058.0807872047</v>
      </c>
      <c r="AF71" s="98">
        <f>'Core Commodities Use'!AF158+'Core Commodities Use'!AF165</f>
        <v>234058.0807872047</v>
      </c>
      <c r="AG71" s="98">
        <f>'Core Commodities Use'!AG158+'Core Commodities Use'!AG165</f>
        <v>234058.0807872047</v>
      </c>
      <c r="AH71" s="53">
        <f t="shared" si="7"/>
        <v>7807219.9121429753</v>
      </c>
      <c r="AI71"/>
      <c r="AJ71" s="23" t="s">
        <v>311</v>
      </c>
      <c r="AM71"/>
      <c r="AN71"/>
      <c r="AO71"/>
      <c r="AP71"/>
      <c r="AQ71"/>
      <c r="AR71"/>
      <c r="AS71"/>
      <c r="AT71"/>
      <c r="AU71"/>
      <c r="AV71"/>
      <c r="AW71"/>
      <c r="AX71"/>
      <c r="AZ71"/>
      <c r="BA71"/>
      <c r="BB71"/>
      <c r="BC71"/>
      <c r="BD71"/>
      <c r="BE71"/>
      <c r="BF71"/>
      <c r="BG71"/>
      <c r="BH71"/>
      <c r="BI71"/>
      <c r="BJ71"/>
      <c r="BK71"/>
      <c r="BL71"/>
      <c r="BM71"/>
      <c r="BN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row>
    <row r="72" spans="2:103" s="1" customFormat="1" hidden="1" outlineLevel="1" x14ac:dyDescent="0.25">
      <c r="B72" t="s">
        <v>312</v>
      </c>
      <c r="C72" t="s">
        <v>313</v>
      </c>
      <c r="D72" s="98">
        <f>D69*'Global Inputs'!C$83+Outputs!D70*CO2_emissions_gas_tons_per_therm</f>
        <v>210153.43197440394</v>
      </c>
      <c r="E72" s="98">
        <f>E69*'Global Inputs'!D$83+Outputs!E70*CO2_emissions_gas_tons_per_therm</f>
        <v>210153.43197440394</v>
      </c>
      <c r="F72" s="98">
        <f>F69*'Global Inputs'!E$83+Outputs!F70*CO2_emissions_gas_tons_per_therm</f>
        <v>210153.43197440394</v>
      </c>
      <c r="G72" s="98">
        <f>G69*'Global Inputs'!F$83+Outputs!G70*CO2_emissions_gas_tons_per_therm</f>
        <v>206928.13638288132</v>
      </c>
      <c r="H72" s="98">
        <f>H69*'Global Inputs'!G$83+Outputs!H70*CO2_emissions_gas_tons_per_therm</f>
        <v>206928.13638288132</v>
      </c>
      <c r="I72" s="98">
        <f>I69*'Global Inputs'!H$83+Outputs!I70*CO2_emissions_gas_tons_per_therm</f>
        <v>179607.38166146507</v>
      </c>
      <c r="J72" s="98">
        <f>J69*'Global Inputs'!I$83+Outputs!J70*CO2_emissions_gas_tons_per_therm</f>
        <v>179607.38166146507</v>
      </c>
      <c r="K72" s="98">
        <f>K69*'Global Inputs'!J$83+Outputs!K70*CO2_emissions_gas_tons_per_therm</f>
        <v>174800.37734035822</v>
      </c>
      <c r="L72" s="98">
        <f>L69*'Global Inputs'!K$83+Outputs!L70*CO2_emissions_gas_tons_per_therm</f>
        <v>174800.37734035822</v>
      </c>
      <c r="M72" s="98">
        <f>M69*'Global Inputs'!L$83+Outputs!M70*CO2_emissions_gas_tons_per_therm</f>
        <v>172712.63569557326</v>
      </c>
      <c r="N72" s="98">
        <f>N69*'Global Inputs'!M$83+Outputs!N70*CO2_emissions_gas_tons_per_therm</f>
        <v>116775.15415578688</v>
      </c>
      <c r="O72" s="98">
        <f>O69*'Global Inputs'!N$83+Outputs!O70*CO2_emissions_gas_tons_per_therm</f>
        <v>116178.0548727486</v>
      </c>
      <c r="P72" s="98">
        <f>P69*'Global Inputs'!O$83+Outputs!P70*CO2_emissions_gas_tons_per_therm</f>
        <v>116178.0548727486</v>
      </c>
      <c r="Q72" s="98">
        <f>Q69*'Global Inputs'!P$83+Outputs!Q70*CO2_emissions_gas_tons_per_therm</f>
        <v>116075.42908570489</v>
      </c>
      <c r="R72" s="98">
        <f>R69*'Global Inputs'!Q$83+Outputs!R70*CO2_emissions_gas_tons_per_therm</f>
        <v>0</v>
      </c>
      <c r="S72" s="98">
        <f>S69*'Global Inputs'!R$83+Outputs!S70*CO2_emissions_gas_tons_per_therm</f>
        <v>0</v>
      </c>
      <c r="T72" s="98">
        <f>T69*'Global Inputs'!S$83+Outputs!T70*CO2_emissions_gas_tons_per_therm</f>
        <v>0</v>
      </c>
      <c r="U72" s="98">
        <f>U69*'Global Inputs'!T$83+Outputs!U70*CO2_emissions_gas_tons_per_therm</f>
        <v>0</v>
      </c>
      <c r="V72" s="98">
        <f>V69*'Global Inputs'!U$83+Outputs!V70*CO2_emissions_gas_tons_per_therm</f>
        <v>0</v>
      </c>
      <c r="W72" s="98">
        <f>W69*'Global Inputs'!V$83+Outputs!W70*CO2_emissions_gas_tons_per_therm</f>
        <v>0</v>
      </c>
      <c r="X72" s="98">
        <f>X69*'Global Inputs'!W$83+Outputs!X70*CO2_emissions_gas_tons_per_therm</f>
        <v>0</v>
      </c>
      <c r="Y72" s="98">
        <f>Y69*'Global Inputs'!X$83+Outputs!Y70*CO2_emissions_gas_tons_per_therm</f>
        <v>0</v>
      </c>
      <c r="Z72" s="98">
        <f>Z69*'Global Inputs'!Y$83+Outputs!Z70*CO2_emissions_gas_tons_per_therm</f>
        <v>0</v>
      </c>
      <c r="AA72" s="98">
        <f>AA69*'Global Inputs'!Z$83+Outputs!AA70*CO2_emissions_gas_tons_per_therm</f>
        <v>0</v>
      </c>
      <c r="AB72" s="98">
        <f>AB69*'Global Inputs'!AA$83+Outputs!AB70*CO2_emissions_gas_tons_per_therm</f>
        <v>0</v>
      </c>
      <c r="AC72" s="98">
        <f>AC69*'Global Inputs'!AB$83+Outputs!AC70*CO2_emissions_gas_tons_per_therm</f>
        <v>0</v>
      </c>
      <c r="AD72" s="98">
        <f>AD69*'Global Inputs'!AC$83+Outputs!AD70*CO2_emissions_gas_tons_per_therm</f>
        <v>0</v>
      </c>
      <c r="AE72" s="98">
        <f>AE69*'Global Inputs'!AD$83+Outputs!AE70*CO2_emissions_gas_tons_per_therm</f>
        <v>0</v>
      </c>
      <c r="AF72" s="98">
        <f>AF69*'Global Inputs'!AE$83+Outputs!AF70*CO2_emissions_gas_tons_per_therm</f>
        <v>0</v>
      </c>
      <c r="AG72" s="98">
        <f>AG69*'Global Inputs'!AF$83+Outputs!AG70*CO2_emissions_gas_tons_per_therm</f>
        <v>0</v>
      </c>
      <c r="AH72" s="53">
        <f t="shared" si="7"/>
        <v>2391051.4153751833</v>
      </c>
      <c r="AI72"/>
      <c r="AJ72" s="23"/>
      <c r="AZ72"/>
      <c r="BA72"/>
      <c r="BB72"/>
      <c r="BC72"/>
      <c r="BD72"/>
      <c r="BE72"/>
      <c r="BF72"/>
      <c r="BG72"/>
      <c r="BH72"/>
      <c r="BI72"/>
      <c r="BJ72"/>
      <c r="BK72"/>
      <c r="BL72"/>
      <c r="BM72"/>
      <c r="BN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row>
    <row r="73" spans="2:103" hidden="1" outlineLevel="1" x14ac:dyDescent="0.25">
      <c r="B73" t="s">
        <v>314</v>
      </c>
      <c r="C73" t="s">
        <v>315</v>
      </c>
      <c r="AG73" s="51">
        <f>AG69*Btuh_per_W/'Global Inputs'!$D$17+AG70*'Global Inputs'!$D$16/'Global Inputs'!$D$17/'Global Inputs'!$D$17</f>
        <v>1612229.9634944247</v>
      </c>
      <c r="AH73" s="53">
        <f>AH69*Btuh_per_W/'Global Inputs'!$D$17+AH70*'Global Inputs'!$D$16/'Global Inputs'!$D$17/'Global Inputs'!$D$17</f>
        <v>66382425.066690214</v>
      </c>
      <c r="AM73" s="1"/>
      <c r="AN73" s="1"/>
      <c r="AO73" s="1"/>
      <c r="AP73" s="1"/>
      <c r="AQ73" s="1"/>
      <c r="AR73" s="1"/>
      <c r="AS73" s="1"/>
      <c r="AT73" s="1"/>
      <c r="AU73" s="1"/>
      <c r="AV73" s="1"/>
      <c r="AW73" s="1"/>
      <c r="AX73" s="1"/>
      <c r="AY73" s="1"/>
    </row>
    <row r="74" spans="2:103" hidden="1" outlineLevel="1" x14ac:dyDescent="0.25">
      <c r="AH74" s="54"/>
      <c r="AM74" s="1"/>
      <c r="AN74" s="1"/>
      <c r="AO74" s="1"/>
      <c r="AP74" s="1"/>
      <c r="AQ74" s="1"/>
      <c r="AR74" s="1"/>
      <c r="AS74" s="1"/>
      <c r="AT74" s="1"/>
      <c r="AU74" s="1"/>
      <c r="AV74" s="1"/>
      <c r="AW74" s="1"/>
      <c r="AX74" s="1"/>
      <c r="AY74" s="1"/>
    </row>
    <row r="75" spans="2:103" s="1" customFormat="1" ht="17.25" hidden="1" outlineLevel="1" thickBot="1" x14ac:dyDescent="0.3">
      <c r="B75" s="19" t="s">
        <v>299</v>
      </c>
      <c r="C75" s="19"/>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55"/>
      <c r="AI75" s="19"/>
      <c r="AJ75" s="19"/>
      <c r="AZ75"/>
      <c r="BA75"/>
      <c r="BB75"/>
      <c r="BC75"/>
      <c r="BD75"/>
      <c r="BE75"/>
      <c r="BF75"/>
      <c r="BG75"/>
      <c r="BH75"/>
      <c r="BI75"/>
      <c r="BJ75"/>
      <c r="BK75"/>
      <c r="BL75"/>
      <c r="BM75"/>
      <c r="BN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row>
    <row r="76" spans="2:103" s="1" customFormat="1" ht="16.5" hidden="1" outlineLevel="1" thickTop="1" thickBot="1" x14ac:dyDescent="0.3">
      <c r="B76" s="20" t="s">
        <v>310</v>
      </c>
      <c r="C76" s="20" t="s">
        <v>13</v>
      </c>
      <c r="D76" s="97" t="s">
        <v>17</v>
      </c>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56" t="s">
        <v>224</v>
      </c>
      <c r="AI76" s="20"/>
      <c r="AJ76" s="20" t="s">
        <v>15</v>
      </c>
      <c r="AM76"/>
      <c r="AN76"/>
      <c r="AO76"/>
      <c r="AP76"/>
      <c r="AQ76"/>
      <c r="AR76"/>
      <c r="AS76"/>
      <c r="AT76"/>
      <c r="AU76"/>
      <c r="AV76"/>
      <c r="AW76"/>
      <c r="AX76"/>
      <c r="AZ76"/>
      <c r="BA76"/>
      <c r="BB76"/>
      <c r="BC76"/>
      <c r="BD76"/>
      <c r="BE76"/>
      <c r="BF76"/>
      <c r="BG76"/>
      <c r="BH76"/>
      <c r="BI76"/>
      <c r="BJ76"/>
      <c r="BK76"/>
      <c r="BL76"/>
      <c r="BM76"/>
      <c r="BN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row>
    <row r="77" spans="2:103" hidden="1" outlineLevel="1" x14ac:dyDescent="0.25">
      <c r="D77" s="100">
        <f>'Core Loads'!$C$14</f>
        <v>2025</v>
      </c>
      <c r="E77" s="100">
        <f>'Core Loads'!$D$14</f>
        <v>2026</v>
      </c>
      <c r="F77" s="100">
        <f>'Core Loads'!$E$14</f>
        <v>2027</v>
      </c>
      <c r="G77" s="100">
        <f>'Core Loads'!$F$14</f>
        <v>2028</v>
      </c>
      <c r="H77" s="100">
        <f>'Core Loads'!$G$14</f>
        <v>2029</v>
      </c>
      <c r="I77" s="100">
        <f>'Core Loads'!$H$14</f>
        <v>2030</v>
      </c>
      <c r="J77" s="100">
        <f>'Core Loads'!$I$14</f>
        <v>2031</v>
      </c>
      <c r="K77" s="100">
        <f>'Core Loads'!$J$14</f>
        <v>2032</v>
      </c>
      <c r="L77" s="100">
        <f>'Core Loads'!$K$14</f>
        <v>2033</v>
      </c>
      <c r="M77" s="100">
        <f>'Core Loads'!$L$14</f>
        <v>2034</v>
      </c>
      <c r="N77" s="100">
        <f>'Core Loads'!$M$14</f>
        <v>2035</v>
      </c>
      <c r="O77" s="100">
        <f>'Core Loads'!$N$14</f>
        <v>2036</v>
      </c>
      <c r="P77" s="100">
        <f>'Core Loads'!$O$14</f>
        <v>2037</v>
      </c>
      <c r="Q77" s="100">
        <f>'Core Loads'!$P$14</f>
        <v>2038</v>
      </c>
      <c r="R77" s="100">
        <f>'Core Loads'!$Q$14</f>
        <v>2039</v>
      </c>
      <c r="S77" s="100">
        <f>'Core Loads'!$R$14</f>
        <v>2040</v>
      </c>
      <c r="T77" s="100">
        <f>'Core Loads'!$S$14</f>
        <v>2041</v>
      </c>
      <c r="U77" s="100">
        <f>'Core Loads'!$T$14</f>
        <v>2042</v>
      </c>
      <c r="V77" s="100">
        <f>'Core Loads'!$U$14</f>
        <v>2043</v>
      </c>
      <c r="W77" s="100">
        <f>'Core Loads'!$V$14</f>
        <v>2044</v>
      </c>
      <c r="X77" s="100">
        <f>'Core Loads'!$W$14</f>
        <v>2045</v>
      </c>
      <c r="Y77" s="100">
        <f>'Core Loads'!$X$14</f>
        <v>2046</v>
      </c>
      <c r="Z77" s="100">
        <f>'Core Loads'!$Y$14</f>
        <v>2047</v>
      </c>
      <c r="AA77" s="100">
        <f>'Core Loads'!$Z$14</f>
        <v>2048</v>
      </c>
      <c r="AB77" s="100">
        <f>'Core Loads'!$AA$14</f>
        <v>2049</v>
      </c>
      <c r="AC77" s="100">
        <f>'Core Loads'!$AB$14</f>
        <v>2050</v>
      </c>
      <c r="AD77" s="100">
        <f>'Core Loads'!$AC$14</f>
        <v>2051</v>
      </c>
      <c r="AE77" s="100">
        <f>'Core Loads'!$AD$14</f>
        <v>2052</v>
      </c>
      <c r="AF77" s="100">
        <f>'Core Loads'!$AE$14</f>
        <v>2053</v>
      </c>
      <c r="AG77" s="100">
        <f>'Core Loads'!$AF$14</f>
        <v>2054</v>
      </c>
      <c r="AH77" s="8"/>
      <c r="AY77" s="1"/>
    </row>
    <row r="78" spans="2:103" s="1" customFormat="1" hidden="1" outlineLevel="1" x14ac:dyDescent="0.25">
      <c r="B78" t="s">
        <v>141</v>
      </c>
      <c r="C78" t="s">
        <v>109</v>
      </c>
      <c r="D78" s="98">
        <f>'Core Commodities Use'!D172+'Core Commodities Use'!D179</f>
        <v>0</v>
      </c>
      <c r="E78" s="98">
        <f>'Core Commodities Use'!E172+'Core Commodities Use'!E179</f>
        <v>2865758.5345967412</v>
      </c>
      <c r="F78" s="98">
        <f>'Core Commodities Use'!F172+'Core Commodities Use'!F179</f>
        <v>2865758.5345967412</v>
      </c>
      <c r="G78" s="98">
        <f>'Core Commodities Use'!G172+'Core Commodities Use'!G179</f>
        <v>20224353.799504697</v>
      </c>
      <c r="H78" s="98">
        <f>'Core Commodities Use'!H172+'Core Commodities Use'!H179</f>
        <v>20224353.799504697</v>
      </c>
      <c r="I78" s="98">
        <f>'Core Commodities Use'!I172+'Core Commodities Use'!I179</f>
        <v>86109327.407173723</v>
      </c>
      <c r="J78" s="98">
        <f>'Core Commodities Use'!J172+'Core Commodities Use'!J179</f>
        <v>86109327.407173723</v>
      </c>
      <c r="K78" s="98">
        <f>'Core Commodities Use'!K172+'Core Commodities Use'!K179</f>
        <v>80106481.390983865</v>
      </c>
      <c r="L78" s="98">
        <f>'Core Commodities Use'!L172+'Core Commodities Use'!L179</f>
        <v>80106481.390983865</v>
      </c>
      <c r="M78" s="98">
        <f>'Core Commodities Use'!M172+'Core Commodities Use'!M179</f>
        <v>80106481.390983865</v>
      </c>
      <c r="N78" s="98">
        <f>'Core Commodities Use'!N172+'Core Commodities Use'!N179</f>
        <v>163130613.39075255</v>
      </c>
      <c r="O78" s="98">
        <f>'Core Commodities Use'!O172+'Core Commodities Use'!O179</f>
        <v>160341438.81591618</v>
      </c>
      <c r="P78" s="98">
        <f>'Core Commodities Use'!P172+'Core Commodities Use'!P179</f>
        <v>160341438.81591618</v>
      </c>
      <c r="Q78" s="98">
        <f>'Core Commodities Use'!Q172+'Core Commodities Use'!Q179</f>
        <v>159711102.44740382</v>
      </c>
      <c r="R78" s="98">
        <f>'Core Commodities Use'!R172+'Core Commodities Use'!R179</f>
        <v>288547578.93882811</v>
      </c>
      <c r="S78" s="98">
        <f>'Core Commodities Use'!S172+'Core Commodities Use'!S179</f>
        <v>335013877.19102746</v>
      </c>
      <c r="T78" s="98">
        <f>'Core Commodities Use'!T172+'Core Commodities Use'!T179</f>
        <v>335013877.19102746</v>
      </c>
      <c r="U78" s="98">
        <f>'Core Commodities Use'!U172+'Core Commodities Use'!U179</f>
        <v>334718852.84177649</v>
      </c>
      <c r="V78" s="98">
        <f>'Core Commodities Use'!V172+'Core Commodities Use'!V179</f>
        <v>334718852.84177649</v>
      </c>
      <c r="W78" s="98">
        <f>'Core Commodities Use'!W172+'Core Commodities Use'!W179</f>
        <v>333915837.3704766</v>
      </c>
      <c r="X78" s="98">
        <f>'Core Commodities Use'!X172+'Core Commodities Use'!X179</f>
        <v>333915837.3704766</v>
      </c>
      <c r="Y78" s="98">
        <f>'Core Commodities Use'!Y172+'Core Commodities Use'!Y179</f>
        <v>333915837.3704766</v>
      </c>
      <c r="Z78" s="98">
        <f>'Core Commodities Use'!Z172+'Core Commodities Use'!Z179</f>
        <v>333915837.3704766</v>
      </c>
      <c r="AA78" s="98">
        <f>'Core Commodities Use'!AA172+'Core Commodities Use'!AA179</f>
        <v>333915837.3704766</v>
      </c>
      <c r="AB78" s="98">
        <f>'Core Commodities Use'!AB172+'Core Commodities Use'!AB179</f>
        <v>333915837.3704766</v>
      </c>
      <c r="AC78" s="98">
        <f>'Core Commodities Use'!AC172+'Core Commodities Use'!AC179</f>
        <v>332979183.86950195</v>
      </c>
      <c r="AD78" s="98">
        <f>'Core Commodities Use'!AD172+'Core Commodities Use'!AD179</f>
        <v>332979183.86950195</v>
      </c>
      <c r="AE78" s="98">
        <f>'Core Commodities Use'!AE172+'Core Commodities Use'!AE179</f>
        <v>332979183.86950195</v>
      </c>
      <c r="AF78" s="98">
        <f>'Core Commodities Use'!AF172+'Core Commodities Use'!AF179</f>
        <v>332979183.86950195</v>
      </c>
      <c r="AG78" s="98">
        <f>'Core Commodities Use'!AG172+'Core Commodities Use'!AG179</f>
        <v>332979183.86950195</v>
      </c>
      <c r="AH78" s="53">
        <f>SUM(D78:AG78)</f>
        <v>6398646899.7002964</v>
      </c>
      <c r="AI78"/>
      <c r="AJ78" s="23" t="s">
        <v>311</v>
      </c>
      <c r="AZ78"/>
      <c r="BA78"/>
      <c r="BB78"/>
      <c r="BC78"/>
      <c r="BD78"/>
      <c r="BE78"/>
      <c r="BF78"/>
      <c r="BG78"/>
      <c r="BH78"/>
      <c r="BI78"/>
      <c r="BJ78"/>
      <c r="BK78"/>
      <c r="BL78"/>
      <c r="BM78"/>
      <c r="BN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row>
    <row r="79" spans="2:103" s="1" customFormat="1" hidden="1" outlineLevel="1" x14ac:dyDescent="0.25">
      <c r="B79" t="s">
        <v>136</v>
      </c>
      <c r="C79" t="s">
        <v>169</v>
      </c>
      <c r="D79" s="98">
        <f>'Core Commodities Use'!D173+'Core Commodities Use'!D180</f>
        <v>31258877.283118241</v>
      </c>
      <c r="E79" s="98">
        <f>'Core Commodities Use'!E173+'Core Commodities Use'!E180</f>
        <v>31258877.283118241</v>
      </c>
      <c r="F79" s="98">
        <f>'Core Commodities Use'!F173+'Core Commodities Use'!F180</f>
        <v>31258877.283118241</v>
      </c>
      <c r="G79" s="98">
        <f>'Core Commodities Use'!G173+'Core Commodities Use'!G180</f>
        <v>30779136.751878824</v>
      </c>
      <c r="H79" s="98">
        <f>'Core Commodities Use'!H173+'Core Commodities Use'!H180</f>
        <v>30779136.751878824</v>
      </c>
      <c r="I79" s="98">
        <f>'Core Commodities Use'!I173+'Core Commodities Use'!I180</f>
        <v>26715362.436630234</v>
      </c>
      <c r="J79" s="98">
        <f>'Core Commodities Use'!J173+'Core Commodities Use'!J180</f>
        <v>26715362.436630234</v>
      </c>
      <c r="K79" s="98">
        <f>'Core Commodities Use'!K173+'Core Commodities Use'!K180</f>
        <v>26000353.613023683</v>
      </c>
      <c r="L79" s="98">
        <f>'Core Commodities Use'!L173+'Core Commodities Use'!L180</f>
        <v>26000353.613023683</v>
      </c>
      <c r="M79" s="98">
        <f>'Core Commodities Use'!M173+'Core Commodities Use'!M180</f>
        <v>25689816.405707758</v>
      </c>
      <c r="N79" s="98">
        <f>'Core Commodities Use'!N173+'Core Commodities Use'!N180</f>
        <v>17369500.84125939</v>
      </c>
      <c r="O79" s="98">
        <f>'Core Commodities Use'!O173+'Core Commodities Use'!O180</f>
        <v>17280686.43057394</v>
      </c>
      <c r="P79" s="98">
        <f>'Core Commodities Use'!P173+'Core Commodities Use'!P180</f>
        <v>17280686.43057394</v>
      </c>
      <c r="Q79" s="98">
        <f>'Core Commodities Use'!Q173+'Core Commodities Use'!Q180</f>
        <v>17265421.55075188</v>
      </c>
      <c r="R79" s="98">
        <f>'Core Commodities Use'!R173+'Core Commodities Use'!R180</f>
        <v>0</v>
      </c>
      <c r="S79" s="98">
        <f>'Core Commodities Use'!S173+'Core Commodities Use'!S180</f>
        <v>0</v>
      </c>
      <c r="T79" s="98">
        <f>'Core Commodities Use'!T173+'Core Commodities Use'!T180</f>
        <v>0</v>
      </c>
      <c r="U79" s="98">
        <f>'Core Commodities Use'!U173+'Core Commodities Use'!U180</f>
        <v>0</v>
      </c>
      <c r="V79" s="98">
        <f>'Core Commodities Use'!V173+'Core Commodities Use'!V180</f>
        <v>0</v>
      </c>
      <c r="W79" s="98">
        <f>'Core Commodities Use'!W173+'Core Commodities Use'!W180</f>
        <v>0</v>
      </c>
      <c r="X79" s="98">
        <f>'Core Commodities Use'!X173+'Core Commodities Use'!X180</f>
        <v>0</v>
      </c>
      <c r="Y79" s="98">
        <f>'Core Commodities Use'!Y173+'Core Commodities Use'!Y180</f>
        <v>0</v>
      </c>
      <c r="Z79" s="98">
        <f>'Core Commodities Use'!Z173+'Core Commodities Use'!Z180</f>
        <v>0</v>
      </c>
      <c r="AA79" s="98">
        <f>'Core Commodities Use'!AA173+'Core Commodities Use'!AA180</f>
        <v>0</v>
      </c>
      <c r="AB79" s="98">
        <f>'Core Commodities Use'!AB173+'Core Commodities Use'!AB180</f>
        <v>0</v>
      </c>
      <c r="AC79" s="98">
        <f>'Core Commodities Use'!AC173+'Core Commodities Use'!AC180</f>
        <v>0</v>
      </c>
      <c r="AD79" s="98">
        <f>'Core Commodities Use'!AD173+'Core Commodities Use'!AD180</f>
        <v>0</v>
      </c>
      <c r="AE79" s="98">
        <f>'Core Commodities Use'!AE173+'Core Commodities Use'!AE180</f>
        <v>0</v>
      </c>
      <c r="AF79" s="98">
        <f>'Core Commodities Use'!AF173+'Core Commodities Use'!AF180</f>
        <v>0</v>
      </c>
      <c r="AG79" s="98">
        <f>'Core Commodities Use'!AG173+'Core Commodities Use'!AG180</f>
        <v>0</v>
      </c>
      <c r="AH79" s="53">
        <f t="shared" ref="AH79:AH81" si="8">SUM(D79:AG79)</f>
        <v>355652449.11128718</v>
      </c>
      <c r="AI79"/>
      <c r="AJ79" s="23" t="s">
        <v>311</v>
      </c>
      <c r="AZ79"/>
      <c r="BA79"/>
      <c r="BB79"/>
      <c r="BC79"/>
      <c r="BD79"/>
      <c r="BE79"/>
      <c r="BF79"/>
      <c r="BG79"/>
      <c r="BH79"/>
      <c r="BI79"/>
      <c r="BJ79"/>
      <c r="BK79"/>
      <c r="BL79"/>
      <c r="BM79"/>
      <c r="BN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row>
    <row r="80" spans="2:103" s="1" customFormat="1" hidden="1" outlineLevel="1" x14ac:dyDescent="0.25">
      <c r="B80" t="s">
        <v>154</v>
      </c>
      <c r="C80" t="s">
        <v>170</v>
      </c>
      <c r="D80" s="98">
        <f>'Core Commodities Use'!D174+'Core Commodities Use'!D181</f>
        <v>278436.87957137165</v>
      </c>
      <c r="E80" s="98">
        <f>'Core Commodities Use'!E174+'Core Commodities Use'!E181</f>
        <v>297204.70349500491</v>
      </c>
      <c r="F80" s="98">
        <f>'Core Commodities Use'!F174+'Core Commodities Use'!F181</f>
        <v>297204.70349500491</v>
      </c>
      <c r="G80" s="98">
        <f>'Core Commodities Use'!G174+'Core Commodities Use'!G181</f>
        <v>315431.18617302546</v>
      </c>
      <c r="H80" s="98">
        <f>'Core Commodities Use'!H174+'Core Commodities Use'!H181</f>
        <v>315431.18617302546</v>
      </c>
      <c r="I80" s="98">
        <f>'Core Commodities Use'!I174+'Core Commodities Use'!I181</f>
        <v>313904.4007714967</v>
      </c>
      <c r="J80" s="98">
        <f>'Core Commodities Use'!J174+'Core Commodities Use'!J181</f>
        <v>313904.4007714967</v>
      </c>
      <c r="K80" s="98">
        <f>'Core Commodities Use'!K174+'Core Commodities Use'!K181</f>
        <v>303318.1023746687</v>
      </c>
      <c r="L80" s="98">
        <f>'Core Commodities Use'!L174+'Core Commodities Use'!L181</f>
        <v>303318.1023746687</v>
      </c>
      <c r="M80" s="98">
        <f>'Core Commodities Use'!M174+'Core Commodities Use'!M181</f>
        <v>303961.47031906317</v>
      </c>
      <c r="N80" s="98">
        <f>'Core Commodities Use'!N174+'Core Commodities Use'!N181</f>
        <v>261875.29834903718</v>
      </c>
      <c r="O80" s="98">
        <f>'Core Commodities Use'!O174+'Core Commodities Use'!O181</f>
        <v>259512.37517345324</v>
      </c>
      <c r="P80" s="98">
        <f>'Core Commodities Use'!P174+'Core Commodities Use'!P181</f>
        <v>259512.37517345324</v>
      </c>
      <c r="Q80" s="98">
        <f>'Core Commodities Use'!Q174+'Core Commodities Use'!Q181</f>
        <v>259003.18643594004</v>
      </c>
      <c r="R80" s="98">
        <f>'Core Commodities Use'!R174+'Core Commodities Use'!R181</f>
        <v>204633.07936726013</v>
      </c>
      <c r="S80" s="98">
        <f>'Core Commodities Use'!S174+'Core Commodities Use'!S181</f>
        <v>235413.66560315649</v>
      </c>
      <c r="T80" s="98">
        <f>'Core Commodities Use'!T174+'Core Commodities Use'!T181</f>
        <v>235413.66560315649</v>
      </c>
      <c r="U80" s="98">
        <f>'Core Commodities Use'!U174+'Core Commodities Use'!U181</f>
        <v>235347.17748572759</v>
      </c>
      <c r="V80" s="98">
        <f>'Core Commodities Use'!V174+'Core Commodities Use'!V181</f>
        <v>235347.17748572759</v>
      </c>
      <c r="W80" s="98">
        <f>'Core Commodities Use'!W174+'Core Commodities Use'!W181</f>
        <v>234792.7286685353</v>
      </c>
      <c r="X80" s="98">
        <f>'Core Commodities Use'!X174+'Core Commodities Use'!X181</f>
        <v>234792.7286685353</v>
      </c>
      <c r="Y80" s="98">
        <f>'Core Commodities Use'!Y174+'Core Commodities Use'!Y181</f>
        <v>234792.7286685353</v>
      </c>
      <c r="Z80" s="98">
        <f>'Core Commodities Use'!Z174+'Core Commodities Use'!Z181</f>
        <v>234792.7286685353</v>
      </c>
      <c r="AA80" s="98">
        <f>'Core Commodities Use'!AA174+'Core Commodities Use'!AA181</f>
        <v>234792.7286685353</v>
      </c>
      <c r="AB80" s="98">
        <f>'Core Commodities Use'!AB174+'Core Commodities Use'!AB181</f>
        <v>234792.7286685353</v>
      </c>
      <c r="AC80" s="98">
        <f>'Core Commodities Use'!AC174+'Core Commodities Use'!AC181</f>
        <v>234058.0807872047</v>
      </c>
      <c r="AD80" s="98">
        <f>'Core Commodities Use'!AD174+'Core Commodities Use'!AD181</f>
        <v>234058.0807872047</v>
      </c>
      <c r="AE80" s="98">
        <f>'Core Commodities Use'!AE174+'Core Commodities Use'!AE181</f>
        <v>234058.0807872047</v>
      </c>
      <c r="AF80" s="98">
        <f>'Core Commodities Use'!AF174+'Core Commodities Use'!AF181</f>
        <v>234058.0807872047</v>
      </c>
      <c r="AG80" s="98">
        <f>'Core Commodities Use'!AG174+'Core Commodities Use'!AG181</f>
        <v>234058.0807872047</v>
      </c>
      <c r="AH80" s="53">
        <f t="shared" si="8"/>
        <v>7807219.9121429753</v>
      </c>
      <c r="AI80"/>
      <c r="AJ80" s="23" t="s">
        <v>311</v>
      </c>
      <c r="AM80"/>
      <c r="AN80"/>
      <c r="AO80"/>
      <c r="AP80"/>
      <c r="AQ80"/>
      <c r="AR80"/>
      <c r="AS80"/>
      <c r="AT80"/>
      <c r="AU80"/>
      <c r="AV80"/>
      <c r="AW80"/>
      <c r="AX80"/>
      <c r="AZ80"/>
      <c r="BA80"/>
      <c r="BB80"/>
      <c r="BC80"/>
      <c r="BD80"/>
      <c r="BE80"/>
      <c r="BF80"/>
      <c r="BG80"/>
      <c r="BH80"/>
      <c r="BI80"/>
      <c r="BJ80"/>
      <c r="BK80"/>
      <c r="BL80"/>
      <c r="BM80"/>
      <c r="BN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row>
    <row r="81" spans="2:103" s="1" customFormat="1" hidden="1" outlineLevel="1" x14ac:dyDescent="0.25">
      <c r="B81" t="s">
        <v>312</v>
      </c>
      <c r="C81" t="s">
        <v>313</v>
      </c>
      <c r="D81" s="98">
        <f>D78*'Global Inputs'!C$83+Outputs!D79*CO2_emissions_gas_tons_per_therm</f>
        <v>210153.43197440394</v>
      </c>
      <c r="E81" s="98">
        <f>E78*'Global Inputs'!D$83+Outputs!E79*CO2_emissions_gas_tons_per_therm</f>
        <v>210153.43197440394</v>
      </c>
      <c r="F81" s="98">
        <f>F78*'Global Inputs'!E$83+Outputs!F79*CO2_emissions_gas_tons_per_therm</f>
        <v>210153.43197440394</v>
      </c>
      <c r="G81" s="98">
        <f>G78*'Global Inputs'!F$83+Outputs!G79*CO2_emissions_gas_tons_per_therm</f>
        <v>206928.13638288132</v>
      </c>
      <c r="H81" s="98">
        <f>H78*'Global Inputs'!G$83+Outputs!H79*CO2_emissions_gas_tons_per_therm</f>
        <v>206928.13638288132</v>
      </c>
      <c r="I81" s="98">
        <f>I78*'Global Inputs'!H$83+Outputs!I79*CO2_emissions_gas_tons_per_therm</f>
        <v>179607.38166146507</v>
      </c>
      <c r="J81" s="98">
        <f>J78*'Global Inputs'!I$83+Outputs!J79*CO2_emissions_gas_tons_per_therm</f>
        <v>179607.38166146507</v>
      </c>
      <c r="K81" s="98">
        <f>K78*'Global Inputs'!J$83+Outputs!K79*CO2_emissions_gas_tons_per_therm</f>
        <v>174800.37734035822</v>
      </c>
      <c r="L81" s="98">
        <f>L78*'Global Inputs'!K$83+Outputs!L79*CO2_emissions_gas_tons_per_therm</f>
        <v>174800.37734035822</v>
      </c>
      <c r="M81" s="98">
        <f>M78*'Global Inputs'!L$83+Outputs!M79*CO2_emissions_gas_tons_per_therm</f>
        <v>172712.63569557326</v>
      </c>
      <c r="N81" s="98">
        <f>N78*'Global Inputs'!M$83+Outputs!N79*CO2_emissions_gas_tons_per_therm</f>
        <v>116775.15415578688</v>
      </c>
      <c r="O81" s="98">
        <f>O78*'Global Inputs'!N$83+Outputs!O79*CO2_emissions_gas_tons_per_therm</f>
        <v>116178.0548727486</v>
      </c>
      <c r="P81" s="98">
        <f>P78*'Global Inputs'!O$83+Outputs!P79*CO2_emissions_gas_tons_per_therm</f>
        <v>116178.0548727486</v>
      </c>
      <c r="Q81" s="98">
        <f>Q78*'Global Inputs'!P$83+Outputs!Q79*CO2_emissions_gas_tons_per_therm</f>
        <v>116075.42908570489</v>
      </c>
      <c r="R81" s="98">
        <f>R78*'Global Inputs'!Q$83+Outputs!R79*CO2_emissions_gas_tons_per_therm</f>
        <v>0</v>
      </c>
      <c r="S81" s="98">
        <f>S78*'Global Inputs'!R$83+Outputs!S79*CO2_emissions_gas_tons_per_therm</f>
        <v>0</v>
      </c>
      <c r="T81" s="98">
        <f>T78*'Global Inputs'!S$83+Outputs!T79*CO2_emissions_gas_tons_per_therm</f>
        <v>0</v>
      </c>
      <c r="U81" s="98">
        <f>U78*'Global Inputs'!T$83+Outputs!U79*CO2_emissions_gas_tons_per_therm</f>
        <v>0</v>
      </c>
      <c r="V81" s="98">
        <f>V78*'Global Inputs'!U$83+Outputs!V79*CO2_emissions_gas_tons_per_therm</f>
        <v>0</v>
      </c>
      <c r="W81" s="98">
        <f>W78*'Global Inputs'!V$83+Outputs!W79*CO2_emissions_gas_tons_per_therm</f>
        <v>0</v>
      </c>
      <c r="X81" s="98">
        <f>X78*'Global Inputs'!W$83+Outputs!X79*CO2_emissions_gas_tons_per_therm</f>
        <v>0</v>
      </c>
      <c r="Y81" s="98">
        <f>Y78*'Global Inputs'!X$83+Outputs!Y79*CO2_emissions_gas_tons_per_therm</f>
        <v>0</v>
      </c>
      <c r="Z81" s="98">
        <f>Z78*'Global Inputs'!Y$83+Outputs!Z79*CO2_emissions_gas_tons_per_therm</f>
        <v>0</v>
      </c>
      <c r="AA81" s="98">
        <f>AA78*'Global Inputs'!Z$83+Outputs!AA79*CO2_emissions_gas_tons_per_therm</f>
        <v>0</v>
      </c>
      <c r="AB81" s="98">
        <f>AB78*'Global Inputs'!AA$83+Outputs!AB79*CO2_emissions_gas_tons_per_therm</f>
        <v>0</v>
      </c>
      <c r="AC81" s="98">
        <f>AC78*'Global Inputs'!AB$83+Outputs!AC79*CO2_emissions_gas_tons_per_therm</f>
        <v>0</v>
      </c>
      <c r="AD81" s="98">
        <f>AD78*'Global Inputs'!AC$83+Outputs!AD79*CO2_emissions_gas_tons_per_therm</f>
        <v>0</v>
      </c>
      <c r="AE81" s="98">
        <f>AE78*'Global Inputs'!AD$83+Outputs!AE79*CO2_emissions_gas_tons_per_therm</f>
        <v>0</v>
      </c>
      <c r="AF81" s="98">
        <f>AF78*'Global Inputs'!AE$83+Outputs!AF79*CO2_emissions_gas_tons_per_therm</f>
        <v>0</v>
      </c>
      <c r="AG81" s="98">
        <f>AG78*'Global Inputs'!AF$83+Outputs!AG79*CO2_emissions_gas_tons_per_therm</f>
        <v>0</v>
      </c>
      <c r="AH81" s="53">
        <f t="shared" si="8"/>
        <v>2391051.4153751833</v>
      </c>
      <c r="AI81"/>
      <c r="AJ81" s="23"/>
      <c r="AZ81"/>
      <c r="BA81"/>
      <c r="BB81"/>
      <c r="BC81"/>
      <c r="BD81"/>
      <c r="BE81"/>
      <c r="BF81"/>
      <c r="BG81"/>
      <c r="BH81"/>
      <c r="BI81"/>
      <c r="BJ81"/>
      <c r="BK81"/>
      <c r="BL81"/>
      <c r="BM81"/>
      <c r="BN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row>
    <row r="82" spans="2:103" hidden="1" outlineLevel="1" x14ac:dyDescent="0.25">
      <c r="B82" t="s">
        <v>314</v>
      </c>
      <c r="C82" t="s">
        <v>315</v>
      </c>
      <c r="AG82" s="51">
        <f>AG78*Btuh_per_W/'Global Inputs'!$D$17+AG79*'Global Inputs'!$D$16/'Global Inputs'!$D$17/'Global Inputs'!$D$17</f>
        <v>1136124.9753627405</v>
      </c>
      <c r="AH82" s="53">
        <f>AH78*Btuh_per_W/'Global Inputs'!$D$17+AH79*'Global Inputs'!$D$16/'Global Inputs'!$D$17/'Global Inputs'!$D$17</f>
        <v>57397428.132906124</v>
      </c>
      <c r="AM82" s="1"/>
      <c r="AN82" s="1"/>
      <c r="AO82" s="1"/>
      <c r="AP82" s="1"/>
      <c r="AQ82" s="1"/>
      <c r="AR82" s="1"/>
      <c r="AS82" s="1"/>
      <c r="AT82" s="1"/>
      <c r="AU82" s="1"/>
      <c r="AV82" s="1"/>
      <c r="AW82" s="1"/>
      <c r="AX82" s="1"/>
    </row>
    <row r="83" spans="2:103" hidden="1" outlineLevel="1" x14ac:dyDescent="0.25">
      <c r="AH83" s="54"/>
    </row>
    <row r="84" spans="2:103" s="1" customFormat="1" ht="17.25" hidden="1" outlineLevel="1" thickBot="1" x14ac:dyDescent="0.3">
      <c r="B84" s="19" t="s">
        <v>288</v>
      </c>
      <c r="C84" s="19"/>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55"/>
      <c r="AI84" s="19"/>
      <c r="AJ84" s="19"/>
      <c r="AZ84"/>
      <c r="BA84"/>
      <c r="BB84"/>
      <c r="BC84"/>
      <c r="BD84"/>
      <c r="BE84"/>
      <c r="BF84"/>
      <c r="BG84"/>
      <c r="BH84"/>
      <c r="BI84"/>
      <c r="BJ84"/>
      <c r="BK84"/>
      <c r="BL84"/>
      <c r="BM84"/>
      <c r="BN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row>
    <row r="85" spans="2:103" s="1" customFormat="1" ht="18" hidden="1" outlineLevel="1" thickTop="1" thickBot="1" x14ac:dyDescent="0.3">
      <c r="B85" s="20" t="s">
        <v>310</v>
      </c>
      <c r="C85" s="20" t="s">
        <v>13</v>
      </c>
      <c r="D85" s="97" t="s">
        <v>17</v>
      </c>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56" t="s">
        <v>224</v>
      </c>
      <c r="AI85" s="20"/>
      <c r="AJ85" s="20" t="s">
        <v>15</v>
      </c>
      <c r="AM85" s="19" t="s">
        <v>135</v>
      </c>
      <c r="AN85" s="19"/>
      <c r="AO85" s="19"/>
      <c r="AP85" s="19"/>
      <c r="AQ85" s="19"/>
      <c r="AR85" s="19"/>
      <c r="AS85" s="19"/>
      <c r="AT85" s="19"/>
      <c r="AU85" s="19"/>
      <c r="AV85" s="19"/>
      <c r="AW85" s="19"/>
      <c r="AX85" s="19"/>
      <c r="AZ85"/>
      <c r="BA85"/>
      <c r="BB85"/>
      <c r="BC85"/>
      <c r="BD85"/>
      <c r="BE85"/>
      <c r="BF85"/>
      <c r="BG85"/>
      <c r="BH85"/>
      <c r="BI85"/>
      <c r="BJ85"/>
      <c r="BK85"/>
      <c r="BL85"/>
      <c r="BM85"/>
      <c r="BN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row>
    <row r="86" spans="2:103" hidden="1" outlineLevel="1" x14ac:dyDescent="0.25">
      <c r="D86" s="100">
        <f>'Core Loads'!$C$14</f>
        <v>2025</v>
      </c>
      <c r="E86" s="100">
        <f>'Core Loads'!$D$14</f>
        <v>2026</v>
      </c>
      <c r="F86" s="100">
        <f>'Core Loads'!$E$14</f>
        <v>2027</v>
      </c>
      <c r="G86" s="100">
        <f>'Core Loads'!$F$14</f>
        <v>2028</v>
      </c>
      <c r="H86" s="100">
        <f>'Core Loads'!$G$14</f>
        <v>2029</v>
      </c>
      <c r="I86" s="100">
        <f>'Core Loads'!$H$14</f>
        <v>2030</v>
      </c>
      <c r="J86" s="100">
        <f>'Core Loads'!$I$14</f>
        <v>2031</v>
      </c>
      <c r="K86" s="100">
        <f>'Core Loads'!$J$14</f>
        <v>2032</v>
      </c>
      <c r="L86" s="100">
        <f>'Core Loads'!$K$14</f>
        <v>2033</v>
      </c>
      <c r="M86" s="100">
        <f>'Core Loads'!$L$14</f>
        <v>2034</v>
      </c>
      <c r="N86" s="100">
        <f>'Core Loads'!$M$14</f>
        <v>2035</v>
      </c>
      <c r="O86" s="100">
        <f>'Core Loads'!$N$14</f>
        <v>2036</v>
      </c>
      <c r="P86" s="100">
        <f>'Core Loads'!$O$14</f>
        <v>2037</v>
      </c>
      <c r="Q86" s="100">
        <f>'Core Loads'!$P$14</f>
        <v>2038</v>
      </c>
      <c r="R86" s="100">
        <f>'Core Loads'!$Q$14</f>
        <v>2039</v>
      </c>
      <c r="S86" s="100">
        <f>'Core Loads'!$R$14</f>
        <v>2040</v>
      </c>
      <c r="T86" s="100">
        <f>'Core Loads'!$S$14</f>
        <v>2041</v>
      </c>
      <c r="U86" s="100">
        <f>'Core Loads'!$T$14</f>
        <v>2042</v>
      </c>
      <c r="V86" s="100">
        <f>'Core Loads'!$U$14</f>
        <v>2043</v>
      </c>
      <c r="W86" s="100">
        <f>'Core Loads'!$V$14</f>
        <v>2044</v>
      </c>
      <c r="X86" s="100">
        <f>'Core Loads'!$W$14</f>
        <v>2045</v>
      </c>
      <c r="Y86" s="100">
        <f>'Core Loads'!$X$14</f>
        <v>2046</v>
      </c>
      <c r="Z86" s="100">
        <f>'Core Loads'!$Y$14</f>
        <v>2047</v>
      </c>
      <c r="AA86" s="100">
        <f>'Core Loads'!$Z$14</f>
        <v>2048</v>
      </c>
      <c r="AB86" s="100">
        <f>'Core Loads'!$AA$14</f>
        <v>2049</v>
      </c>
      <c r="AC86" s="100">
        <f>'Core Loads'!$AB$14</f>
        <v>2050</v>
      </c>
      <c r="AD86" s="100">
        <f>'Core Loads'!$AC$14</f>
        <v>2051</v>
      </c>
      <c r="AE86" s="100">
        <f>'Core Loads'!$AD$14</f>
        <v>2052</v>
      </c>
      <c r="AF86" s="100">
        <f>'Core Loads'!$AE$14</f>
        <v>2053</v>
      </c>
      <c r="AG86" s="100">
        <f>'Core Loads'!$AF$14</f>
        <v>2054</v>
      </c>
      <c r="AH86" s="8"/>
      <c r="AM86" s="1"/>
      <c r="AN86" s="1"/>
      <c r="AO86" s="1"/>
      <c r="AP86" s="1"/>
      <c r="AQ86" s="1"/>
      <c r="AR86" s="1"/>
      <c r="AS86" s="1"/>
      <c r="AT86" s="1"/>
      <c r="AU86" s="1"/>
      <c r="AV86" s="1"/>
      <c r="AW86" s="1"/>
      <c r="AX86" s="1"/>
    </row>
    <row r="87" spans="2:103" s="1" customFormat="1" hidden="1" outlineLevel="1" x14ac:dyDescent="0.25">
      <c r="B87" t="s">
        <v>141</v>
      </c>
      <c r="C87" t="s">
        <v>109</v>
      </c>
      <c r="D87" s="98">
        <f>'Core Commodities Use'!D188+'Core Commodities Use'!D195</f>
        <v>0</v>
      </c>
      <c r="E87" s="98">
        <f>'Core Commodities Use'!E188+'Core Commodities Use'!E195</f>
        <v>47837563.678282395</v>
      </c>
      <c r="F87" s="98">
        <f>'Core Commodities Use'!F188+'Core Commodities Use'!F195</f>
        <v>168997147.24434036</v>
      </c>
      <c r="G87" s="98">
        <f>'Core Commodities Use'!G188+'Core Commodities Use'!G195</f>
        <v>186004902.54178959</v>
      </c>
      <c r="H87" s="98">
        <f>'Core Commodities Use'!H188+'Core Commodities Use'!H195</f>
        <v>186004902.54178959</v>
      </c>
      <c r="I87" s="98">
        <f>'Core Commodities Use'!I188+'Core Commodities Use'!I195</f>
        <v>192394342.89682317</v>
      </c>
      <c r="J87" s="98">
        <f>'Core Commodities Use'!J188+'Core Commodities Use'!J195</f>
        <v>192394342.89682317</v>
      </c>
      <c r="K87" s="98">
        <f>'Core Commodities Use'!K188+'Core Commodities Use'!K195</f>
        <v>181395211.20034271</v>
      </c>
      <c r="L87" s="98">
        <f>'Core Commodities Use'!L188+'Core Commodities Use'!L195</f>
        <v>181395211.20034271</v>
      </c>
      <c r="M87" s="98">
        <f>'Core Commodities Use'!M188+'Core Commodities Use'!M195</f>
        <v>181654503.7405248</v>
      </c>
      <c r="N87" s="98">
        <f>'Core Commodities Use'!N188+'Core Commodities Use'!N195</f>
        <v>181654503.7405248</v>
      </c>
      <c r="O87" s="98">
        <f>'Core Commodities Use'!O188+'Core Commodities Use'!O195</f>
        <v>180550748.01953286</v>
      </c>
      <c r="P87" s="98">
        <f>'Core Commodities Use'!P188+'Core Commodities Use'!P195</f>
        <v>180550748.01953286</v>
      </c>
      <c r="Q87" s="98">
        <f>'Core Commodities Use'!Q188+'Core Commodities Use'!Q195</f>
        <v>180464890.10379493</v>
      </c>
      <c r="R87" s="98">
        <f>'Core Commodities Use'!R188+'Core Commodities Use'!R195</f>
        <v>180464890.10379493</v>
      </c>
      <c r="S87" s="98">
        <f>'Core Commodities Use'!S188+'Core Commodities Use'!S195</f>
        <v>221514950.29348302</v>
      </c>
      <c r="T87" s="98">
        <f>'Core Commodities Use'!T188+'Core Commodities Use'!T195</f>
        <v>221514950.29348302</v>
      </c>
      <c r="U87" s="98">
        <f>'Core Commodities Use'!U188+'Core Commodities Use'!U195</f>
        <v>221514950.29348302</v>
      </c>
      <c r="V87" s="98">
        <f>'Core Commodities Use'!V188+'Core Commodities Use'!V195</f>
        <v>221514950.29348302</v>
      </c>
      <c r="W87" s="98">
        <f>'Core Commodities Use'!W188+'Core Commodities Use'!W195</f>
        <v>220926206.14733073</v>
      </c>
      <c r="X87" s="98">
        <f>'Core Commodities Use'!X188+'Core Commodities Use'!X195</f>
        <v>220926206.14733073</v>
      </c>
      <c r="Y87" s="98">
        <f>'Core Commodities Use'!Y188+'Core Commodities Use'!Y195</f>
        <v>220926206.14733073</v>
      </c>
      <c r="Z87" s="98">
        <f>'Core Commodities Use'!Z188+'Core Commodities Use'!Z195</f>
        <v>220926206.14733073</v>
      </c>
      <c r="AA87" s="98">
        <f>'Core Commodities Use'!AA188+'Core Commodities Use'!AA195</f>
        <v>220926206.14733073</v>
      </c>
      <c r="AB87" s="98">
        <f>'Core Commodities Use'!AB188+'Core Commodities Use'!AB195</f>
        <v>220926206.14733073</v>
      </c>
      <c r="AC87" s="98">
        <f>'Core Commodities Use'!AC188+'Core Commodities Use'!AC195</f>
        <v>220199433.46492535</v>
      </c>
      <c r="AD87" s="98">
        <f>'Core Commodities Use'!AD188+'Core Commodities Use'!AD195</f>
        <v>220199433.46492535</v>
      </c>
      <c r="AE87" s="98">
        <f>'Core Commodities Use'!AE188+'Core Commodities Use'!AE195</f>
        <v>220199433.46492535</v>
      </c>
      <c r="AF87" s="98">
        <f>'Core Commodities Use'!AF188+'Core Commodities Use'!AF195</f>
        <v>220199433.46492535</v>
      </c>
      <c r="AG87" s="98">
        <f>'Core Commodities Use'!AG188+'Core Commodities Use'!AG195</f>
        <v>220199433.46492535</v>
      </c>
      <c r="AH87" s="53">
        <f>SUM(D87:AG87)</f>
        <v>5734378113.3107824</v>
      </c>
      <c r="AI87"/>
      <c r="AJ87" s="23" t="s">
        <v>317</v>
      </c>
      <c r="AM87"/>
      <c r="AN87"/>
      <c r="AO87"/>
      <c r="AP87"/>
      <c r="AQ87"/>
      <c r="AR87"/>
      <c r="AS87"/>
      <c r="AT87"/>
      <c r="AU87"/>
      <c r="AV87"/>
      <c r="AW87"/>
      <c r="AX87"/>
      <c r="AZ87"/>
      <c r="BA87"/>
      <c r="BB87"/>
      <c r="BC87"/>
      <c r="BD87"/>
      <c r="BE87"/>
      <c r="BF87"/>
      <c r="BG87"/>
      <c r="BH87"/>
      <c r="BI87"/>
      <c r="BJ87"/>
      <c r="BK87"/>
      <c r="BL87"/>
      <c r="BM87"/>
      <c r="BN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row>
    <row r="88" spans="2:103" s="1" customFormat="1" hidden="1" outlineLevel="1" x14ac:dyDescent="0.25">
      <c r="B88" t="s">
        <v>136</v>
      </c>
      <c r="C88" t="s">
        <v>169</v>
      </c>
      <c r="D88" s="98">
        <f>'Core Commodities Use'!D189+'Core Commodities Use'!D196</f>
        <v>31258877.283118241</v>
      </c>
      <c r="E88" s="98">
        <f>'Core Commodities Use'!E189+'Core Commodities Use'!E196</f>
        <v>30649221.067447647</v>
      </c>
      <c r="F88" s="98">
        <f>'Core Commodities Use'!F189+'Core Commodities Use'!F196</f>
        <v>18613368.200255442</v>
      </c>
      <c r="G88" s="98">
        <f>'Core Commodities Use'!G189+'Core Commodities Use'!G196</f>
        <v>18347752.43999923</v>
      </c>
      <c r="H88" s="98">
        <f>'Core Commodities Use'!H189+'Core Commodities Use'!H196</f>
        <v>18347752.43999923</v>
      </c>
      <c r="I88" s="98">
        <f>'Core Commodities Use'!I189+'Core Commodities Use'!I196</f>
        <v>18113313.827005364</v>
      </c>
      <c r="J88" s="98">
        <f>'Core Commodities Use'!J189+'Core Commodities Use'!J196</f>
        <v>18113313.827005364</v>
      </c>
      <c r="K88" s="98">
        <f>'Core Commodities Use'!K189+'Core Commodities Use'!K196</f>
        <v>17604058.258664448</v>
      </c>
      <c r="L88" s="98">
        <f>'Core Commodities Use'!L189+'Core Commodities Use'!L196</f>
        <v>17604058.258664448</v>
      </c>
      <c r="M88" s="98">
        <f>'Core Commodities Use'!M189+'Core Commodities Use'!M196</f>
        <v>17436721.282063976</v>
      </c>
      <c r="N88" s="98">
        <f>'Core Commodities Use'!N189+'Core Commodities Use'!N196</f>
        <v>17436721.282063976</v>
      </c>
      <c r="O88" s="98">
        <f>'Core Commodities Use'!O189+'Core Commodities Use'!O196</f>
        <v>17159265.977142181</v>
      </c>
      <c r="P88" s="98">
        <f>'Core Commodities Use'!P189+'Core Commodities Use'!P196</f>
        <v>17159265.977142181</v>
      </c>
      <c r="Q88" s="98">
        <f>'Core Commodities Use'!Q189+'Core Commodities Use'!Q196</f>
        <v>17088878.844462093</v>
      </c>
      <c r="R88" s="98">
        <f>'Core Commodities Use'!R189+'Core Commodities Use'!R196</f>
        <v>17088878.844462093</v>
      </c>
      <c r="S88" s="98">
        <f>'Core Commodities Use'!S189+'Core Commodities Use'!S196</f>
        <v>17874338.002593145</v>
      </c>
      <c r="T88" s="98">
        <f>'Core Commodities Use'!T189+'Core Commodities Use'!T196</f>
        <v>17874338.002593145</v>
      </c>
      <c r="U88" s="98">
        <f>'Core Commodities Use'!U189+'Core Commodities Use'!U196</f>
        <v>17840779.92662558</v>
      </c>
      <c r="V88" s="98">
        <f>'Core Commodities Use'!V189+'Core Commodities Use'!V196</f>
        <v>17840779.92662558</v>
      </c>
      <c r="W88" s="98">
        <f>'Core Commodities Use'!W189+'Core Commodities Use'!W196</f>
        <v>17807525.131535459</v>
      </c>
      <c r="X88" s="98">
        <f>'Core Commodities Use'!X189+'Core Commodities Use'!X196</f>
        <v>17807525.131535459</v>
      </c>
      <c r="Y88" s="98">
        <f>'Core Commodities Use'!Y189+'Core Commodities Use'!Y196</f>
        <v>17807525.131535459</v>
      </c>
      <c r="Z88" s="98">
        <f>'Core Commodities Use'!Z189+'Core Commodities Use'!Z196</f>
        <v>17807525.131535459</v>
      </c>
      <c r="AA88" s="98">
        <f>'Core Commodities Use'!AA189+'Core Commodities Use'!AA196</f>
        <v>17807525.131535459</v>
      </c>
      <c r="AB88" s="98">
        <f>'Core Commodities Use'!AB189+'Core Commodities Use'!AB196</f>
        <v>17807525.131535459</v>
      </c>
      <c r="AC88" s="98">
        <f>'Core Commodities Use'!AC189+'Core Commodities Use'!AC196</f>
        <v>17774189.658897694</v>
      </c>
      <c r="AD88" s="98">
        <f>'Core Commodities Use'!AD189+'Core Commodities Use'!AD196</f>
        <v>17774189.658897694</v>
      </c>
      <c r="AE88" s="98">
        <f>'Core Commodities Use'!AE189+'Core Commodities Use'!AE196</f>
        <v>17774189.658897694</v>
      </c>
      <c r="AF88" s="98">
        <f>'Core Commodities Use'!AF189+'Core Commodities Use'!AF196</f>
        <v>17774189.658897694</v>
      </c>
      <c r="AG88" s="98">
        <f>'Core Commodities Use'!AG189+'Core Commodities Use'!AG196</f>
        <v>17774189.658897694</v>
      </c>
      <c r="AH88" s="53">
        <f t="shared" ref="AH88:AH89" si="9">SUM(D88:AG88)</f>
        <v>559167782.75163472</v>
      </c>
      <c r="AI88"/>
      <c r="AJ88" s="23" t="s">
        <v>317</v>
      </c>
      <c r="AZ88"/>
      <c r="BA88"/>
      <c r="BB88"/>
      <c r="BC88"/>
      <c r="BD88"/>
      <c r="BE88"/>
      <c r="BF88"/>
      <c r="BG88"/>
      <c r="BH88"/>
      <c r="BI88"/>
      <c r="BJ88"/>
      <c r="BK88"/>
      <c r="BL88"/>
      <c r="BM88"/>
      <c r="BN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row>
    <row r="89" spans="2:103" s="1" customFormat="1" hidden="1" outlineLevel="1" x14ac:dyDescent="0.25">
      <c r="B89" t="s">
        <v>154</v>
      </c>
      <c r="C89" t="s">
        <v>170</v>
      </c>
      <c r="D89" s="98">
        <f>'Core Commodities Use'!D190+'Core Commodities Use'!D197</f>
        <v>278436.87957137165</v>
      </c>
      <c r="E89" s="98">
        <f>'Core Commodities Use'!E190+'Core Commodities Use'!E197</f>
        <v>263270.76555360644</v>
      </c>
      <c r="F89" s="98">
        <f>'Core Commodities Use'!F190+'Core Commodities Use'!F197</f>
        <v>229722.39862835626</v>
      </c>
      <c r="G89" s="98">
        <f>'Core Commodities Use'!G190+'Core Commodities Use'!G197</f>
        <v>249312.68063645501</v>
      </c>
      <c r="H89" s="98">
        <f>'Core Commodities Use'!H190+'Core Commodities Use'!H197</f>
        <v>249312.68063645501</v>
      </c>
      <c r="I89" s="98">
        <f>'Core Commodities Use'!I190+'Core Commodities Use'!I197</f>
        <v>269580.38539741182</v>
      </c>
      <c r="J89" s="98">
        <f>'Core Commodities Use'!J190+'Core Commodities Use'!J197</f>
        <v>269580.38539741182</v>
      </c>
      <c r="K89" s="98">
        <f>'Core Commodities Use'!K190+'Core Commodities Use'!K197</f>
        <v>260455.06022020319</v>
      </c>
      <c r="L89" s="98">
        <f>'Core Commodities Use'!L190+'Core Commodities Use'!L197</f>
        <v>260455.06022020319</v>
      </c>
      <c r="M89" s="98">
        <f>'Core Commodities Use'!M190+'Core Commodities Use'!M197</f>
        <v>262015.96304573605</v>
      </c>
      <c r="N89" s="98">
        <f>'Core Commodities Use'!N190+'Core Commodities Use'!N197</f>
        <v>262015.96304573605</v>
      </c>
      <c r="O89" s="98">
        <f>'Core Commodities Use'!O190+'Core Commodities Use'!O197</f>
        <v>258895.12716426712</v>
      </c>
      <c r="P89" s="98">
        <f>'Core Commodities Use'!P190+'Core Commodities Use'!P197</f>
        <v>258895.12716426712</v>
      </c>
      <c r="Q89" s="98">
        <f>'Core Commodities Use'!Q190+'Core Commodities Use'!Q197</f>
        <v>258186.918357205</v>
      </c>
      <c r="R89" s="98">
        <f>'Core Commodities Use'!R190+'Core Commodities Use'!R197</f>
        <v>258186.918357205</v>
      </c>
      <c r="S89" s="98">
        <f>'Core Commodities Use'!S190+'Core Commodities Use'!S197</f>
        <v>292697.91370478703</v>
      </c>
      <c r="T89" s="98">
        <f>'Core Commodities Use'!T190+'Core Commodities Use'!T197</f>
        <v>292697.91370478703</v>
      </c>
      <c r="U89" s="98">
        <f>'Core Commodities Use'!U190+'Core Commodities Use'!U197</f>
        <v>292485.95395244943</v>
      </c>
      <c r="V89" s="98">
        <f>'Core Commodities Use'!V190+'Core Commodities Use'!V197</f>
        <v>292485.95395244943</v>
      </c>
      <c r="W89" s="98">
        <f>'Core Commodities Use'!W190+'Core Commodities Use'!W197</f>
        <v>291756.69440303242</v>
      </c>
      <c r="X89" s="98">
        <f>'Core Commodities Use'!X190+'Core Commodities Use'!X197</f>
        <v>291756.69440303242</v>
      </c>
      <c r="Y89" s="98">
        <f>'Core Commodities Use'!Y190+'Core Commodities Use'!Y197</f>
        <v>291756.69440303242</v>
      </c>
      <c r="Z89" s="98">
        <f>'Core Commodities Use'!Z190+'Core Commodities Use'!Z197</f>
        <v>291756.69440303242</v>
      </c>
      <c r="AA89" s="98">
        <f>'Core Commodities Use'!AA190+'Core Commodities Use'!AA197</f>
        <v>291756.69440303242</v>
      </c>
      <c r="AB89" s="98">
        <f>'Core Commodities Use'!AB190+'Core Commodities Use'!AB197</f>
        <v>291756.69440303242</v>
      </c>
      <c r="AC89" s="98">
        <f>'Core Commodities Use'!AC190+'Core Commodities Use'!AC197</f>
        <v>290846.81169120385</v>
      </c>
      <c r="AD89" s="98">
        <f>'Core Commodities Use'!AD190+'Core Commodities Use'!AD197</f>
        <v>290846.81169120385</v>
      </c>
      <c r="AE89" s="98">
        <f>'Core Commodities Use'!AE190+'Core Commodities Use'!AE197</f>
        <v>290846.81169120385</v>
      </c>
      <c r="AF89" s="98">
        <f>'Core Commodities Use'!AF190+'Core Commodities Use'!AF197</f>
        <v>290846.81169120385</v>
      </c>
      <c r="AG89" s="98">
        <f>'Core Commodities Use'!AG190+'Core Commodities Use'!AG197</f>
        <v>290846.81169120385</v>
      </c>
      <c r="AH89" s="53">
        <f t="shared" si="9"/>
        <v>8263464.27358458</v>
      </c>
      <c r="AI89"/>
      <c r="AJ89" s="23" t="s">
        <v>317</v>
      </c>
      <c r="AZ89"/>
      <c r="BA89"/>
      <c r="BB89"/>
      <c r="BC89"/>
      <c r="BD89"/>
      <c r="BE89"/>
      <c r="BF89"/>
      <c r="BG89"/>
      <c r="BH89"/>
      <c r="BI89"/>
      <c r="BJ89"/>
      <c r="BK89"/>
      <c r="BL89"/>
      <c r="BM89"/>
      <c r="BN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row>
    <row r="90" spans="2:103" s="1" customFormat="1" hidden="1" outlineLevel="1" x14ac:dyDescent="0.25">
      <c r="B90" t="s">
        <v>312</v>
      </c>
      <c r="C90" t="s">
        <v>313</v>
      </c>
      <c r="D90" s="98">
        <f>D87*'Global Inputs'!C$83+Outputs!D88*CO2_emissions_gas_tons_per_therm</f>
        <v>210153.43197440394</v>
      </c>
      <c r="E90" s="98">
        <f>E87*'Global Inputs'!D$83+Outputs!E88*CO2_emissions_gas_tons_per_therm</f>
        <v>206054.71323645054</v>
      </c>
      <c r="F90" s="98">
        <f>F87*'Global Inputs'!E$83+Outputs!F88*CO2_emissions_gas_tons_per_therm</f>
        <v>125137.67441031734</v>
      </c>
      <c r="G90" s="98">
        <f>G87*'Global Inputs'!F$83+Outputs!G88*CO2_emissions_gas_tons_per_therm</f>
        <v>123351.93965411482</v>
      </c>
      <c r="H90" s="98">
        <f>H87*'Global Inputs'!G$83+Outputs!H88*CO2_emissions_gas_tons_per_therm</f>
        <v>123351.93965411482</v>
      </c>
      <c r="I90" s="98">
        <f>I87*'Global Inputs'!H$83+Outputs!I88*CO2_emissions_gas_tons_per_therm</f>
        <v>121775.80885895705</v>
      </c>
      <c r="J90" s="98">
        <f>J87*'Global Inputs'!I$83+Outputs!J88*CO2_emissions_gas_tons_per_therm</f>
        <v>121775.80885895705</v>
      </c>
      <c r="K90" s="98">
        <f>K87*'Global Inputs'!J$83+Outputs!K88*CO2_emissions_gas_tons_per_therm</f>
        <v>118352.08367300108</v>
      </c>
      <c r="L90" s="98">
        <f>L87*'Global Inputs'!K$83+Outputs!L88*CO2_emissions_gas_tons_per_therm</f>
        <v>118352.08367300108</v>
      </c>
      <c r="M90" s="98">
        <f>M87*'Global Inputs'!L$83+Outputs!M88*CO2_emissions_gas_tons_per_therm</f>
        <v>117227.07717931611</v>
      </c>
      <c r="N90" s="98">
        <f>N87*'Global Inputs'!M$83+Outputs!N88*CO2_emissions_gas_tons_per_therm</f>
        <v>117227.07717931611</v>
      </c>
      <c r="O90" s="98">
        <f>O87*'Global Inputs'!N$83+Outputs!O88*CO2_emissions_gas_tons_per_therm</f>
        <v>115361.74516432689</v>
      </c>
      <c r="P90" s="98">
        <f>P87*'Global Inputs'!O$83+Outputs!P88*CO2_emissions_gas_tons_per_therm</f>
        <v>115361.74516432689</v>
      </c>
      <c r="Q90" s="98">
        <f>Q87*'Global Inputs'!P$83+Outputs!Q88*CO2_emissions_gas_tons_per_therm</f>
        <v>114888.53247131864</v>
      </c>
      <c r="R90" s="98">
        <f>R87*'Global Inputs'!Q$83+Outputs!R88*CO2_emissions_gas_tons_per_therm</f>
        <v>114888.53247131864</v>
      </c>
      <c r="S90" s="98">
        <f>S87*'Global Inputs'!R$83+Outputs!S88*CO2_emissions_gas_tons_per_therm</f>
        <v>120169.17439143371</v>
      </c>
      <c r="T90" s="98">
        <f>T87*'Global Inputs'!S$83+Outputs!T88*CO2_emissions_gas_tons_per_therm</f>
        <v>120169.17439143371</v>
      </c>
      <c r="U90" s="98">
        <f>U87*'Global Inputs'!T$83+Outputs!U88*CO2_emissions_gas_tons_per_therm</f>
        <v>119943.56344670377</v>
      </c>
      <c r="V90" s="98">
        <f>V87*'Global Inputs'!U$83+Outputs!V88*CO2_emissions_gas_tons_per_therm</f>
        <v>119943.56344670377</v>
      </c>
      <c r="W90" s="98">
        <f>W87*'Global Inputs'!V$83+Outputs!W88*CO2_emissions_gas_tons_per_therm</f>
        <v>119719.99145931289</v>
      </c>
      <c r="X90" s="98">
        <f>X87*'Global Inputs'!W$83+Outputs!X88*CO2_emissions_gas_tons_per_therm</f>
        <v>119719.99145931289</v>
      </c>
      <c r="Y90" s="98">
        <f>Y87*'Global Inputs'!X$83+Outputs!Y88*CO2_emissions_gas_tons_per_therm</f>
        <v>119719.99145931289</v>
      </c>
      <c r="Z90" s="98">
        <f>Z87*'Global Inputs'!Y$83+Outputs!Z88*CO2_emissions_gas_tons_per_therm</f>
        <v>119719.99145931289</v>
      </c>
      <c r="AA90" s="98">
        <f>AA87*'Global Inputs'!Z$83+Outputs!AA88*CO2_emissions_gas_tons_per_therm</f>
        <v>119719.99145931289</v>
      </c>
      <c r="AB90" s="98">
        <f>AB87*'Global Inputs'!AA$83+Outputs!AB88*CO2_emissions_gas_tons_per_therm</f>
        <v>119719.99145931289</v>
      </c>
      <c r="AC90" s="98">
        <f>AC87*'Global Inputs'!AB$83+Outputs!AC88*CO2_emissions_gas_tons_per_therm</f>
        <v>119495.87707676919</v>
      </c>
      <c r="AD90" s="98">
        <f>AD87*'Global Inputs'!AC$83+Outputs!AD88*CO2_emissions_gas_tons_per_therm</f>
        <v>119495.87707676919</v>
      </c>
      <c r="AE90" s="98">
        <f>AE87*'Global Inputs'!AD$83+Outputs!AE88*CO2_emissions_gas_tons_per_therm</f>
        <v>119495.87707676919</v>
      </c>
      <c r="AF90" s="98">
        <f>AF87*'Global Inputs'!AE$83+Outputs!AF88*CO2_emissions_gas_tons_per_therm</f>
        <v>119495.87707676919</v>
      </c>
      <c r="AG90" s="98">
        <f>AG87*'Global Inputs'!AF$83+Outputs!AG88*CO2_emissions_gas_tons_per_therm</f>
        <v>119495.87707676919</v>
      </c>
      <c r="AH90" s="53">
        <f t="shared" ref="AH90" si="10">SUM(D90:AG90)</f>
        <v>3759285.0034392392</v>
      </c>
      <c r="AI90"/>
      <c r="AJ90" s="23"/>
      <c r="AZ90"/>
      <c r="BA90"/>
      <c r="BB90"/>
      <c r="BC90"/>
      <c r="BD90"/>
      <c r="BE90"/>
      <c r="BF90"/>
      <c r="BG90"/>
      <c r="BH90"/>
      <c r="BI90"/>
      <c r="BJ90"/>
      <c r="BK90"/>
      <c r="BL90"/>
      <c r="BM90"/>
      <c r="BN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row>
    <row r="91" spans="2:103" hidden="1" outlineLevel="1" x14ac:dyDescent="0.25">
      <c r="B91" t="s">
        <v>314</v>
      </c>
      <c r="C91" t="s">
        <v>315</v>
      </c>
      <c r="AG91" s="51">
        <f>AG87*Btuh_per_W/'Global Inputs'!$D$17+AG88*'Global Inputs'!$D$16/'Global Inputs'!$D$17/'Global Inputs'!$D$17</f>
        <v>2528739.4328720951</v>
      </c>
      <c r="AH91" s="53">
        <f>AH87*Btuh_per_W/'Global Inputs'!$D$17+AH88*'Global Inputs'!$D$16/'Global Inputs'!$D$17/'Global Inputs'!$D$17</f>
        <v>75482476.397779852</v>
      </c>
      <c r="AM91" s="1"/>
      <c r="AN91" s="1"/>
      <c r="AO91" s="1"/>
      <c r="AP91" s="1"/>
      <c r="AQ91" s="1"/>
      <c r="AR91" s="1"/>
      <c r="AS91" s="1"/>
      <c r="AT91" s="1"/>
      <c r="AU91" s="1"/>
      <c r="AV91" s="1"/>
      <c r="AW91" s="1"/>
      <c r="AX91" s="1"/>
    </row>
    <row r="92" spans="2:103" hidden="1" outlineLevel="1" x14ac:dyDescent="0.25">
      <c r="AH92" s="54"/>
    </row>
    <row r="93" spans="2:103" s="1" customFormat="1" ht="17.25" hidden="1" outlineLevel="1" thickBot="1" x14ac:dyDescent="0.3">
      <c r="B93" s="19" t="s">
        <v>300</v>
      </c>
      <c r="C93" s="19"/>
      <c r="D93" s="96"/>
      <c r="E93" s="96"/>
      <c r="F93" s="96"/>
      <c r="G93" s="96"/>
      <c r="H93" s="96"/>
      <c r="I93" s="96"/>
      <c r="J93" s="96"/>
      <c r="K93" s="96"/>
      <c r="L93" s="96"/>
      <c r="M93" s="96"/>
      <c r="N93" s="96"/>
      <c r="O93" s="96"/>
      <c r="P93" s="96"/>
      <c r="Q93" s="96"/>
      <c r="R93" s="96"/>
      <c r="S93" s="96"/>
      <c r="T93" s="96"/>
      <c r="U93" s="96"/>
      <c r="V93" s="96"/>
      <c r="W93" s="96"/>
      <c r="X93" s="96"/>
      <c r="Y93" s="96"/>
      <c r="Z93" s="96"/>
      <c r="AA93" s="96"/>
      <c r="AB93" s="96"/>
      <c r="AC93" s="96"/>
      <c r="AD93" s="96"/>
      <c r="AE93" s="96"/>
      <c r="AF93" s="96"/>
      <c r="AG93" s="96"/>
      <c r="AH93" s="55"/>
      <c r="AI93" s="19"/>
      <c r="AJ93" s="19"/>
      <c r="AZ93"/>
      <c r="BA93"/>
      <c r="BB93"/>
      <c r="BC93"/>
      <c r="BD93"/>
      <c r="BE93"/>
      <c r="BF93"/>
      <c r="BG93"/>
      <c r="BH93"/>
      <c r="BI93"/>
      <c r="BJ93"/>
      <c r="BK93"/>
      <c r="BL93"/>
      <c r="BM93"/>
      <c r="BN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row>
    <row r="94" spans="2:103" s="1" customFormat="1" ht="16.5" hidden="1" outlineLevel="1" thickTop="1" thickBot="1" x14ac:dyDescent="0.3">
      <c r="B94" s="20" t="s">
        <v>310</v>
      </c>
      <c r="C94" s="20" t="s">
        <v>13</v>
      </c>
      <c r="D94" s="97" t="s">
        <v>17</v>
      </c>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56" t="s">
        <v>224</v>
      </c>
      <c r="AI94" s="20"/>
      <c r="AJ94" s="20" t="s">
        <v>15</v>
      </c>
      <c r="AZ94"/>
      <c r="BA94"/>
      <c r="BB94"/>
      <c r="BC94"/>
      <c r="BD94"/>
      <c r="BE94"/>
      <c r="BF94"/>
      <c r="BG94"/>
      <c r="BH94"/>
      <c r="BI94"/>
      <c r="BJ94"/>
      <c r="BK94"/>
      <c r="BL94"/>
      <c r="BM94"/>
      <c r="BN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row>
    <row r="95" spans="2:103" hidden="1" outlineLevel="1" x14ac:dyDescent="0.25">
      <c r="D95" s="100">
        <f>'Core Loads'!$C$14</f>
        <v>2025</v>
      </c>
      <c r="E95" s="100">
        <f>'Core Loads'!$D$14</f>
        <v>2026</v>
      </c>
      <c r="F95" s="100">
        <f>'Core Loads'!$E$14</f>
        <v>2027</v>
      </c>
      <c r="G95" s="100">
        <f>'Core Loads'!$F$14</f>
        <v>2028</v>
      </c>
      <c r="H95" s="100">
        <f>'Core Loads'!$G$14</f>
        <v>2029</v>
      </c>
      <c r="I95" s="100">
        <f>'Core Loads'!$H$14</f>
        <v>2030</v>
      </c>
      <c r="J95" s="100">
        <f>'Core Loads'!$I$14</f>
        <v>2031</v>
      </c>
      <c r="K95" s="100">
        <f>'Core Loads'!$J$14</f>
        <v>2032</v>
      </c>
      <c r="L95" s="100">
        <f>'Core Loads'!$K$14</f>
        <v>2033</v>
      </c>
      <c r="M95" s="100">
        <f>'Core Loads'!$L$14</f>
        <v>2034</v>
      </c>
      <c r="N95" s="100">
        <f>'Core Loads'!$M$14</f>
        <v>2035</v>
      </c>
      <c r="O95" s="100">
        <f>'Core Loads'!$N$14</f>
        <v>2036</v>
      </c>
      <c r="P95" s="100">
        <f>'Core Loads'!$O$14</f>
        <v>2037</v>
      </c>
      <c r="Q95" s="100">
        <f>'Core Loads'!$P$14</f>
        <v>2038</v>
      </c>
      <c r="R95" s="100">
        <f>'Core Loads'!$Q$14</f>
        <v>2039</v>
      </c>
      <c r="S95" s="100">
        <f>'Core Loads'!$R$14</f>
        <v>2040</v>
      </c>
      <c r="T95" s="100">
        <f>'Core Loads'!$S$14</f>
        <v>2041</v>
      </c>
      <c r="U95" s="100">
        <f>'Core Loads'!$T$14</f>
        <v>2042</v>
      </c>
      <c r="V95" s="100">
        <f>'Core Loads'!$U$14</f>
        <v>2043</v>
      </c>
      <c r="W95" s="100">
        <f>'Core Loads'!$V$14</f>
        <v>2044</v>
      </c>
      <c r="X95" s="100">
        <f>'Core Loads'!$W$14</f>
        <v>2045</v>
      </c>
      <c r="Y95" s="100">
        <f>'Core Loads'!$X$14</f>
        <v>2046</v>
      </c>
      <c r="Z95" s="100">
        <f>'Core Loads'!$Y$14</f>
        <v>2047</v>
      </c>
      <c r="AA95" s="100">
        <f>'Core Loads'!$Z$14</f>
        <v>2048</v>
      </c>
      <c r="AB95" s="100">
        <f>'Core Loads'!$AA$14</f>
        <v>2049</v>
      </c>
      <c r="AC95" s="100">
        <f>'Core Loads'!$AB$14</f>
        <v>2050</v>
      </c>
      <c r="AD95" s="100">
        <f>'Core Loads'!$AC$14</f>
        <v>2051</v>
      </c>
      <c r="AE95" s="100">
        <f>'Core Loads'!$AD$14</f>
        <v>2052</v>
      </c>
      <c r="AF95" s="100">
        <f>'Core Loads'!$AE$14</f>
        <v>2053</v>
      </c>
      <c r="AG95" s="100">
        <f>'Core Loads'!$AF$14</f>
        <v>2054</v>
      </c>
      <c r="AH95" s="8"/>
      <c r="AM95" s="1"/>
      <c r="AN95" s="1"/>
      <c r="AO95" s="1"/>
      <c r="AP95" s="1"/>
      <c r="AQ95" s="1"/>
      <c r="AR95" s="1"/>
      <c r="AS95" s="1"/>
      <c r="AT95" s="1"/>
      <c r="AU95" s="1"/>
      <c r="AV95" s="1"/>
      <c r="AW95" s="1"/>
      <c r="AX95" s="1"/>
    </row>
    <row r="96" spans="2:103" s="1" customFormat="1" hidden="1" outlineLevel="1" x14ac:dyDescent="0.25">
      <c r="B96" t="s">
        <v>141</v>
      </c>
      <c r="C96" t="s">
        <v>109</v>
      </c>
      <c r="D96" s="98">
        <f>'Core Commodities Use'!D204+'Core Commodities Use'!D211</f>
        <v>1011886.434656</v>
      </c>
      <c r="E96" s="98">
        <f>'Core Commodities Use'!E204+'Core Commodities Use'!E211</f>
        <v>3877644.969252741</v>
      </c>
      <c r="F96" s="98">
        <f>'Core Commodities Use'!F204+'Core Commodities Use'!F211</f>
        <v>79202580.460640982</v>
      </c>
      <c r="G96" s="98">
        <f>'Core Commodities Use'!G204+'Core Commodities Use'!G211</f>
        <v>155992314.02002826</v>
      </c>
      <c r="H96" s="98">
        <f>'Core Commodities Use'!H204+'Core Commodities Use'!H211</f>
        <v>155992314.02002826</v>
      </c>
      <c r="I96" s="98">
        <f>'Core Commodities Use'!I204+'Core Commodities Use'!I211</f>
        <v>157184785.36225882</v>
      </c>
      <c r="J96" s="98">
        <f>'Core Commodities Use'!J204+'Core Commodities Use'!J211</f>
        <v>157184785.36225882</v>
      </c>
      <c r="K96" s="98">
        <f>'Core Commodities Use'!K204+'Core Commodities Use'!K211</f>
        <v>147426684.6333445</v>
      </c>
      <c r="L96" s="98">
        <f>'Core Commodities Use'!L204+'Core Commodities Use'!L211</f>
        <v>147426684.6333445</v>
      </c>
      <c r="M96" s="98">
        <f>'Core Commodities Use'!M204+'Core Commodities Use'!M211</f>
        <v>147081317.94345322</v>
      </c>
      <c r="N96" s="98">
        <f>'Core Commodities Use'!N204+'Core Commodities Use'!N211</f>
        <v>147081317.94345322</v>
      </c>
      <c r="O96" s="98">
        <f>'Core Commodities Use'!O204+'Core Commodities Use'!O211</f>
        <v>146298589.33860078</v>
      </c>
      <c r="P96" s="98">
        <f>'Core Commodities Use'!P204+'Core Commodities Use'!P211</f>
        <v>146298589.33860078</v>
      </c>
      <c r="Q96" s="98">
        <f>'Core Commodities Use'!Q204+'Core Commodities Use'!Q211</f>
        <v>146271369.27510077</v>
      </c>
      <c r="R96" s="98">
        <f>'Core Commodities Use'!R204+'Core Commodities Use'!R211</f>
        <v>146271369.27510077</v>
      </c>
      <c r="S96" s="98">
        <f>'Core Commodities Use'!S204+'Core Commodities Use'!S211</f>
        <v>181155964.49022081</v>
      </c>
      <c r="T96" s="98">
        <f>'Core Commodities Use'!T204+'Core Commodities Use'!T211</f>
        <v>181155964.49022081</v>
      </c>
      <c r="U96" s="98">
        <f>'Core Commodities Use'!U204+'Core Commodities Use'!U211</f>
        <v>181155964.49022081</v>
      </c>
      <c r="V96" s="98">
        <f>'Core Commodities Use'!V204+'Core Commodities Use'!V211</f>
        <v>181155964.49022081</v>
      </c>
      <c r="W96" s="98">
        <f>'Core Commodities Use'!W204+'Core Commodities Use'!W211</f>
        <v>180685017.73386261</v>
      </c>
      <c r="X96" s="98">
        <f>'Core Commodities Use'!X204+'Core Commodities Use'!X211</f>
        <v>180685017.73386261</v>
      </c>
      <c r="Y96" s="98">
        <f>'Core Commodities Use'!Y204+'Core Commodities Use'!Y211</f>
        <v>180685017.73386261</v>
      </c>
      <c r="Z96" s="98">
        <f>'Core Commodities Use'!Z204+'Core Commodities Use'!Z211</f>
        <v>180685017.73386261</v>
      </c>
      <c r="AA96" s="98">
        <f>'Core Commodities Use'!AA204+'Core Commodities Use'!AA211</f>
        <v>180685017.73386261</v>
      </c>
      <c r="AB96" s="98">
        <f>'Core Commodities Use'!AB204+'Core Commodities Use'!AB211</f>
        <v>180685017.73386261</v>
      </c>
      <c r="AC96" s="98">
        <f>'Core Commodities Use'!AC204+'Core Commodities Use'!AC211</f>
        <v>180116495.53108713</v>
      </c>
      <c r="AD96" s="98">
        <f>'Core Commodities Use'!AD204+'Core Commodities Use'!AD211</f>
        <v>180116495.53108713</v>
      </c>
      <c r="AE96" s="98">
        <f>'Core Commodities Use'!AE204+'Core Commodities Use'!AE211</f>
        <v>180116495.53108713</v>
      </c>
      <c r="AF96" s="98">
        <f>'Core Commodities Use'!AF204+'Core Commodities Use'!AF211</f>
        <v>180116495.53108713</v>
      </c>
      <c r="AG96" s="98">
        <f>'Core Commodities Use'!AG204+'Core Commodities Use'!AG211</f>
        <v>180116495.53108713</v>
      </c>
      <c r="AH96" s="53">
        <f>SUM(D96:AG96)</f>
        <v>4593918675.0296154</v>
      </c>
      <c r="AI96"/>
      <c r="AJ96" s="23" t="s">
        <v>311</v>
      </c>
      <c r="AM96"/>
      <c r="AN96"/>
      <c r="AO96"/>
      <c r="AP96"/>
      <c r="AQ96"/>
      <c r="AR96"/>
      <c r="AS96"/>
      <c r="AT96"/>
      <c r="AU96"/>
      <c r="AV96"/>
      <c r="AW96"/>
      <c r="AX96"/>
      <c r="AZ96"/>
      <c r="BA96"/>
      <c r="BB96"/>
      <c r="BC96"/>
      <c r="BD96"/>
      <c r="BE96"/>
      <c r="BF96"/>
      <c r="BG96"/>
      <c r="BH96"/>
      <c r="BI96"/>
      <c r="BJ96"/>
      <c r="BK96"/>
      <c r="BL96"/>
      <c r="BM96"/>
      <c r="BN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row>
    <row r="97" spans="2:103" s="1" customFormat="1" hidden="1" outlineLevel="1" x14ac:dyDescent="0.25">
      <c r="B97" t="s">
        <v>136</v>
      </c>
      <c r="C97" t="s">
        <v>169</v>
      </c>
      <c r="D97" s="98">
        <f>'Core Commodities Use'!D205+'Core Commodities Use'!D212</f>
        <v>31258877.283118241</v>
      </c>
      <c r="E97" s="98">
        <f>'Core Commodities Use'!E205+'Core Commodities Use'!E212</f>
        <v>31258877.283118241</v>
      </c>
      <c r="F97" s="98">
        <f>'Core Commodities Use'!F205+'Core Commodities Use'!F212</f>
        <v>25498951.01223132</v>
      </c>
      <c r="G97" s="98">
        <f>'Core Commodities Use'!G205+'Core Commodities Use'!G212</f>
        <v>7433987.2109694406</v>
      </c>
      <c r="H97" s="98">
        <f>'Core Commodities Use'!H205+'Core Commodities Use'!H212</f>
        <v>7433987.2109694406</v>
      </c>
      <c r="I97" s="98">
        <f>'Core Commodities Use'!I205+'Core Commodities Use'!I212</f>
        <v>7304772.229856465</v>
      </c>
      <c r="J97" s="98">
        <f>'Core Commodities Use'!J205+'Core Commodities Use'!J212</f>
        <v>7304772.229856465</v>
      </c>
      <c r="K97" s="98">
        <f>'Core Commodities Use'!K205+'Core Commodities Use'!K212</f>
        <v>7032160.5533929924</v>
      </c>
      <c r="L97" s="98">
        <f>'Core Commodities Use'!L205+'Core Commodities Use'!L212</f>
        <v>7032160.5533929924</v>
      </c>
      <c r="M97" s="98">
        <f>'Core Commodities Use'!M205+'Core Commodities Use'!M212</f>
        <v>6942582.7135786889</v>
      </c>
      <c r="N97" s="98">
        <f>'Core Commodities Use'!N205+'Core Commodities Use'!N212</f>
        <v>6942582.7135786889</v>
      </c>
      <c r="O97" s="98">
        <f>'Core Commodities Use'!O205+'Core Commodities Use'!O212</f>
        <v>6791488.942600172</v>
      </c>
      <c r="P97" s="98">
        <f>'Core Commodities Use'!P205+'Core Commodities Use'!P212</f>
        <v>6791488.942600172</v>
      </c>
      <c r="Q97" s="98">
        <f>'Core Commodities Use'!Q205+'Core Commodities Use'!Q212</f>
        <v>6752672.3299312955</v>
      </c>
      <c r="R97" s="98">
        <f>'Core Commodities Use'!R205+'Core Commodities Use'!R212</f>
        <v>6752672.3299312955</v>
      </c>
      <c r="S97" s="98">
        <f>'Core Commodities Use'!S205+'Core Commodities Use'!S212</f>
        <v>7178624.4580384232</v>
      </c>
      <c r="T97" s="98">
        <f>'Core Commodities Use'!T205+'Core Commodities Use'!T212</f>
        <v>7178624.4580384232</v>
      </c>
      <c r="U97" s="98">
        <f>'Core Commodities Use'!U205+'Core Commodities Use'!U212</f>
        <v>7160234.6155085424</v>
      </c>
      <c r="V97" s="98">
        <f>'Core Commodities Use'!V205+'Core Commodities Use'!V212</f>
        <v>7160234.6155085424</v>
      </c>
      <c r="W97" s="98">
        <f>'Core Commodities Use'!W205+'Core Commodities Use'!W212</f>
        <v>7142432.8554423703</v>
      </c>
      <c r="X97" s="98">
        <f>'Core Commodities Use'!X205+'Core Commodities Use'!X212</f>
        <v>7142432.8554423703</v>
      </c>
      <c r="Y97" s="98">
        <f>'Core Commodities Use'!Y205+'Core Commodities Use'!Y212</f>
        <v>7142432.8554423703</v>
      </c>
      <c r="Z97" s="98">
        <f>'Core Commodities Use'!Z205+'Core Commodities Use'!Z212</f>
        <v>7142432.8554423703</v>
      </c>
      <c r="AA97" s="98">
        <f>'Core Commodities Use'!AA205+'Core Commodities Use'!AA212</f>
        <v>7142432.8554423703</v>
      </c>
      <c r="AB97" s="98">
        <f>'Core Commodities Use'!AB205+'Core Commodities Use'!AB212</f>
        <v>7142432.8554423703</v>
      </c>
      <c r="AC97" s="98">
        <f>'Core Commodities Use'!AC205+'Core Commodities Use'!AC212</f>
        <v>7124587.9075489389</v>
      </c>
      <c r="AD97" s="98">
        <f>'Core Commodities Use'!AD205+'Core Commodities Use'!AD212</f>
        <v>7124587.9075489389</v>
      </c>
      <c r="AE97" s="98">
        <f>'Core Commodities Use'!AE205+'Core Commodities Use'!AE212</f>
        <v>7124587.9075489389</v>
      </c>
      <c r="AF97" s="98">
        <f>'Core Commodities Use'!AF205+'Core Commodities Use'!AF212</f>
        <v>7124587.9075489389</v>
      </c>
      <c r="AG97" s="98">
        <f>'Core Commodities Use'!AG205+'Core Commodities Use'!AG212</f>
        <v>7124587.9075489389</v>
      </c>
      <c r="AH97" s="53">
        <f t="shared" ref="AH97:AH99" si="11">SUM(D97:AG97)</f>
        <v>279687288.35661882</v>
      </c>
      <c r="AI97"/>
      <c r="AJ97" s="23" t="s">
        <v>311</v>
      </c>
      <c r="AZ97"/>
      <c r="BA97"/>
      <c r="BB97"/>
      <c r="BC97"/>
      <c r="BD97"/>
      <c r="BE97"/>
      <c r="BF97"/>
      <c r="BG97"/>
      <c r="BH97"/>
      <c r="BI97"/>
      <c r="BJ97"/>
      <c r="BK97"/>
      <c r="BL97"/>
      <c r="BM97"/>
      <c r="BN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row>
    <row r="98" spans="2:103" s="1" customFormat="1" hidden="1" outlineLevel="1" x14ac:dyDescent="0.25">
      <c r="B98" t="s">
        <v>154</v>
      </c>
      <c r="C98" t="s">
        <v>170</v>
      </c>
      <c r="D98" s="98">
        <f>'Core Commodities Use'!D206+'Core Commodities Use'!D213</f>
        <v>278436.87957137165</v>
      </c>
      <c r="E98" s="98">
        <f>'Core Commodities Use'!E206+'Core Commodities Use'!E213</f>
        <v>297204.70349500491</v>
      </c>
      <c r="F98" s="98">
        <f>'Core Commodities Use'!F206+'Core Commodities Use'!F213</f>
        <v>234601.0887444198</v>
      </c>
      <c r="G98" s="98">
        <f>'Core Commodities Use'!G206+'Core Commodities Use'!G213</f>
        <v>134952.52243551117</v>
      </c>
      <c r="H98" s="98">
        <f>'Core Commodities Use'!H206+'Core Commodities Use'!H213</f>
        <v>134952.52243551117</v>
      </c>
      <c r="I98" s="98">
        <f>'Core Commodities Use'!I206+'Core Commodities Use'!I213</f>
        <v>148916.80927474546</v>
      </c>
      <c r="J98" s="98">
        <f>'Core Commodities Use'!J206+'Core Commodities Use'!J213</f>
        <v>148916.80927474546</v>
      </c>
      <c r="K98" s="98">
        <f>'Core Commodities Use'!K206+'Core Commodities Use'!K213</f>
        <v>144579.49070036993</v>
      </c>
      <c r="L98" s="98">
        <f>'Core Commodities Use'!L206+'Core Commodities Use'!L213</f>
        <v>144579.49070036993</v>
      </c>
      <c r="M98" s="98">
        <f>'Core Commodities Use'!M206+'Core Commodities Use'!M213</f>
        <v>146193.88917096626</v>
      </c>
      <c r="N98" s="98">
        <f>'Core Commodities Use'!N206+'Core Commodities Use'!N213</f>
        <v>146193.88917096626</v>
      </c>
      <c r="O98" s="98">
        <f>'Core Commodities Use'!O206+'Core Commodities Use'!O213</f>
        <v>144821.92137333384</v>
      </c>
      <c r="P98" s="98">
        <f>'Core Commodities Use'!P206+'Core Commodities Use'!P213</f>
        <v>144821.92137333384</v>
      </c>
      <c r="Q98" s="98">
        <f>'Core Commodities Use'!Q206+'Core Commodities Use'!Q213</f>
        <v>144483.60155555297</v>
      </c>
      <c r="R98" s="98">
        <f>'Core Commodities Use'!R206+'Core Commodities Use'!R213</f>
        <v>144483.60155555297</v>
      </c>
      <c r="S98" s="98">
        <f>'Core Commodities Use'!S206+'Core Commodities Use'!S213</f>
        <v>165316.17341266479</v>
      </c>
      <c r="T98" s="98">
        <f>'Core Commodities Use'!T206+'Core Commodities Use'!T213</f>
        <v>165316.17341266479</v>
      </c>
      <c r="U98" s="98">
        <f>'Core Commodities Use'!U206+'Core Commodities Use'!U213</f>
        <v>165249.68529523592</v>
      </c>
      <c r="V98" s="98">
        <f>'Core Commodities Use'!V206+'Core Commodities Use'!V213</f>
        <v>165249.68529523592</v>
      </c>
      <c r="W98" s="98">
        <f>'Core Commodities Use'!W206+'Core Commodities Use'!W213</f>
        <v>164877.54257590559</v>
      </c>
      <c r="X98" s="98">
        <f>'Core Commodities Use'!X206+'Core Commodities Use'!X213</f>
        <v>164877.54257590559</v>
      </c>
      <c r="Y98" s="98">
        <f>'Core Commodities Use'!Y206+'Core Commodities Use'!Y213</f>
        <v>164877.54257590559</v>
      </c>
      <c r="Z98" s="98">
        <f>'Core Commodities Use'!Z206+'Core Commodities Use'!Z213</f>
        <v>164877.54257590559</v>
      </c>
      <c r="AA98" s="98">
        <f>'Core Commodities Use'!AA206+'Core Commodities Use'!AA213</f>
        <v>164877.54257590559</v>
      </c>
      <c r="AB98" s="98">
        <f>'Core Commodities Use'!AB206+'Core Commodities Use'!AB213</f>
        <v>164877.54257590559</v>
      </c>
      <c r="AC98" s="98">
        <f>'Core Commodities Use'!AC206+'Core Commodities Use'!AC213</f>
        <v>164385.26105735954</v>
      </c>
      <c r="AD98" s="98">
        <f>'Core Commodities Use'!AD206+'Core Commodities Use'!AD213</f>
        <v>164385.26105735954</v>
      </c>
      <c r="AE98" s="98">
        <f>'Core Commodities Use'!AE206+'Core Commodities Use'!AE213</f>
        <v>164385.26105735954</v>
      </c>
      <c r="AF98" s="98">
        <f>'Core Commodities Use'!AF206+'Core Commodities Use'!AF213</f>
        <v>164385.26105735954</v>
      </c>
      <c r="AG98" s="98">
        <f>'Core Commodities Use'!AG206+'Core Commodities Use'!AG213</f>
        <v>164385.26105735954</v>
      </c>
      <c r="AH98" s="53">
        <f t="shared" si="11"/>
        <v>5010462.4189897859</v>
      </c>
      <c r="AI98"/>
      <c r="AJ98" s="23" t="s">
        <v>311</v>
      </c>
      <c r="AZ98"/>
      <c r="BA98"/>
      <c r="BB98"/>
      <c r="BC98"/>
      <c r="BD98"/>
      <c r="BE98"/>
      <c r="BF98"/>
      <c r="BG98"/>
      <c r="BH98"/>
      <c r="BI98"/>
      <c r="BJ98"/>
      <c r="BK98"/>
      <c r="BL98"/>
      <c r="BM98"/>
      <c r="BN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row>
    <row r="99" spans="2:103" s="1" customFormat="1" hidden="1" outlineLevel="1" x14ac:dyDescent="0.25">
      <c r="B99" t="s">
        <v>312</v>
      </c>
      <c r="C99" t="s">
        <v>313</v>
      </c>
      <c r="D99" s="98">
        <f>D96*'Global Inputs'!C$83+Outputs!D97*CO2_emissions_gas_tons_per_therm</f>
        <v>210153.43197440394</v>
      </c>
      <c r="E99" s="98">
        <f>E96*'Global Inputs'!D$83+Outputs!E97*CO2_emissions_gas_tons_per_therm</f>
        <v>210153.43197440394</v>
      </c>
      <c r="F99" s="98">
        <f>F96*'Global Inputs'!E$83+Outputs!F97*CO2_emissions_gas_tons_per_therm</f>
        <v>171429.44765523117</v>
      </c>
      <c r="G99" s="98">
        <f>G96*'Global Inputs'!F$83+Outputs!G97*CO2_emissions_gas_tons_per_therm</f>
        <v>49978.696019347546</v>
      </c>
      <c r="H99" s="98">
        <f>H96*'Global Inputs'!G$83+Outputs!H97*CO2_emissions_gas_tons_per_therm</f>
        <v>49978.696019347546</v>
      </c>
      <c r="I99" s="98">
        <f>I96*'Global Inputs'!H$83+Outputs!I97*CO2_emissions_gas_tons_per_therm</f>
        <v>49109.983701325014</v>
      </c>
      <c r="J99" s="98">
        <f>J96*'Global Inputs'!I$83+Outputs!J97*CO2_emissions_gas_tons_per_therm</f>
        <v>49109.983701325014</v>
      </c>
      <c r="K99" s="98">
        <f>K96*'Global Inputs'!J$83+Outputs!K97*CO2_emissions_gas_tons_per_therm</f>
        <v>47277.215400461086</v>
      </c>
      <c r="L99" s="98">
        <f>L96*'Global Inputs'!K$83+Outputs!L97*CO2_emissions_gas_tons_per_therm</f>
        <v>47277.215400461086</v>
      </c>
      <c r="M99" s="98">
        <f>M96*'Global Inputs'!L$83+Outputs!M97*CO2_emissions_gas_tons_per_therm</f>
        <v>46674.983583389527</v>
      </c>
      <c r="N99" s="98">
        <f>N96*'Global Inputs'!M$83+Outputs!N97*CO2_emissions_gas_tons_per_therm</f>
        <v>46674.983583389527</v>
      </c>
      <c r="O99" s="98">
        <f>O96*'Global Inputs'!N$83+Outputs!O97*CO2_emissions_gas_tons_per_therm</f>
        <v>45659.180161100958</v>
      </c>
      <c r="P99" s="98">
        <f>P96*'Global Inputs'!O$83+Outputs!P97*CO2_emissions_gas_tons_per_therm</f>
        <v>45659.180161100958</v>
      </c>
      <c r="Q99" s="98">
        <f>Q96*'Global Inputs'!P$83+Outputs!Q97*CO2_emissions_gas_tons_per_therm</f>
        <v>45398.216074128097</v>
      </c>
      <c r="R99" s="98">
        <f>R96*'Global Inputs'!Q$83+Outputs!R97*CO2_emissions_gas_tons_per_therm</f>
        <v>45398.216074128097</v>
      </c>
      <c r="S99" s="98">
        <f>S96*'Global Inputs'!R$83+Outputs!S97*CO2_emissions_gas_tons_per_therm</f>
        <v>48261.892231392318</v>
      </c>
      <c r="T99" s="98">
        <f>T96*'Global Inputs'!S$83+Outputs!T97*CO2_emissions_gas_tons_per_therm</f>
        <v>48261.892231392318</v>
      </c>
      <c r="U99" s="98">
        <f>U96*'Global Inputs'!T$83+Outputs!U97*CO2_emissions_gas_tons_per_therm</f>
        <v>48138.257320063931</v>
      </c>
      <c r="V99" s="98">
        <f>V96*'Global Inputs'!U$83+Outputs!V97*CO2_emissions_gas_tons_per_therm</f>
        <v>48138.257320063931</v>
      </c>
      <c r="W99" s="98">
        <f>W96*'Global Inputs'!V$83+Outputs!W97*CO2_emissions_gas_tons_per_therm</f>
        <v>48018.576087139052</v>
      </c>
      <c r="X99" s="98">
        <f>X96*'Global Inputs'!W$83+Outputs!X97*CO2_emissions_gas_tons_per_therm</f>
        <v>48018.576087139052</v>
      </c>
      <c r="Y99" s="98">
        <f>Y96*'Global Inputs'!X$83+Outputs!Y97*CO2_emissions_gas_tons_per_therm</f>
        <v>48018.576087139052</v>
      </c>
      <c r="Z99" s="98">
        <f>Z96*'Global Inputs'!Y$83+Outputs!Z97*CO2_emissions_gas_tons_per_therm</f>
        <v>48018.576087139052</v>
      </c>
      <c r="AA99" s="98">
        <f>AA96*'Global Inputs'!Z$83+Outputs!AA97*CO2_emissions_gas_tons_per_therm</f>
        <v>48018.576087139052</v>
      </c>
      <c r="AB99" s="98">
        <f>AB96*'Global Inputs'!AA$83+Outputs!AB97*CO2_emissions_gas_tons_per_therm</f>
        <v>48018.576087139052</v>
      </c>
      <c r="AC99" s="98">
        <f>AC96*'Global Inputs'!AB$83+Outputs!AC97*CO2_emissions_gas_tons_per_therm</f>
        <v>47898.604502451512</v>
      </c>
      <c r="AD99" s="98">
        <f>AD96*'Global Inputs'!AC$83+Outputs!AD97*CO2_emissions_gas_tons_per_therm</f>
        <v>47898.604502451512</v>
      </c>
      <c r="AE99" s="98">
        <f>AE96*'Global Inputs'!AD$83+Outputs!AE97*CO2_emissions_gas_tons_per_therm</f>
        <v>47898.604502451512</v>
      </c>
      <c r="AF99" s="98">
        <f>AF96*'Global Inputs'!AE$83+Outputs!AF97*CO2_emissions_gas_tons_per_therm</f>
        <v>47898.604502451512</v>
      </c>
      <c r="AG99" s="98">
        <f>AG96*'Global Inputs'!AF$83+Outputs!AG97*CO2_emissions_gas_tons_per_therm</f>
        <v>47898.604502451512</v>
      </c>
      <c r="AH99" s="53">
        <f t="shared" si="11"/>
        <v>1880337.6396215484</v>
      </c>
      <c r="AI99"/>
      <c r="AJ99" s="23"/>
      <c r="AZ99"/>
      <c r="BA99"/>
      <c r="BB99"/>
      <c r="BC99"/>
      <c r="BD99"/>
      <c r="BE99"/>
      <c r="BF99"/>
      <c r="BG99"/>
      <c r="BH99"/>
      <c r="BI99"/>
      <c r="BJ99"/>
      <c r="BK99"/>
      <c r="BL99"/>
      <c r="BM99"/>
      <c r="BN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row>
    <row r="100" spans="2:103" hidden="1" outlineLevel="1" x14ac:dyDescent="0.25">
      <c r="B100" t="s">
        <v>314</v>
      </c>
      <c r="C100" t="s">
        <v>315</v>
      </c>
      <c r="AG100" s="51">
        <f>AG96*Btuh_per_W/'Global Inputs'!$D$17+AG97*'Global Inputs'!$D$16/'Global Inputs'!$D$17/'Global Inputs'!$D$17</f>
        <v>1327016.2735069632</v>
      </c>
      <c r="AH100" s="53">
        <f>AH96*Btuh_per_W/'Global Inputs'!$D$17+AH97*'Global Inputs'!$D$16/'Global Inputs'!$D$17/'Global Inputs'!$D$17</f>
        <v>43643179.354862928</v>
      </c>
      <c r="AM100" s="1"/>
      <c r="AN100" s="1"/>
      <c r="AO100" s="1"/>
      <c r="AP100" s="1"/>
      <c r="AQ100" s="1"/>
      <c r="AR100" s="1"/>
      <c r="AS100" s="1"/>
      <c r="AT100" s="1"/>
      <c r="AU100" s="1"/>
      <c r="AV100" s="1"/>
      <c r="AW100" s="1"/>
      <c r="AX100" s="1"/>
    </row>
    <row r="101" spans="2:103" hidden="1" outlineLevel="1" x14ac:dyDescent="0.25">
      <c r="AH101" s="54"/>
    </row>
    <row r="102" spans="2:103" s="1" customFormat="1" ht="17.25" hidden="1" outlineLevel="1" thickBot="1" x14ac:dyDescent="0.3">
      <c r="B102" s="19" t="s">
        <v>301</v>
      </c>
      <c r="C102" s="19"/>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55"/>
      <c r="AI102" s="19"/>
      <c r="AJ102" s="19"/>
      <c r="AM102"/>
      <c r="AN102"/>
      <c r="AO102"/>
      <c r="AP102"/>
      <c r="AQ102"/>
      <c r="AR102"/>
      <c r="AS102"/>
      <c r="AT102"/>
      <c r="AU102"/>
      <c r="AV102"/>
      <c r="AW102"/>
      <c r="AX102"/>
      <c r="AZ102"/>
      <c r="BA102"/>
      <c r="BB102"/>
      <c r="BC102"/>
      <c r="BD102"/>
      <c r="BE102"/>
      <c r="BF102"/>
      <c r="BG102"/>
      <c r="BH102"/>
      <c r="BI102"/>
      <c r="BJ102"/>
      <c r="BK102"/>
      <c r="BL102"/>
      <c r="BM102"/>
      <c r="BN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row>
    <row r="103" spans="2:103" s="1" customFormat="1" ht="16.5" hidden="1" outlineLevel="1" thickTop="1" thickBot="1" x14ac:dyDescent="0.3">
      <c r="B103" s="20" t="s">
        <v>310</v>
      </c>
      <c r="C103" s="20" t="s">
        <v>13</v>
      </c>
      <c r="D103" s="97" t="s">
        <v>17</v>
      </c>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56" t="s">
        <v>224</v>
      </c>
      <c r="AI103" s="20"/>
      <c r="AJ103" s="20" t="s">
        <v>15</v>
      </c>
      <c r="AZ103"/>
      <c r="BA103"/>
      <c r="BB103"/>
      <c r="BC103"/>
      <c r="BD103"/>
      <c r="BE103"/>
      <c r="BF103"/>
      <c r="BG103"/>
      <c r="BH103"/>
      <c r="BI103"/>
      <c r="BJ103"/>
      <c r="BK103"/>
      <c r="BL103"/>
      <c r="BM103"/>
      <c r="BN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row>
    <row r="104" spans="2:103" hidden="1" outlineLevel="1" x14ac:dyDescent="0.25">
      <c r="D104" s="100">
        <f>'Core Loads'!$C$14</f>
        <v>2025</v>
      </c>
      <c r="E104" s="100">
        <f>'Core Loads'!$D$14</f>
        <v>2026</v>
      </c>
      <c r="F104" s="100">
        <f>'Core Loads'!$E$14</f>
        <v>2027</v>
      </c>
      <c r="G104" s="100">
        <f>'Core Loads'!$F$14</f>
        <v>2028</v>
      </c>
      <c r="H104" s="100">
        <f>'Core Loads'!$G$14</f>
        <v>2029</v>
      </c>
      <c r="I104" s="100">
        <f>'Core Loads'!$H$14</f>
        <v>2030</v>
      </c>
      <c r="J104" s="100">
        <f>'Core Loads'!$I$14</f>
        <v>2031</v>
      </c>
      <c r="K104" s="100">
        <f>'Core Loads'!$J$14</f>
        <v>2032</v>
      </c>
      <c r="L104" s="100">
        <f>'Core Loads'!$K$14</f>
        <v>2033</v>
      </c>
      <c r="M104" s="100">
        <f>'Core Loads'!$L$14</f>
        <v>2034</v>
      </c>
      <c r="N104" s="100">
        <f>'Core Loads'!$M$14</f>
        <v>2035</v>
      </c>
      <c r="O104" s="100">
        <f>'Core Loads'!$N$14</f>
        <v>2036</v>
      </c>
      <c r="P104" s="100">
        <f>'Core Loads'!$O$14</f>
        <v>2037</v>
      </c>
      <c r="Q104" s="100">
        <f>'Core Loads'!$P$14</f>
        <v>2038</v>
      </c>
      <c r="R104" s="100">
        <f>'Core Loads'!$Q$14</f>
        <v>2039</v>
      </c>
      <c r="S104" s="100">
        <f>'Core Loads'!$R$14</f>
        <v>2040</v>
      </c>
      <c r="T104" s="100">
        <f>'Core Loads'!$S$14</f>
        <v>2041</v>
      </c>
      <c r="U104" s="100">
        <f>'Core Loads'!$T$14</f>
        <v>2042</v>
      </c>
      <c r="V104" s="100">
        <f>'Core Loads'!$U$14</f>
        <v>2043</v>
      </c>
      <c r="W104" s="100">
        <f>'Core Loads'!$V$14</f>
        <v>2044</v>
      </c>
      <c r="X104" s="100">
        <f>'Core Loads'!$W$14</f>
        <v>2045</v>
      </c>
      <c r="Y104" s="100">
        <f>'Core Loads'!$X$14</f>
        <v>2046</v>
      </c>
      <c r="Z104" s="100">
        <f>'Core Loads'!$Y$14</f>
        <v>2047</v>
      </c>
      <c r="AA104" s="100">
        <f>'Core Loads'!$Z$14</f>
        <v>2048</v>
      </c>
      <c r="AB104" s="100">
        <f>'Core Loads'!$AA$14</f>
        <v>2049</v>
      </c>
      <c r="AC104" s="100">
        <f>'Core Loads'!$AB$14</f>
        <v>2050</v>
      </c>
      <c r="AD104" s="100">
        <f>'Core Loads'!$AC$14</f>
        <v>2051</v>
      </c>
      <c r="AE104" s="100">
        <f>'Core Loads'!$AD$14</f>
        <v>2052</v>
      </c>
      <c r="AF104" s="100">
        <f>'Core Loads'!$AE$14</f>
        <v>2053</v>
      </c>
      <c r="AG104" s="100">
        <f>'Core Loads'!$AF$14</f>
        <v>2054</v>
      </c>
      <c r="AH104" s="8"/>
      <c r="AM104" s="1"/>
      <c r="AN104" s="1"/>
      <c r="AO104" s="1"/>
      <c r="AP104" s="1"/>
      <c r="AQ104" s="1"/>
      <c r="AR104" s="1"/>
      <c r="AS104" s="1"/>
      <c r="AT104" s="1"/>
      <c r="AU104" s="1"/>
      <c r="AV104" s="1"/>
      <c r="AW104" s="1"/>
      <c r="AX104" s="1"/>
    </row>
    <row r="105" spans="2:103" s="1" customFormat="1" hidden="1" outlineLevel="1" x14ac:dyDescent="0.25">
      <c r="B105" t="s">
        <v>141</v>
      </c>
      <c r="C105" t="s">
        <v>109</v>
      </c>
      <c r="D105" s="98">
        <f>'Core Commodities Use'!D220+'Core Commodities Use'!D227</f>
        <v>1011886.434656</v>
      </c>
      <c r="E105" s="98">
        <f>'Core Commodities Use'!E220+'Core Commodities Use'!E227</f>
        <v>3877644.969252741</v>
      </c>
      <c r="F105" s="98">
        <f>'Core Commodities Use'!F220+'Core Commodities Use'!F227</f>
        <v>145235755.52535781</v>
      </c>
      <c r="G105" s="98">
        <f>'Core Commodities Use'!G220+'Core Commodities Use'!G227</f>
        <v>352865229.80409026</v>
      </c>
      <c r="H105" s="98">
        <f>'Core Commodities Use'!H220+'Core Commodities Use'!H227</f>
        <v>352865229.80409026</v>
      </c>
      <c r="I105" s="98">
        <f>'Core Commodities Use'!I220+'Core Commodities Use'!I227</f>
        <v>350530524.14324093</v>
      </c>
      <c r="J105" s="98">
        <f>'Core Commodities Use'!J220+'Core Commodities Use'!J227</f>
        <v>350530524.14324093</v>
      </c>
      <c r="K105" s="98">
        <f>'Core Commodities Use'!K220+'Core Commodities Use'!K227</f>
        <v>333626369.80401313</v>
      </c>
      <c r="L105" s="98">
        <f>'Core Commodities Use'!L220+'Core Commodities Use'!L227</f>
        <v>333626369.80401313</v>
      </c>
      <c r="M105" s="98">
        <f>'Core Commodities Use'!M220+'Core Commodities Use'!M227</f>
        <v>330851127.08902746</v>
      </c>
      <c r="N105" s="98">
        <f>'Core Commodities Use'!N220+'Core Commodities Use'!N227</f>
        <v>330851127.08902746</v>
      </c>
      <c r="O105" s="98">
        <f>'Core Commodities Use'!O220+'Core Commodities Use'!O227</f>
        <v>325993668.99065566</v>
      </c>
      <c r="P105" s="98">
        <f>'Core Commodities Use'!P220+'Core Commodities Use'!P227</f>
        <v>325993668.99065566</v>
      </c>
      <c r="Q105" s="98">
        <f>'Core Commodities Use'!Q220+'Core Commodities Use'!Q227</f>
        <v>324918032.97917044</v>
      </c>
      <c r="R105" s="98">
        <f>'Core Commodities Use'!R220+'Core Commodities Use'!R227</f>
        <v>324918032.97917044</v>
      </c>
      <c r="S105" s="98">
        <f>'Core Commodities Use'!S220+'Core Commodities Use'!S227</f>
        <v>370368508.6458528</v>
      </c>
      <c r="T105" s="98">
        <f>'Core Commodities Use'!T220+'Core Commodities Use'!T227</f>
        <v>370368508.6458528</v>
      </c>
      <c r="U105" s="98">
        <f>'Core Commodities Use'!U220+'Core Commodities Use'!U227</f>
        <v>369870643.11415946</v>
      </c>
      <c r="V105" s="98">
        <f>'Core Commodities Use'!V220+'Core Commodities Use'!V227</f>
        <v>369870643.11415946</v>
      </c>
      <c r="W105" s="98">
        <f>'Core Commodities Use'!W220+'Core Commodities Use'!W227</f>
        <v>368928302.92435688</v>
      </c>
      <c r="X105" s="98">
        <f>'Core Commodities Use'!X220+'Core Commodities Use'!X227</f>
        <v>368928302.92435688</v>
      </c>
      <c r="Y105" s="98">
        <f>'Core Commodities Use'!Y220+'Core Commodities Use'!Y227</f>
        <v>368928302.92435688</v>
      </c>
      <c r="Z105" s="98">
        <f>'Core Commodities Use'!Z220+'Core Commodities Use'!Z227</f>
        <v>368928302.92435688</v>
      </c>
      <c r="AA105" s="98">
        <f>'Core Commodities Use'!AA220+'Core Commodities Use'!AA227</f>
        <v>368928302.92435688</v>
      </c>
      <c r="AB105" s="98">
        <f>'Core Commodities Use'!AB220+'Core Commodities Use'!AB227</f>
        <v>368928302.92435688</v>
      </c>
      <c r="AC105" s="98">
        <f>'Core Commodities Use'!AC220+'Core Commodities Use'!AC227</f>
        <v>367889998.89360023</v>
      </c>
      <c r="AD105" s="98">
        <f>'Core Commodities Use'!AD220+'Core Commodities Use'!AD227</f>
        <v>367889998.89360023</v>
      </c>
      <c r="AE105" s="98">
        <f>'Core Commodities Use'!AE220+'Core Commodities Use'!AE227</f>
        <v>367889998.89360023</v>
      </c>
      <c r="AF105" s="98">
        <f>'Core Commodities Use'!AF220+'Core Commodities Use'!AF227</f>
        <v>367889998.89360023</v>
      </c>
      <c r="AG105" s="98">
        <f>'Core Commodities Use'!AG220+'Core Commodities Use'!AG227</f>
        <v>367889998.89360023</v>
      </c>
      <c r="AH105" s="53">
        <f>SUM(D105:AG105)</f>
        <v>9721193308.083828</v>
      </c>
      <c r="AI105"/>
      <c r="AJ105" s="23" t="s">
        <v>311</v>
      </c>
      <c r="AM105"/>
      <c r="AN105"/>
      <c r="AO105"/>
      <c r="AP105"/>
      <c r="AQ105"/>
      <c r="AR105"/>
      <c r="AS105"/>
      <c r="AT105"/>
      <c r="AU105"/>
      <c r="AV105"/>
      <c r="AW105"/>
      <c r="AX105"/>
      <c r="AZ105"/>
      <c r="BA105"/>
      <c r="BB105"/>
      <c r="BC105"/>
      <c r="BD105"/>
      <c r="BE105"/>
      <c r="BF105"/>
      <c r="BG105"/>
      <c r="BH105"/>
      <c r="BI105"/>
      <c r="BJ105"/>
      <c r="BK105"/>
      <c r="BL105"/>
      <c r="BM105"/>
      <c r="BN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row>
    <row r="106" spans="2:103" s="1" customFormat="1" hidden="1" outlineLevel="1" x14ac:dyDescent="0.25">
      <c r="B106" t="s">
        <v>136</v>
      </c>
      <c r="C106" t="s">
        <v>169</v>
      </c>
      <c r="D106" s="98">
        <f>'Core Commodities Use'!D221+'Core Commodities Use'!D228</f>
        <v>31258877.283118241</v>
      </c>
      <c r="E106" s="98">
        <f>'Core Commodities Use'!E221+'Core Commodities Use'!E228</f>
        <v>31258877.283118241</v>
      </c>
      <c r="F106" s="98">
        <f>'Core Commodities Use'!F221+'Core Commodities Use'!F228</f>
        <v>22981692.329201803</v>
      </c>
      <c r="G106" s="98">
        <f>'Core Commodities Use'!G221+'Core Commodities Use'!G228</f>
        <v>0</v>
      </c>
      <c r="H106" s="98">
        <f>'Core Commodities Use'!H221+'Core Commodities Use'!H228</f>
        <v>0</v>
      </c>
      <c r="I106" s="98">
        <f>'Core Commodities Use'!I221+'Core Commodities Use'!I228</f>
        <v>0</v>
      </c>
      <c r="J106" s="98">
        <f>'Core Commodities Use'!J221+'Core Commodities Use'!J228</f>
        <v>0</v>
      </c>
      <c r="K106" s="98">
        <f>'Core Commodities Use'!K221+'Core Commodities Use'!K228</f>
        <v>0</v>
      </c>
      <c r="L106" s="98">
        <f>'Core Commodities Use'!L221+'Core Commodities Use'!L228</f>
        <v>0</v>
      </c>
      <c r="M106" s="98">
        <f>'Core Commodities Use'!M221+'Core Commodities Use'!M228</f>
        <v>0</v>
      </c>
      <c r="N106" s="98">
        <f>'Core Commodities Use'!N221+'Core Commodities Use'!N228</f>
        <v>0</v>
      </c>
      <c r="O106" s="98">
        <f>'Core Commodities Use'!O221+'Core Commodities Use'!O228</f>
        <v>0</v>
      </c>
      <c r="P106" s="98">
        <f>'Core Commodities Use'!P221+'Core Commodities Use'!P228</f>
        <v>0</v>
      </c>
      <c r="Q106" s="98">
        <f>'Core Commodities Use'!Q221+'Core Commodities Use'!Q228</f>
        <v>0</v>
      </c>
      <c r="R106" s="98">
        <f>'Core Commodities Use'!R221+'Core Commodities Use'!R228</f>
        <v>0</v>
      </c>
      <c r="S106" s="98">
        <f>'Core Commodities Use'!S221+'Core Commodities Use'!S228</f>
        <v>0</v>
      </c>
      <c r="T106" s="98">
        <f>'Core Commodities Use'!T221+'Core Commodities Use'!T228</f>
        <v>0</v>
      </c>
      <c r="U106" s="98">
        <f>'Core Commodities Use'!U221+'Core Commodities Use'!U228</f>
        <v>0</v>
      </c>
      <c r="V106" s="98">
        <f>'Core Commodities Use'!V221+'Core Commodities Use'!V228</f>
        <v>0</v>
      </c>
      <c r="W106" s="98">
        <f>'Core Commodities Use'!W221+'Core Commodities Use'!W228</f>
        <v>0</v>
      </c>
      <c r="X106" s="98">
        <f>'Core Commodities Use'!X221+'Core Commodities Use'!X228</f>
        <v>0</v>
      </c>
      <c r="Y106" s="98">
        <f>'Core Commodities Use'!Y221+'Core Commodities Use'!Y228</f>
        <v>0</v>
      </c>
      <c r="Z106" s="98">
        <f>'Core Commodities Use'!Z221+'Core Commodities Use'!Z228</f>
        <v>0</v>
      </c>
      <c r="AA106" s="98">
        <f>'Core Commodities Use'!AA221+'Core Commodities Use'!AA228</f>
        <v>0</v>
      </c>
      <c r="AB106" s="98">
        <f>'Core Commodities Use'!AB221+'Core Commodities Use'!AB228</f>
        <v>0</v>
      </c>
      <c r="AC106" s="98">
        <f>'Core Commodities Use'!AC221+'Core Commodities Use'!AC228</f>
        <v>0</v>
      </c>
      <c r="AD106" s="98">
        <f>'Core Commodities Use'!AD221+'Core Commodities Use'!AD228</f>
        <v>0</v>
      </c>
      <c r="AE106" s="98">
        <f>'Core Commodities Use'!AE221+'Core Commodities Use'!AE228</f>
        <v>0</v>
      </c>
      <c r="AF106" s="98">
        <f>'Core Commodities Use'!AF221+'Core Commodities Use'!AF228</f>
        <v>0</v>
      </c>
      <c r="AG106" s="98">
        <f>'Core Commodities Use'!AG221+'Core Commodities Use'!AG228</f>
        <v>0</v>
      </c>
      <c r="AH106" s="53">
        <f t="shared" ref="AH106:AH108" si="12">SUM(D106:AG106)</f>
        <v>85499446.895438284</v>
      </c>
      <c r="AI106"/>
      <c r="AJ106" s="23" t="s">
        <v>311</v>
      </c>
      <c r="AZ106"/>
      <c r="BA106"/>
      <c r="BB106"/>
      <c r="BC106"/>
      <c r="BD106"/>
      <c r="BE106"/>
      <c r="BF106"/>
      <c r="BG106"/>
      <c r="BH106"/>
      <c r="BI106"/>
      <c r="BJ106"/>
      <c r="BK106"/>
      <c r="BL106"/>
      <c r="BM106"/>
      <c r="BN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row>
    <row r="107" spans="2:103" s="1" customFormat="1" hidden="1" outlineLevel="1" x14ac:dyDescent="0.25">
      <c r="B107" t="s">
        <v>154</v>
      </c>
      <c r="C107" t="s">
        <v>170</v>
      </c>
      <c r="D107" s="98">
        <f>'Core Commodities Use'!D222+'Core Commodities Use'!D229</f>
        <v>278436.87957137165</v>
      </c>
      <c r="E107" s="98">
        <f>'Core Commodities Use'!E222+'Core Commodities Use'!E229</f>
        <v>297204.70349500491</v>
      </c>
      <c r="F107" s="98">
        <f>'Core Commodities Use'!F222+'Core Commodities Use'!F229</f>
        <v>234601.0887444198</v>
      </c>
      <c r="G107" s="98">
        <f>'Core Commodities Use'!G222+'Core Commodities Use'!G229</f>
        <v>134952.52243551117</v>
      </c>
      <c r="H107" s="98">
        <f>'Core Commodities Use'!H222+'Core Commodities Use'!H229</f>
        <v>134952.52243551117</v>
      </c>
      <c r="I107" s="98">
        <f>'Core Commodities Use'!I222+'Core Commodities Use'!I229</f>
        <v>148916.80927474546</v>
      </c>
      <c r="J107" s="98">
        <f>'Core Commodities Use'!J222+'Core Commodities Use'!J229</f>
        <v>148916.80927474546</v>
      </c>
      <c r="K107" s="98">
        <f>'Core Commodities Use'!K222+'Core Commodities Use'!K229</f>
        <v>144579.49070036993</v>
      </c>
      <c r="L107" s="98">
        <f>'Core Commodities Use'!L222+'Core Commodities Use'!L229</f>
        <v>144579.49070036993</v>
      </c>
      <c r="M107" s="98">
        <f>'Core Commodities Use'!M222+'Core Commodities Use'!M229</f>
        <v>146193.88917096626</v>
      </c>
      <c r="N107" s="98">
        <f>'Core Commodities Use'!N222+'Core Commodities Use'!N229</f>
        <v>146193.88917096626</v>
      </c>
      <c r="O107" s="98">
        <f>'Core Commodities Use'!O222+'Core Commodities Use'!O229</f>
        <v>144821.92137333384</v>
      </c>
      <c r="P107" s="98">
        <f>'Core Commodities Use'!P222+'Core Commodities Use'!P229</f>
        <v>144821.92137333384</v>
      </c>
      <c r="Q107" s="98">
        <f>'Core Commodities Use'!Q222+'Core Commodities Use'!Q229</f>
        <v>144483.60155555297</v>
      </c>
      <c r="R107" s="98">
        <f>'Core Commodities Use'!R222+'Core Commodities Use'!R229</f>
        <v>144483.60155555297</v>
      </c>
      <c r="S107" s="98">
        <f>'Core Commodities Use'!S222+'Core Commodities Use'!S229</f>
        <v>165316.17341266479</v>
      </c>
      <c r="T107" s="98">
        <f>'Core Commodities Use'!T222+'Core Commodities Use'!T229</f>
        <v>165316.17341266479</v>
      </c>
      <c r="U107" s="98">
        <f>'Core Commodities Use'!U222+'Core Commodities Use'!U229</f>
        <v>165249.68529523592</v>
      </c>
      <c r="V107" s="98">
        <f>'Core Commodities Use'!V222+'Core Commodities Use'!V229</f>
        <v>165249.68529523592</v>
      </c>
      <c r="W107" s="98">
        <f>'Core Commodities Use'!W222+'Core Commodities Use'!W229</f>
        <v>164877.54257590559</v>
      </c>
      <c r="X107" s="98">
        <f>'Core Commodities Use'!X222+'Core Commodities Use'!X229</f>
        <v>164877.54257590559</v>
      </c>
      <c r="Y107" s="98">
        <f>'Core Commodities Use'!Y222+'Core Commodities Use'!Y229</f>
        <v>164877.54257590559</v>
      </c>
      <c r="Z107" s="98">
        <f>'Core Commodities Use'!Z222+'Core Commodities Use'!Z229</f>
        <v>164877.54257590559</v>
      </c>
      <c r="AA107" s="98">
        <f>'Core Commodities Use'!AA222+'Core Commodities Use'!AA229</f>
        <v>164877.54257590559</v>
      </c>
      <c r="AB107" s="98">
        <f>'Core Commodities Use'!AB222+'Core Commodities Use'!AB229</f>
        <v>164877.54257590559</v>
      </c>
      <c r="AC107" s="98">
        <f>'Core Commodities Use'!AC222+'Core Commodities Use'!AC229</f>
        <v>164385.26105735954</v>
      </c>
      <c r="AD107" s="98">
        <f>'Core Commodities Use'!AD222+'Core Commodities Use'!AD229</f>
        <v>164385.26105735954</v>
      </c>
      <c r="AE107" s="98">
        <f>'Core Commodities Use'!AE222+'Core Commodities Use'!AE229</f>
        <v>164385.26105735954</v>
      </c>
      <c r="AF107" s="98">
        <f>'Core Commodities Use'!AF222+'Core Commodities Use'!AF229</f>
        <v>164385.26105735954</v>
      </c>
      <c r="AG107" s="98">
        <f>'Core Commodities Use'!AG222+'Core Commodities Use'!AG229</f>
        <v>164385.26105735954</v>
      </c>
      <c r="AH107" s="53">
        <f t="shared" si="12"/>
        <v>5010462.4189897859</v>
      </c>
      <c r="AI107"/>
      <c r="AJ107" s="23" t="s">
        <v>311</v>
      </c>
      <c r="AZ107"/>
      <c r="BA107"/>
      <c r="BB107"/>
      <c r="BC107"/>
      <c r="BD107"/>
      <c r="BE107"/>
      <c r="BF107"/>
      <c r="BG107"/>
      <c r="BH107"/>
      <c r="BI107"/>
      <c r="BJ107"/>
      <c r="BK107"/>
      <c r="BL107"/>
      <c r="BM107"/>
      <c r="BN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row>
    <row r="108" spans="2:103" s="1" customFormat="1" hidden="1" outlineLevel="1" x14ac:dyDescent="0.25">
      <c r="B108" t="s">
        <v>312</v>
      </c>
      <c r="C108" t="s">
        <v>313</v>
      </c>
      <c r="D108" s="98">
        <f>D105*'Global Inputs'!C$83+Outputs!D106*CO2_emissions_gas_tons_per_therm</f>
        <v>210153.43197440394</v>
      </c>
      <c r="E108" s="98">
        <f>E105*'Global Inputs'!D$83+Outputs!E106*CO2_emissions_gas_tons_per_therm</f>
        <v>210153.43197440394</v>
      </c>
      <c r="F108" s="98">
        <f>F105*'Global Inputs'!E$83+Outputs!F106*CO2_emissions_gas_tons_per_therm</f>
        <v>154505.91752922372</v>
      </c>
      <c r="G108" s="98">
        <f>G105*'Global Inputs'!F$83+Outputs!G106*CO2_emissions_gas_tons_per_therm</f>
        <v>0</v>
      </c>
      <c r="H108" s="98">
        <f>H105*'Global Inputs'!G$83+Outputs!H106*CO2_emissions_gas_tons_per_therm</f>
        <v>0</v>
      </c>
      <c r="I108" s="98">
        <f>I105*'Global Inputs'!H$83+Outputs!I106*CO2_emissions_gas_tons_per_therm</f>
        <v>0</v>
      </c>
      <c r="J108" s="98">
        <f>J105*'Global Inputs'!I$83+Outputs!J106*CO2_emissions_gas_tons_per_therm</f>
        <v>0</v>
      </c>
      <c r="K108" s="98">
        <f>K105*'Global Inputs'!J$83+Outputs!K106*CO2_emissions_gas_tons_per_therm</f>
        <v>0</v>
      </c>
      <c r="L108" s="98">
        <f>L105*'Global Inputs'!K$83+Outputs!L106*CO2_emissions_gas_tons_per_therm</f>
        <v>0</v>
      </c>
      <c r="M108" s="98">
        <f>M105*'Global Inputs'!L$83+Outputs!M106*CO2_emissions_gas_tons_per_therm</f>
        <v>0</v>
      </c>
      <c r="N108" s="98">
        <f>N105*'Global Inputs'!M$83+Outputs!N106*CO2_emissions_gas_tons_per_therm</f>
        <v>0</v>
      </c>
      <c r="O108" s="98">
        <f>O105*'Global Inputs'!N$83+Outputs!O106*CO2_emissions_gas_tons_per_therm</f>
        <v>0</v>
      </c>
      <c r="P108" s="98">
        <f>P105*'Global Inputs'!O$83+Outputs!P106*CO2_emissions_gas_tons_per_therm</f>
        <v>0</v>
      </c>
      <c r="Q108" s="98">
        <f>Q105*'Global Inputs'!P$83+Outputs!Q106*CO2_emissions_gas_tons_per_therm</f>
        <v>0</v>
      </c>
      <c r="R108" s="98">
        <f>R105*'Global Inputs'!Q$83+Outputs!R106*CO2_emissions_gas_tons_per_therm</f>
        <v>0</v>
      </c>
      <c r="S108" s="98">
        <f>S105*'Global Inputs'!R$83+Outputs!S106*CO2_emissions_gas_tons_per_therm</f>
        <v>0</v>
      </c>
      <c r="T108" s="98">
        <f>T105*'Global Inputs'!S$83+Outputs!T106*CO2_emissions_gas_tons_per_therm</f>
        <v>0</v>
      </c>
      <c r="U108" s="98">
        <f>U105*'Global Inputs'!T$83+Outputs!U106*CO2_emissions_gas_tons_per_therm</f>
        <v>0</v>
      </c>
      <c r="V108" s="98">
        <f>V105*'Global Inputs'!U$83+Outputs!V106*CO2_emissions_gas_tons_per_therm</f>
        <v>0</v>
      </c>
      <c r="W108" s="98">
        <f>W105*'Global Inputs'!V$83+Outputs!W106*CO2_emissions_gas_tons_per_therm</f>
        <v>0</v>
      </c>
      <c r="X108" s="98">
        <f>X105*'Global Inputs'!W$83+Outputs!X106*CO2_emissions_gas_tons_per_therm</f>
        <v>0</v>
      </c>
      <c r="Y108" s="98">
        <f>Y105*'Global Inputs'!X$83+Outputs!Y106*CO2_emissions_gas_tons_per_therm</f>
        <v>0</v>
      </c>
      <c r="Z108" s="98">
        <f>Z105*'Global Inputs'!Y$83+Outputs!Z106*CO2_emissions_gas_tons_per_therm</f>
        <v>0</v>
      </c>
      <c r="AA108" s="98">
        <f>AA105*'Global Inputs'!Z$83+Outputs!AA106*CO2_emissions_gas_tons_per_therm</f>
        <v>0</v>
      </c>
      <c r="AB108" s="98">
        <f>AB105*'Global Inputs'!AA$83+Outputs!AB106*CO2_emissions_gas_tons_per_therm</f>
        <v>0</v>
      </c>
      <c r="AC108" s="98">
        <f>AC105*'Global Inputs'!AB$83+Outputs!AC106*CO2_emissions_gas_tons_per_therm</f>
        <v>0</v>
      </c>
      <c r="AD108" s="98">
        <f>AD105*'Global Inputs'!AC$83+Outputs!AD106*CO2_emissions_gas_tons_per_therm</f>
        <v>0</v>
      </c>
      <c r="AE108" s="98">
        <f>AE105*'Global Inputs'!AD$83+Outputs!AE106*CO2_emissions_gas_tons_per_therm</f>
        <v>0</v>
      </c>
      <c r="AF108" s="98">
        <f>AF105*'Global Inputs'!AE$83+Outputs!AF106*CO2_emissions_gas_tons_per_therm</f>
        <v>0</v>
      </c>
      <c r="AG108" s="98">
        <f>AG105*'Global Inputs'!AF$83+Outputs!AG106*CO2_emissions_gas_tons_per_therm</f>
        <v>0</v>
      </c>
      <c r="AH108" s="53">
        <f t="shared" si="12"/>
        <v>574812.78147803154</v>
      </c>
      <c r="AI108"/>
      <c r="AJ108" s="23"/>
      <c r="AZ108"/>
      <c r="BA108"/>
      <c r="BB108"/>
      <c r="BC108"/>
      <c r="BD108"/>
      <c r="BE108"/>
      <c r="BF108"/>
      <c r="BG108"/>
      <c r="BH108"/>
      <c r="BI108"/>
      <c r="BJ108"/>
      <c r="BK108"/>
      <c r="BL108"/>
      <c r="BM108"/>
      <c r="BN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row>
    <row r="109" spans="2:103" hidden="1" outlineLevel="1" x14ac:dyDescent="0.25">
      <c r="B109" t="s">
        <v>314</v>
      </c>
      <c r="C109" t="s">
        <v>315</v>
      </c>
      <c r="AG109" s="51">
        <f>AG105*Btuh_per_W/'Global Inputs'!$D$17+AG106*'Global Inputs'!$D$16/'Global Inputs'!$D$17/'Global Inputs'!$D$17</f>
        <v>1255240.676224964</v>
      </c>
      <c r="AH109" s="53">
        <f>AH105*Btuh_per_W/'Global Inputs'!$D$17+AH106*'Global Inputs'!$D$16/'Global Inputs'!$D$17/'Global Inputs'!$D$17</f>
        <v>41718656.256725848</v>
      </c>
    </row>
    <row r="110" spans="2:103" hidden="1" outlineLevel="1" x14ac:dyDescent="0.25">
      <c r="AH110" s="54"/>
    </row>
    <row r="111" spans="2:103" s="1" customFormat="1" ht="17.25" hidden="1" outlineLevel="1" thickBot="1" x14ac:dyDescent="0.3">
      <c r="B111" s="19" t="s">
        <v>302</v>
      </c>
      <c r="C111" s="19"/>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c r="AB111" s="96"/>
      <c r="AC111" s="96"/>
      <c r="AD111" s="96"/>
      <c r="AE111" s="96"/>
      <c r="AF111" s="96"/>
      <c r="AG111" s="96"/>
      <c r="AH111" s="55"/>
      <c r="AI111" s="19"/>
      <c r="AJ111" s="19"/>
      <c r="AZ111"/>
      <c r="BA111"/>
      <c r="BB111"/>
      <c r="BC111"/>
      <c r="BD111"/>
      <c r="BE111"/>
      <c r="BF111"/>
      <c r="BG111"/>
      <c r="BH111"/>
      <c r="BI111"/>
      <c r="BJ111"/>
      <c r="BK111"/>
      <c r="BL111"/>
      <c r="BM111"/>
      <c r="BN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row>
    <row r="112" spans="2:103" s="1" customFormat="1" ht="16.5" hidden="1" outlineLevel="1" thickTop="1" thickBot="1" x14ac:dyDescent="0.3">
      <c r="B112" s="20" t="s">
        <v>310</v>
      </c>
      <c r="C112" s="20" t="s">
        <v>13</v>
      </c>
      <c r="D112" s="97" t="s">
        <v>17</v>
      </c>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56" t="s">
        <v>224</v>
      </c>
      <c r="AI112" s="20"/>
      <c r="AJ112" s="20" t="s">
        <v>15</v>
      </c>
      <c r="AZ112"/>
      <c r="BA112"/>
      <c r="BB112"/>
      <c r="BC112"/>
      <c r="BD112"/>
      <c r="BE112"/>
      <c r="BF112"/>
      <c r="BG112"/>
      <c r="BH112"/>
      <c r="BI112"/>
      <c r="BJ112"/>
      <c r="BK112"/>
      <c r="BL112"/>
      <c r="BM112"/>
      <c r="BN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row>
    <row r="113" spans="2:103" hidden="1" outlineLevel="1" x14ac:dyDescent="0.25">
      <c r="D113" s="100">
        <f>'Core Loads'!$C$14</f>
        <v>2025</v>
      </c>
      <c r="E113" s="100">
        <f>'Core Loads'!$D$14</f>
        <v>2026</v>
      </c>
      <c r="F113" s="100">
        <f>'Core Loads'!$E$14</f>
        <v>2027</v>
      </c>
      <c r="G113" s="100">
        <f>'Core Loads'!$F$14</f>
        <v>2028</v>
      </c>
      <c r="H113" s="100">
        <f>'Core Loads'!$G$14</f>
        <v>2029</v>
      </c>
      <c r="I113" s="100">
        <f>'Core Loads'!$H$14</f>
        <v>2030</v>
      </c>
      <c r="J113" s="100">
        <f>'Core Loads'!$I$14</f>
        <v>2031</v>
      </c>
      <c r="K113" s="100">
        <f>'Core Loads'!$J$14</f>
        <v>2032</v>
      </c>
      <c r="L113" s="100">
        <f>'Core Loads'!$K$14</f>
        <v>2033</v>
      </c>
      <c r="M113" s="100">
        <f>'Core Loads'!$L$14</f>
        <v>2034</v>
      </c>
      <c r="N113" s="100">
        <f>'Core Loads'!$M$14</f>
        <v>2035</v>
      </c>
      <c r="O113" s="100">
        <f>'Core Loads'!$N$14</f>
        <v>2036</v>
      </c>
      <c r="P113" s="100">
        <f>'Core Loads'!$O$14</f>
        <v>2037</v>
      </c>
      <c r="Q113" s="100">
        <f>'Core Loads'!$P$14</f>
        <v>2038</v>
      </c>
      <c r="R113" s="100">
        <f>'Core Loads'!$Q$14</f>
        <v>2039</v>
      </c>
      <c r="S113" s="100">
        <f>'Core Loads'!$R$14</f>
        <v>2040</v>
      </c>
      <c r="T113" s="100">
        <f>'Core Loads'!$S$14</f>
        <v>2041</v>
      </c>
      <c r="U113" s="100">
        <f>'Core Loads'!$T$14</f>
        <v>2042</v>
      </c>
      <c r="V113" s="100">
        <f>'Core Loads'!$U$14</f>
        <v>2043</v>
      </c>
      <c r="W113" s="100">
        <f>'Core Loads'!$V$14</f>
        <v>2044</v>
      </c>
      <c r="X113" s="100">
        <f>'Core Loads'!$W$14</f>
        <v>2045</v>
      </c>
      <c r="Y113" s="100">
        <f>'Core Loads'!$X$14</f>
        <v>2046</v>
      </c>
      <c r="Z113" s="100">
        <f>'Core Loads'!$Y$14</f>
        <v>2047</v>
      </c>
      <c r="AA113" s="100">
        <f>'Core Loads'!$Z$14</f>
        <v>2048</v>
      </c>
      <c r="AB113" s="100">
        <f>'Core Loads'!$AA$14</f>
        <v>2049</v>
      </c>
      <c r="AC113" s="100">
        <f>'Core Loads'!$AB$14</f>
        <v>2050</v>
      </c>
      <c r="AD113" s="100">
        <f>'Core Loads'!$AC$14</f>
        <v>2051</v>
      </c>
      <c r="AE113" s="100">
        <f>'Core Loads'!$AD$14</f>
        <v>2052</v>
      </c>
      <c r="AF113" s="100">
        <f>'Core Loads'!$AE$14</f>
        <v>2053</v>
      </c>
      <c r="AG113" s="100">
        <f>'Core Loads'!$AF$14</f>
        <v>2054</v>
      </c>
      <c r="AH113" s="8"/>
    </row>
    <row r="114" spans="2:103" s="1" customFormat="1" hidden="1" outlineLevel="1" x14ac:dyDescent="0.25">
      <c r="B114" t="s">
        <v>141</v>
      </c>
      <c r="C114" t="s">
        <v>109</v>
      </c>
      <c r="D114" s="98">
        <f>'Core Commodities Use'!D236+'Core Commodities Use'!D243</f>
        <v>1011886.434656</v>
      </c>
      <c r="E114" s="98">
        <f>'Core Commodities Use'!E236+'Core Commodities Use'!E243</f>
        <v>3877644.969252741</v>
      </c>
      <c r="F114" s="98">
        <f>'Core Commodities Use'!F236+'Core Commodities Use'!F243</f>
        <v>107335630.53078811</v>
      </c>
      <c r="G114" s="98">
        <f>'Core Commodities Use'!G236+'Core Commodities Use'!G243</f>
        <v>248041141.17284435</v>
      </c>
      <c r="H114" s="98">
        <f>'Core Commodities Use'!H236+'Core Commodities Use'!H243</f>
        <v>248041141.17284435</v>
      </c>
      <c r="I114" s="98">
        <f>'Core Commodities Use'!I236+'Core Commodities Use'!I243</f>
        <v>247366116.42451665</v>
      </c>
      <c r="J114" s="98">
        <f>'Core Commodities Use'!J236+'Core Commodities Use'!J243</f>
        <v>247366116.42451665</v>
      </c>
      <c r="K114" s="98">
        <f>'Core Commodities Use'!K236+'Core Commodities Use'!K243</f>
        <v>235378791.15010735</v>
      </c>
      <c r="L114" s="98">
        <f>'Core Commodities Use'!L236+'Core Commodities Use'!L243</f>
        <v>235378791.15010735</v>
      </c>
      <c r="M114" s="98">
        <f>'Core Commodities Use'!M236+'Core Commodities Use'!M243</f>
        <v>234219175.95363569</v>
      </c>
      <c r="N114" s="98">
        <f>'Core Commodities Use'!N236+'Core Commodities Use'!N243</f>
        <v>234219175.95363569</v>
      </c>
      <c r="O114" s="98">
        <f>'Core Commodities Use'!O236+'Core Commodities Use'!O243</f>
        <v>231623330.39256436</v>
      </c>
      <c r="P114" s="98">
        <f>'Core Commodities Use'!P236+'Core Commodities Use'!P243</f>
        <v>231623330.39256436</v>
      </c>
      <c r="Q114" s="98">
        <f>'Core Commodities Use'!Q236+'Core Commodities Use'!Q243</f>
        <v>231042498.77821451</v>
      </c>
      <c r="R114" s="98">
        <f>'Core Commodities Use'!R236+'Core Commodities Use'!R243</f>
        <v>231042498.77821451</v>
      </c>
      <c r="S114" s="98">
        <f>'Core Commodities Use'!S236+'Core Commodities Use'!S243</f>
        <v>269800467.92349821</v>
      </c>
      <c r="T114" s="98">
        <f>'Core Commodities Use'!T236+'Core Commodities Use'!T243</f>
        <v>269800467.92349821</v>
      </c>
      <c r="U114" s="98">
        <f>'Core Commodities Use'!U236+'Core Commodities Use'!U243</f>
        <v>269557439.5775125</v>
      </c>
      <c r="V114" s="98">
        <f>'Core Commodities Use'!V236+'Core Commodities Use'!V243</f>
        <v>269557439.5775125</v>
      </c>
      <c r="W114" s="98">
        <f>'Core Commodities Use'!W236+'Core Commodities Use'!W243</f>
        <v>268936172.25015575</v>
      </c>
      <c r="X114" s="98">
        <f>'Core Commodities Use'!X236+'Core Commodities Use'!X243</f>
        <v>268936172.25015575</v>
      </c>
      <c r="Y114" s="98">
        <f>'Core Commodities Use'!Y236+'Core Commodities Use'!Y243</f>
        <v>268936172.25015575</v>
      </c>
      <c r="Z114" s="98">
        <f>'Core Commodities Use'!Z236+'Core Commodities Use'!Z243</f>
        <v>268936172.25015575</v>
      </c>
      <c r="AA114" s="98">
        <f>'Core Commodities Use'!AA236+'Core Commodities Use'!AA243</f>
        <v>268936172.25015575</v>
      </c>
      <c r="AB114" s="98">
        <f>'Core Commodities Use'!AB236+'Core Commodities Use'!AB243</f>
        <v>268936172.25015575</v>
      </c>
      <c r="AC114" s="98">
        <f>'Core Commodities Use'!AC236+'Core Commodities Use'!AC243</f>
        <v>268219720.01826859</v>
      </c>
      <c r="AD114" s="98">
        <f>'Core Commodities Use'!AD236+'Core Commodities Use'!AD243</f>
        <v>268219720.01826859</v>
      </c>
      <c r="AE114" s="98">
        <f>'Core Commodities Use'!AE236+'Core Commodities Use'!AE243</f>
        <v>268219720.01826859</v>
      </c>
      <c r="AF114" s="98">
        <f>'Core Commodities Use'!AF236+'Core Commodities Use'!AF243</f>
        <v>268219720.01826859</v>
      </c>
      <c r="AG114" s="98">
        <f>'Core Commodities Use'!AG236+'Core Commodities Use'!AG243</f>
        <v>268219720.01826859</v>
      </c>
      <c r="AH114" s="53">
        <f>SUM(D114:AG114)</f>
        <v>7000998718.2727594</v>
      </c>
      <c r="AI114"/>
      <c r="AJ114" s="23" t="s">
        <v>311</v>
      </c>
      <c r="AZ114"/>
      <c r="BA114"/>
      <c r="BB114"/>
      <c r="BC114"/>
      <c r="BD114"/>
      <c r="BE114"/>
      <c r="BF114"/>
      <c r="BG114"/>
      <c r="BH114"/>
      <c r="BI114"/>
      <c r="BJ114"/>
      <c r="BK114"/>
      <c r="BL114"/>
      <c r="BM114"/>
      <c r="BN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row>
    <row r="115" spans="2:103" s="1" customFormat="1" hidden="1" outlineLevel="1" x14ac:dyDescent="0.25">
      <c r="B115" t="s">
        <v>136</v>
      </c>
      <c r="C115" t="s">
        <v>169</v>
      </c>
      <c r="D115" s="98">
        <f>'Core Commodities Use'!D237+'Core Commodities Use'!D244</f>
        <v>31258877.283118241</v>
      </c>
      <c r="E115" s="98">
        <f>'Core Commodities Use'!E237+'Core Commodities Use'!E244</f>
        <v>31258877.283118241</v>
      </c>
      <c r="F115" s="98">
        <f>'Core Commodities Use'!F237+'Core Commodities Use'!F244</f>
        <v>22981692.329201803</v>
      </c>
      <c r="G115" s="98">
        <f>'Core Commodities Use'!G237+'Core Commodities Use'!G244</f>
        <v>0</v>
      </c>
      <c r="H115" s="98">
        <f>'Core Commodities Use'!H237+'Core Commodities Use'!H244</f>
        <v>0</v>
      </c>
      <c r="I115" s="98">
        <f>'Core Commodities Use'!I237+'Core Commodities Use'!I244</f>
        <v>0</v>
      </c>
      <c r="J115" s="98">
        <f>'Core Commodities Use'!J237+'Core Commodities Use'!J244</f>
        <v>0</v>
      </c>
      <c r="K115" s="98">
        <f>'Core Commodities Use'!K237+'Core Commodities Use'!K244</f>
        <v>0</v>
      </c>
      <c r="L115" s="98">
        <f>'Core Commodities Use'!L237+'Core Commodities Use'!L244</f>
        <v>0</v>
      </c>
      <c r="M115" s="98">
        <f>'Core Commodities Use'!M237+'Core Commodities Use'!M244</f>
        <v>0</v>
      </c>
      <c r="N115" s="98">
        <f>'Core Commodities Use'!N237+'Core Commodities Use'!N244</f>
        <v>0</v>
      </c>
      <c r="O115" s="98">
        <f>'Core Commodities Use'!O237+'Core Commodities Use'!O244</f>
        <v>0</v>
      </c>
      <c r="P115" s="98">
        <f>'Core Commodities Use'!P237+'Core Commodities Use'!P244</f>
        <v>0</v>
      </c>
      <c r="Q115" s="98">
        <f>'Core Commodities Use'!Q237+'Core Commodities Use'!Q244</f>
        <v>0</v>
      </c>
      <c r="R115" s="98">
        <f>'Core Commodities Use'!R237+'Core Commodities Use'!R244</f>
        <v>0</v>
      </c>
      <c r="S115" s="98">
        <f>'Core Commodities Use'!S237+'Core Commodities Use'!S244</f>
        <v>0</v>
      </c>
      <c r="T115" s="98">
        <f>'Core Commodities Use'!T237+'Core Commodities Use'!T244</f>
        <v>0</v>
      </c>
      <c r="U115" s="98">
        <f>'Core Commodities Use'!U237+'Core Commodities Use'!U244</f>
        <v>0</v>
      </c>
      <c r="V115" s="98">
        <f>'Core Commodities Use'!V237+'Core Commodities Use'!V244</f>
        <v>0</v>
      </c>
      <c r="W115" s="98">
        <f>'Core Commodities Use'!W237+'Core Commodities Use'!W244</f>
        <v>0</v>
      </c>
      <c r="X115" s="98">
        <f>'Core Commodities Use'!X237+'Core Commodities Use'!X244</f>
        <v>0</v>
      </c>
      <c r="Y115" s="98">
        <f>'Core Commodities Use'!Y237+'Core Commodities Use'!Y244</f>
        <v>0</v>
      </c>
      <c r="Z115" s="98">
        <f>'Core Commodities Use'!Z237+'Core Commodities Use'!Z244</f>
        <v>0</v>
      </c>
      <c r="AA115" s="98">
        <f>'Core Commodities Use'!AA237+'Core Commodities Use'!AA244</f>
        <v>0</v>
      </c>
      <c r="AB115" s="98">
        <f>'Core Commodities Use'!AB237+'Core Commodities Use'!AB244</f>
        <v>0</v>
      </c>
      <c r="AC115" s="98">
        <f>'Core Commodities Use'!AC237+'Core Commodities Use'!AC244</f>
        <v>0</v>
      </c>
      <c r="AD115" s="98">
        <f>'Core Commodities Use'!AD237+'Core Commodities Use'!AD244</f>
        <v>0</v>
      </c>
      <c r="AE115" s="98">
        <f>'Core Commodities Use'!AE237+'Core Commodities Use'!AE244</f>
        <v>0</v>
      </c>
      <c r="AF115" s="98">
        <f>'Core Commodities Use'!AF237+'Core Commodities Use'!AF244</f>
        <v>0</v>
      </c>
      <c r="AG115" s="98">
        <f>'Core Commodities Use'!AG237+'Core Commodities Use'!AG244</f>
        <v>0</v>
      </c>
      <c r="AH115" s="53">
        <f t="shared" ref="AH115:AH117" si="13">SUM(D115:AG115)</f>
        <v>85499446.895438284</v>
      </c>
      <c r="AI115"/>
      <c r="AJ115" s="23" t="s">
        <v>311</v>
      </c>
      <c r="AZ115"/>
      <c r="BA115"/>
      <c r="BB115"/>
      <c r="BC115"/>
      <c r="BD115"/>
      <c r="BE115"/>
      <c r="BF115"/>
      <c r="BG115"/>
      <c r="BH115"/>
      <c r="BI115"/>
      <c r="BJ115"/>
      <c r="BK115"/>
      <c r="BL115"/>
      <c r="BM115"/>
      <c r="BN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row>
    <row r="116" spans="2:103" s="1" customFormat="1" hidden="1" outlineLevel="1" x14ac:dyDescent="0.25">
      <c r="B116" t="s">
        <v>154</v>
      </c>
      <c r="C116" t="s">
        <v>170</v>
      </c>
      <c r="D116" s="98">
        <f>'Core Commodities Use'!D238+'Core Commodities Use'!D245</f>
        <v>278436.87957137165</v>
      </c>
      <c r="E116" s="98">
        <f>'Core Commodities Use'!E238+'Core Commodities Use'!E245</f>
        <v>297204.70349500491</v>
      </c>
      <c r="F116" s="98">
        <f>'Core Commodities Use'!F238+'Core Commodities Use'!F245</f>
        <v>234601.0887444198</v>
      </c>
      <c r="G116" s="98">
        <f>'Core Commodities Use'!G238+'Core Commodities Use'!G245</f>
        <v>134952.52243551117</v>
      </c>
      <c r="H116" s="98">
        <f>'Core Commodities Use'!H238+'Core Commodities Use'!H245</f>
        <v>134952.52243551117</v>
      </c>
      <c r="I116" s="98">
        <f>'Core Commodities Use'!I238+'Core Commodities Use'!I245</f>
        <v>148916.80927474546</v>
      </c>
      <c r="J116" s="98">
        <f>'Core Commodities Use'!J238+'Core Commodities Use'!J245</f>
        <v>148916.80927474546</v>
      </c>
      <c r="K116" s="98">
        <f>'Core Commodities Use'!K238+'Core Commodities Use'!K245</f>
        <v>144579.49070036993</v>
      </c>
      <c r="L116" s="98">
        <f>'Core Commodities Use'!L238+'Core Commodities Use'!L245</f>
        <v>144579.49070036993</v>
      </c>
      <c r="M116" s="98">
        <f>'Core Commodities Use'!M238+'Core Commodities Use'!M245</f>
        <v>146193.88917096626</v>
      </c>
      <c r="N116" s="98">
        <f>'Core Commodities Use'!N238+'Core Commodities Use'!N245</f>
        <v>146193.88917096626</v>
      </c>
      <c r="O116" s="98">
        <f>'Core Commodities Use'!O238+'Core Commodities Use'!O245</f>
        <v>144821.92137333384</v>
      </c>
      <c r="P116" s="98">
        <f>'Core Commodities Use'!P238+'Core Commodities Use'!P245</f>
        <v>144821.92137333384</v>
      </c>
      <c r="Q116" s="98">
        <f>'Core Commodities Use'!Q238+'Core Commodities Use'!Q245</f>
        <v>144483.60155555297</v>
      </c>
      <c r="R116" s="98">
        <f>'Core Commodities Use'!R238+'Core Commodities Use'!R245</f>
        <v>144483.60155555297</v>
      </c>
      <c r="S116" s="98">
        <f>'Core Commodities Use'!S238+'Core Commodities Use'!S245</f>
        <v>165316.17341266479</v>
      </c>
      <c r="T116" s="98">
        <f>'Core Commodities Use'!T238+'Core Commodities Use'!T245</f>
        <v>165316.17341266479</v>
      </c>
      <c r="U116" s="98">
        <f>'Core Commodities Use'!U238+'Core Commodities Use'!U245</f>
        <v>165249.68529523592</v>
      </c>
      <c r="V116" s="98">
        <f>'Core Commodities Use'!V238+'Core Commodities Use'!V245</f>
        <v>165249.68529523592</v>
      </c>
      <c r="W116" s="98">
        <f>'Core Commodities Use'!W238+'Core Commodities Use'!W245</f>
        <v>164877.54257590559</v>
      </c>
      <c r="X116" s="98">
        <f>'Core Commodities Use'!X238+'Core Commodities Use'!X245</f>
        <v>164877.54257590559</v>
      </c>
      <c r="Y116" s="98">
        <f>'Core Commodities Use'!Y238+'Core Commodities Use'!Y245</f>
        <v>164877.54257590559</v>
      </c>
      <c r="Z116" s="98">
        <f>'Core Commodities Use'!Z238+'Core Commodities Use'!Z245</f>
        <v>164877.54257590559</v>
      </c>
      <c r="AA116" s="98">
        <f>'Core Commodities Use'!AA238+'Core Commodities Use'!AA245</f>
        <v>164877.54257590559</v>
      </c>
      <c r="AB116" s="98">
        <f>'Core Commodities Use'!AB238+'Core Commodities Use'!AB245</f>
        <v>164877.54257590559</v>
      </c>
      <c r="AC116" s="98">
        <f>'Core Commodities Use'!AC238+'Core Commodities Use'!AC245</f>
        <v>164385.26105735954</v>
      </c>
      <c r="AD116" s="98">
        <f>'Core Commodities Use'!AD238+'Core Commodities Use'!AD245</f>
        <v>164385.26105735954</v>
      </c>
      <c r="AE116" s="98">
        <f>'Core Commodities Use'!AE238+'Core Commodities Use'!AE245</f>
        <v>164385.26105735954</v>
      </c>
      <c r="AF116" s="98">
        <f>'Core Commodities Use'!AF238+'Core Commodities Use'!AF245</f>
        <v>164385.26105735954</v>
      </c>
      <c r="AG116" s="98">
        <f>'Core Commodities Use'!AG238+'Core Commodities Use'!AG245</f>
        <v>164385.26105735954</v>
      </c>
      <c r="AH116" s="53">
        <f t="shared" si="13"/>
        <v>5010462.4189897859</v>
      </c>
      <c r="AI116"/>
      <c r="AJ116" s="23" t="s">
        <v>311</v>
      </c>
      <c r="AZ116"/>
      <c r="BA116"/>
      <c r="BB116"/>
      <c r="BC116"/>
      <c r="BD116"/>
      <c r="BE116"/>
      <c r="BF116"/>
      <c r="BG116"/>
      <c r="BH116"/>
      <c r="BI116"/>
      <c r="BJ116"/>
      <c r="BK116"/>
      <c r="BL116"/>
      <c r="BM116"/>
      <c r="BN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row>
    <row r="117" spans="2:103" s="1" customFormat="1" hidden="1" outlineLevel="1" x14ac:dyDescent="0.25">
      <c r="B117" t="s">
        <v>312</v>
      </c>
      <c r="C117" t="s">
        <v>313</v>
      </c>
      <c r="D117" s="98">
        <f>D114*'Global Inputs'!C$83+Outputs!D115*CO2_emissions_gas_tons_per_therm</f>
        <v>210153.43197440394</v>
      </c>
      <c r="E117" s="98">
        <f>E114*'Global Inputs'!D$83+Outputs!E115*CO2_emissions_gas_tons_per_therm</f>
        <v>210153.43197440394</v>
      </c>
      <c r="F117" s="98">
        <f>F114*'Global Inputs'!E$83+Outputs!F115*CO2_emissions_gas_tons_per_therm</f>
        <v>154505.91752922372</v>
      </c>
      <c r="G117" s="98">
        <f>G114*'Global Inputs'!F$83+Outputs!G115*CO2_emissions_gas_tons_per_therm</f>
        <v>0</v>
      </c>
      <c r="H117" s="98">
        <f>H114*'Global Inputs'!G$83+Outputs!H115*CO2_emissions_gas_tons_per_therm</f>
        <v>0</v>
      </c>
      <c r="I117" s="98">
        <f>I114*'Global Inputs'!H$83+Outputs!I115*CO2_emissions_gas_tons_per_therm</f>
        <v>0</v>
      </c>
      <c r="J117" s="98">
        <f>J114*'Global Inputs'!I$83+Outputs!J115*CO2_emissions_gas_tons_per_therm</f>
        <v>0</v>
      </c>
      <c r="K117" s="98">
        <f>K114*'Global Inputs'!J$83+Outputs!K115*CO2_emissions_gas_tons_per_therm</f>
        <v>0</v>
      </c>
      <c r="L117" s="98">
        <f>L114*'Global Inputs'!K$83+Outputs!L115*CO2_emissions_gas_tons_per_therm</f>
        <v>0</v>
      </c>
      <c r="M117" s="98">
        <f>M114*'Global Inputs'!L$83+Outputs!M115*CO2_emissions_gas_tons_per_therm</f>
        <v>0</v>
      </c>
      <c r="N117" s="98">
        <f>N114*'Global Inputs'!M$83+Outputs!N115*CO2_emissions_gas_tons_per_therm</f>
        <v>0</v>
      </c>
      <c r="O117" s="98">
        <f>O114*'Global Inputs'!N$83+Outputs!O115*CO2_emissions_gas_tons_per_therm</f>
        <v>0</v>
      </c>
      <c r="P117" s="98">
        <f>P114*'Global Inputs'!O$83+Outputs!P115*CO2_emissions_gas_tons_per_therm</f>
        <v>0</v>
      </c>
      <c r="Q117" s="98">
        <f>Q114*'Global Inputs'!P$83+Outputs!Q115*CO2_emissions_gas_tons_per_therm</f>
        <v>0</v>
      </c>
      <c r="R117" s="98">
        <f>R114*'Global Inputs'!Q$83+Outputs!R115*CO2_emissions_gas_tons_per_therm</f>
        <v>0</v>
      </c>
      <c r="S117" s="98">
        <f>S114*'Global Inputs'!R$83+Outputs!S115*CO2_emissions_gas_tons_per_therm</f>
        <v>0</v>
      </c>
      <c r="T117" s="98">
        <f>T114*'Global Inputs'!S$83+Outputs!T115*CO2_emissions_gas_tons_per_therm</f>
        <v>0</v>
      </c>
      <c r="U117" s="98">
        <f>U114*'Global Inputs'!T$83+Outputs!U115*CO2_emissions_gas_tons_per_therm</f>
        <v>0</v>
      </c>
      <c r="V117" s="98">
        <f>V114*'Global Inputs'!U$83+Outputs!V115*CO2_emissions_gas_tons_per_therm</f>
        <v>0</v>
      </c>
      <c r="W117" s="98">
        <f>W114*'Global Inputs'!V$83+Outputs!W115*CO2_emissions_gas_tons_per_therm</f>
        <v>0</v>
      </c>
      <c r="X117" s="98">
        <f>X114*'Global Inputs'!W$83+Outputs!X115*CO2_emissions_gas_tons_per_therm</f>
        <v>0</v>
      </c>
      <c r="Y117" s="98">
        <f>Y114*'Global Inputs'!X$83+Outputs!Y115*CO2_emissions_gas_tons_per_therm</f>
        <v>0</v>
      </c>
      <c r="Z117" s="98">
        <f>Z114*'Global Inputs'!Y$83+Outputs!Z115*CO2_emissions_gas_tons_per_therm</f>
        <v>0</v>
      </c>
      <c r="AA117" s="98">
        <f>AA114*'Global Inputs'!Z$83+Outputs!AA115*CO2_emissions_gas_tons_per_therm</f>
        <v>0</v>
      </c>
      <c r="AB117" s="98">
        <f>AB114*'Global Inputs'!AA$83+Outputs!AB115*CO2_emissions_gas_tons_per_therm</f>
        <v>0</v>
      </c>
      <c r="AC117" s="98">
        <f>AC114*'Global Inputs'!AB$83+Outputs!AC115*CO2_emissions_gas_tons_per_therm</f>
        <v>0</v>
      </c>
      <c r="AD117" s="98">
        <f>AD114*'Global Inputs'!AC$83+Outputs!AD115*CO2_emissions_gas_tons_per_therm</f>
        <v>0</v>
      </c>
      <c r="AE117" s="98">
        <f>AE114*'Global Inputs'!AD$83+Outputs!AE115*CO2_emissions_gas_tons_per_therm</f>
        <v>0</v>
      </c>
      <c r="AF117" s="98">
        <f>AF114*'Global Inputs'!AE$83+Outputs!AF115*CO2_emissions_gas_tons_per_therm</f>
        <v>0</v>
      </c>
      <c r="AG117" s="98">
        <f>AG114*'Global Inputs'!AF$83+Outputs!AG115*CO2_emissions_gas_tons_per_therm</f>
        <v>0</v>
      </c>
      <c r="AH117" s="53">
        <f t="shared" si="13"/>
        <v>574812.78147803154</v>
      </c>
      <c r="AI117"/>
      <c r="AJ117" s="23"/>
      <c r="AZ117"/>
      <c r="BA117"/>
      <c r="BB117"/>
      <c r="BC117"/>
      <c r="BD117"/>
      <c r="BE117"/>
      <c r="BF117"/>
      <c r="BG117"/>
      <c r="BH117"/>
      <c r="BI117"/>
      <c r="BJ117"/>
      <c r="BK117"/>
      <c r="BL117"/>
      <c r="BM117"/>
      <c r="BN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row>
    <row r="118" spans="2:103" hidden="1" outlineLevel="1" x14ac:dyDescent="0.25">
      <c r="B118" t="s">
        <v>314</v>
      </c>
      <c r="C118" t="s">
        <v>315</v>
      </c>
      <c r="AG118" s="51">
        <f>AG114*Btuh_per_W/'Global Inputs'!$D$17+AG115*'Global Inputs'!$D$16/'Global Inputs'!$D$17/'Global Inputs'!$D$17</f>
        <v>915165.68470233236</v>
      </c>
      <c r="AH118" s="53">
        <f>AH114*Btuh_per_W/'Global Inputs'!$D$17+AH115*'Global Inputs'!$D$16/'Global Inputs'!$D$17/'Global Inputs'!$D$17</f>
        <v>32437352.316290483</v>
      </c>
    </row>
    <row r="119" spans="2:103" s="1" customFormat="1" hidden="1" outlineLevel="1" x14ac:dyDescent="0.25">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57"/>
      <c r="AY119"/>
      <c r="AZ119"/>
      <c r="BA119"/>
      <c r="BB119"/>
      <c r="BC119"/>
      <c r="BD119"/>
      <c r="BE119"/>
      <c r="BF119"/>
      <c r="BG119"/>
      <c r="BH119"/>
      <c r="BI119"/>
      <c r="BJ119"/>
      <c r="BK119"/>
      <c r="BL119"/>
      <c r="BM119"/>
      <c r="BN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row>
    <row r="120" spans="2:103" s="1" customFormat="1" ht="17.25" hidden="1" outlineLevel="1" thickBot="1" x14ac:dyDescent="0.3">
      <c r="B120" s="19" t="s">
        <v>290</v>
      </c>
      <c r="C120" s="19"/>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c r="AF120" s="96"/>
      <c r="AG120" s="96"/>
      <c r="AH120" s="55"/>
      <c r="AI120" s="19"/>
      <c r="AJ120" s="19"/>
      <c r="AZ120"/>
      <c r="BA120"/>
      <c r="BB120"/>
      <c r="BC120"/>
      <c r="BD120"/>
      <c r="BE120"/>
      <c r="BF120"/>
      <c r="BG120"/>
      <c r="BH120"/>
      <c r="BI120"/>
      <c r="BJ120"/>
      <c r="BK120"/>
      <c r="BL120"/>
      <c r="BM120"/>
      <c r="BN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row>
    <row r="121" spans="2:103" s="1" customFormat="1" ht="16.5" hidden="1" outlineLevel="1" thickTop="1" thickBot="1" x14ac:dyDescent="0.3">
      <c r="B121" s="20" t="s">
        <v>310</v>
      </c>
      <c r="C121" s="20" t="s">
        <v>13</v>
      </c>
      <c r="D121" s="97" t="s">
        <v>17</v>
      </c>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56" t="s">
        <v>224</v>
      </c>
      <c r="AI121" s="20"/>
      <c r="AJ121" s="20" t="s">
        <v>15</v>
      </c>
      <c r="AZ121"/>
      <c r="BA121"/>
      <c r="BB121"/>
      <c r="BC121"/>
      <c r="BD121"/>
      <c r="BE121"/>
      <c r="BF121"/>
      <c r="BG121"/>
      <c r="BH121"/>
      <c r="BI121"/>
      <c r="BJ121"/>
      <c r="BK121"/>
      <c r="BL121"/>
      <c r="BM121"/>
      <c r="BN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row>
    <row r="122" spans="2:103" hidden="1" outlineLevel="1" x14ac:dyDescent="0.25">
      <c r="D122" s="100">
        <f>'Core Loads'!$C$14</f>
        <v>2025</v>
      </c>
      <c r="E122" s="100">
        <f>'Core Loads'!$D$14</f>
        <v>2026</v>
      </c>
      <c r="F122" s="100">
        <f>'Core Loads'!$E$14</f>
        <v>2027</v>
      </c>
      <c r="G122" s="100">
        <f>'Core Loads'!$F$14</f>
        <v>2028</v>
      </c>
      <c r="H122" s="100">
        <f>'Core Loads'!$G$14</f>
        <v>2029</v>
      </c>
      <c r="I122" s="100">
        <f>'Core Loads'!$H$14</f>
        <v>2030</v>
      </c>
      <c r="J122" s="100">
        <f>'Core Loads'!$I$14</f>
        <v>2031</v>
      </c>
      <c r="K122" s="100">
        <f>'Core Loads'!$J$14</f>
        <v>2032</v>
      </c>
      <c r="L122" s="100">
        <f>'Core Loads'!$K$14</f>
        <v>2033</v>
      </c>
      <c r="M122" s="100">
        <f>'Core Loads'!$L$14</f>
        <v>2034</v>
      </c>
      <c r="N122" s="100">
        <f>'Core Loads'!$M$14</f>
        <v>2035</v>
      </c>
      <c r="O122" s="100">
        <f>'Core Loads'!$N$14</f>
        <v>2036</v>
      </c>
      <c r="P122" s="100">
        <f>'Core Loads'!$O$14</f>
        <v>2037</v>
      </c>
      <c r="Q122" s="100">
        <f>'Core Loads'!$P$14</f>
        <v>2038</v>
      </c>
      <c r="R122" s="100">
        <f>'Core Loads'!$Q$14</f>
        <v>2039</v>
      </c>
      <c r="S122" s="100">
        <f>'Core Loads'!$R$14</f>
        <v>2040</v>
      </c>
      <c r="T122" s="100">
        <f>'Core Loads'!$S$14</f>
        <v>2041</v>
      </c>
      <c r="U122" s="100">
        <f>'Core Loads'!$T$14</f>
        <v>2042</v>
      </c>
      <c r="V122" s="100">
        <f>'Core Loads'!$U$14</f>
        <v>2043</v>
      </c>
      <c r="W122" s="100">
        <f>'Core Loads'!$V$14</f>
        <v>2044</v>
      </c>
      <c r="X122" s="100">
        <f>'Core Loads'!$W$14</f>
        <v>2045</v>
      </c>
      <c r="Y122" s="100">
        <f>'Core Loads'!$X$14</f>
        <v>2046</v>
      </c>
      <c r="Z122" s="100">
        <f>'Core Loads'!$Y$14</f>
        <v>2047</v>
      </c>
      <c r="AA122" s="100">
        <f>'Core Loads'!$Z$14</f>
        <v>2048</v>
      </c>
      <c r="AB122" s="100">
        <f>'Core Loads'!$AA$14</f>
        <v>2049</v>
      </c>
      <c r="AC122" s="100">
        <f>'Core Loads'!$AB$14</f>
        <v>2050</v>
      </c>
      <c r="AD122" s="100">
        <f>'Core Loads'!$AC$14</f>
        <v>2051</v>
      </c>
      <c r="AE122" s="100">
        <f>'Core Loads'!$AD$14</f>
        <v>2052</v>
      </c>
      <c r="AF122" s="100">
        <f>'Core Loads'!$AE$14</f>
        <v>2053</v>
      </c>
      <c r="AG122" s="100">
        <f>'Core Loads'!$AF$14</f>
        <v>2054</v>
      </c>
      <c r="AH122" s="8"/>
    </row>
    <row r="123" spans="2:103" s="1" customFormat="1" hidden="1" outlineLevel="1" x14ac:dyDescent="0.25">
      <c r="B123" t="s">
        <v>141</v>
      </c>
      <c r="C123" t="s">
        <v>109</v>
      </c>
      <c r="D123" s="98">
        <f>'Core Commodities Use'!D252+'Core Commodities Use'!D259</f>
        <v>0</v>
      </c>
      <c r="E123" s="98">
        <f>'Core Commodities Use'!E252+'Core Commodities Use'!E259</f>
        <v>2865758.5345967412</v>
      </c>
      <c r="F123" s="98">
        <f>'Core Commodities Use'!F252+'Core Commodities Use'!F259</f>
        <v>226071828.52306879</v>
      </c>
      <c r="G123" s="98">
        <f>'Core Commodities Use'!G252+'Core Commodities Use'!G259</f>
        <v>239769654.17453831</v>
      </c>
      <c r="H123" s="98">
        <f>'Core Commodities Use'!H252+'Core Commodities Use'!H259</f>
        <v>239769654.17453831</v>
      </c>
      <c r="I123" s="98">
        <f>'Core Commodities Use'!I252+'Core Commodities Use'!I259</f>
        <v>243575227.44877559</v>
      </c>
      <c r="J123" s="98">
        <f>'Core Commodities Use'!J252+'Core Commodities Use'!J259</f>
        <v>243575227.44877559</v>
      </c>
      <c r="K123" s="98">
        <f>'Core Commodities Use'!K252+'Core Commodities Use'!K259</f>
        <v>230569005.56431952</v>
      </c>
      <c r="L123" s="98">
        <f>'Core Commodities Use'!L252+'Core Commodities Use'!L259</f>
        <v>230569005.56431952</v>
      </c>
      <c r="M123" s="98">
        <f>'Core Commodities Use'!M252+'Core Commodities Use'!M259</f>
        <v>233025410.55370659</v>
      </c>
      <c r="N123" s="98">
        <f>'Core Commodities Use'!N252+'Core Commodities Use'!N259</f>
        <v>233025410.55370659</v>
      </c>
      <c r="O123" s="98">
        <f>'Core Commodities Use'!O252+'Core Commodities Use'!O259</f>
        <v>230656887.80436453</v>
      </c>
      <c r="P123" s="98">
        <f>'Core Commodities Use'!P252+'Core Commodities Use'!P259</f>
        <v>230656887.80436453</v>
      </c>
      <c r="Q123" s="98">
        <f>'Core Commodities Use'!Q252+'Core Commodities Use'!Q259</f>
        <v>230089670.12696138</v>
      </c>
      <c r="R123" s="98">
        <f>'Core Commodities Use'!R252+'Core Commodities Use'!R259</f>
        <v>230089670.12696138</v>
      </c>
      <c r="S123" s="98">
        <f>'Core Commodities Use'!S252+'Core Commodities Use'!S259</f>
        <v>263403700.68009204</v>
      </c>
      <c r="T123" s="98">
        <f>'Core Commodities Use'!T252+'Core Commodities Use'!T259</f>
        <v>263403700.68009204</v>
      </c>
      <c r="U123" s="98">
        <f>'Core Commodities Use'!U252+'Core Commodities Use'!U259</f>
        <v>263792946.31438899</v>
      </c>
      <c r="V123" s="98">
        <f>'Core Commodities Use'!V252+'Core Commodities Use'!V259</f>
        <v>263792946.31438899</v>
      </c>
      <c r="W123" s="98">
        <f>'Core Commodities Use'!W252+'Core Commodities Use'!W259</f>
        <v>263083686.96818683</v>
      </c>
      <c r="X123" s="98">
        <f>'Core Commodities Use'!X252+'Core Commodities Use'!X259</f>
        <v>263083686.96818683</v>
      </c>
      <c r="Y123" s="98">
        <f>'Core Commodities Use'!Y252+'Core Commodities Use'!Y259</f>
        <v>263083686.96818683</v>
      </c>
      <c r="Z123" s="98">
        <f>'Core Commodities Use'!Z252+'Core Commodities Use'!Z259</f>
        <v>263083686.96818683</v>
      </c>
      <c r="AA123" s="98">
        <f>'Core Commodities Use'!AA252+'Core Commodities Use'!AA259</f>
        <v>263083686.96818683</v>
      </c>
      <c r="AB123" s="98">
        <f>'Core Commodities Use'!AB252+'Core Commodities Use'!AB259</f>
        <v>263083686.96818683</v>
      </c>
      <c r="AC123" s="98">
        <f>'Core Commodities Use'!AC252+'Core Commodities Use'!AC259</f>
        <v>262832276.47282746</v>
      </c>
      <c r="AD123" s="98">
        <f>'Core Commodities Use'!AD252+'Core Commodities Use'!AD259</f>
        <v>262832276.47282746</v>
      </c>
      <c r="AE123" s="98">
        <f>'Core Commodities Use'!AE252+'Core Commodities Use'!AE259</f>
        <v>262832276.47282746</v>
      </c>
      <c r="AF123" s="98">
        <f>'Core Commodities Use'!AF252+'Core Commodities Use'!AF259</f>
        <v>262832276.47282746</v>
      </c>
      <c r="AG123" s="98">
        <f>'Core Commodities Use'!AG252+'Core Commodities Use'!AG259</f>
        <v>262832276.47282746</v>
      </c>
      <c r="AH123" s="53">
        <f>SUM(D123:AG123)</f>
        <v>6991366096.565217</v>
      </c>
      <c r="AI123"/>
      <c r="AJ123" s="23" t="s">
        <v>317</v>
      </c>
      <c r="AZ123"/>
      <c r="BA123"/>
      <c r="BB123"/>
      <c r="BC123"/>
      <c r="BD123"/>
      <c r="BE123"/>
      <c r="BF123"/>
      <c r="BG123"/>
      <c r="BH123"/>
      <c r="BI123"/>
      <c r="BJ123"/>
      <c r="BK123"/>
      <c r="BL123"/>
      <c r="BM123"/>
      <c r="BN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row>
    <row r="124" spans="2:103" s="1" customFormat="1" hidden="1" outlineLevel="1" x14ac:dyDescent="0.25">
      <c r="B124" t="s">
        <v>136</v>
      </c>
      <c r="C124" t="s">
        <v>169</v>
      </c>
      <c r="D124" s="98">
        <f>'Core Commodities Use'!D253+'Core Commodities Use'!D265</f>
        <v>31258877.283118241</v>
      </c>
      <c r="E124" s="98">
        <f>'Core Commodities Use'!E253+'Core Commodities Use'!E265</f>
        <v>31258877.283118241</v>
      </c>
      <c r="F124" s="98">
        <f>'Core Commodities Use'!F253+'Core Commodities Use'!F265</f>
        <v>2565274.1088963212</v>
      </c>
      <c r="G124" s="98">
        <f>'Core Commodities Use'!G253+'Core Commodities Use'!G265</f>
        <v>2565274.1088963212</v>
      </c>
      <c r="H124" s="98">
        <f>'Core Commodities Use'!H253+'Core Commodities Use'!H265</f>
        <v>2565274.1088963212</v>
      </c>
      <c r="I124" s="98">
        <f>'Core Commodities Use'!I253+'Core Commodities Use'!I265</f>
        <v>2565274.1088963212</v>
      </c>
      <c r="J124" s="98">
        <f>'Core Commodities Use'!J253+'Core Commodities Use'!J265</f>
        <v>2565274.1088963212</v>
      </c>
      <c r="K124" s="98">
        <f>'Core Commodities Use'!K253+'Core Commodities Use'!K265</f>
        <v>2565274.1088963212</v>
      </c>
      <c r="L124" s="98">
        <f>'Core Commodities Use'!L253+'Core Commodities Use'!L265</f>
        <v>2565274.1088963212</v>
      </c>
      <c r="M124" s="98">
        <f>'Core Commodities Use'!M253+'Core Commodities Use'!M265</f>
        <v>2346467.9582151663</v>
      </c>
      <c r="N124" s="98">
        <f>'Core Commodities Use'!N253+'Core Commodities Use'!N265</f>
        <v>2346467.9582151663</v>
      </c>
      <c r="O124" s="98">
        <f>'Core Commodities Use'!O253+'Core Commodities Use'!O265</f>
        <v>2314068.5605899175</v>
      </c>
      <c r="P124" s="98">
        <f>'Core Commodities Use'!P253+'Core Commodities Use'!P265</f>
        <v>2314068.5605899175</v>
      </c>
      <c r="Q124" s="98">
        <f>'Core Commodities Use'!Q253+'Core Commodities Use'!Q265</f>
        <v>2310160.1223315848</v>
      </c>
      <c r="R124" s="98">
        <f>'Core Commodities Use'!R253+'Core Commodities Use'!R265</f>
        <v>2310160.1223315848</v>
      </c>
      <c r="S124" s="98">
        <f>'Core Commodities Use'!S253+'Core Commodities Use'!S265</f>
        <v>3182974.7106661899</v>
      </c>
      <c r="T124" s="98">
        <f>'Core Commodities Use'!T253+'Core Commodities Use'!T265</f>
        <v>3182974.7106661899</v>
      </c>
      <c r="U124" s="98">
        <f>'Core Commodities Use'!U253+'Core Commodities Use'!U265</f>
        <v>3141298.2662485251</v>
      </c>
      <c r="V124" s="98">
        <f>'Core Commodities Use'!V253+'Core Commodities Use'!V265</f>
        <v>3141298.2662485251</v>
      </c>
      <c r="W124" s="98">
        <f>'Core Commodities Use'!W253+'Core Commodities Use'!W265</f>
        <v>3141298.2662485251</v>
      </c>
      <c r="X124" s="98">
        <f>'Core Commodities Use'!X253+'Core Commodities Use'!X265</f>
        <v>3141298.2662485251</v>
      </c>
      <c r="Y124" s="98">
        <f>'Core Commodities Use'!Y253+'Core Commodities Use'!Y265</f>
        <v>3141298.2662485251</v>
      </c>
      <c r="Z124" s="98">
        <f>'Core Commodities Use'!Z253+'Core Commodities Use'!Z265</f>
        <v>3141298.2662485251</v>
      </c>
      <c r="AA124" s="98">
        <f>'Core Commodities Use'!AA253+'Core Commodities Use'!AA265</f>
        <v>3141298.2662485251</v>
      </c>
      <c r="AB124" s="98">
        <f>'Core Commodities Use'!AB253+'Core Commodities Use'!AB265</f>
        <v>3141298.2662485251</v>
      </c>
      <c r="AC124" s="98">
        <f>'Core Commodities Use'!AC253+'Core Commodities Use'!AC265</f>
        <v>3097709.5353105851</v>
      </c>
      <c r="AD124" s="98">
        <f>'Core Commodities Use'!AD253+'Core Commodities Use'!AD265</f>
        <v>3097709.5353105851</v>
      </c>
      <c r="AE124" s="98">
        <f>'Core Commodities Use'!AE253+'Core Commodities Use'!AE265</f>
        <v>3097709.5353105851</v>
      </c>
      <c r="AF124" s="98">
        <f>'Core Commodities Use'!AF253+'Core Commodities Use'!AF265</f>
        <v>3097709.5353105851</v>
      </c>
      <c r="AG124" s="98">
        <f>'Core Commodities Use'!AG253+'Core Commodities Use'!AG265</f>
        <v>3097709.5353105851</v>
      </c>
      <c r="AH124" s="53">
        <f t="shared" ref="AH124:AH125" si="14">SUM(D124:AG124)</f>
        <v>141400949.83865759</v>
      </c>
      <c r="AI124"/>
      <c r="AJ124" s="23" t="s">
        <v>317</v>
      </c>
      <c r="AZ124"/>
      <c r="BA124"/>
      <c r="BB124"/>
      <c r="BC124"/>
      <c r="BD124"/>
      <c r="BE124"/>
      <c r="BF124"/>
      <c r="BG124"/>
      <c r="BH124"/>
      <c r="BI124"/>
      <c r="BJ124"/>
      <c r="BK124"/>
      <c r="BL124"/>
      <c r="BM124"/>
      <c r="BN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row>
    <row r="125" spans="2:103" s="1" customFormat="1" hidden="1" outlineLevel="1" x14ac:dyDescent="0.25">
      <c r="B125" t="s">
        <v>154</v>
      </c>
      <c r="C125" t="s">
        <v>170</v>
      </c>
      <c r="D125" s="98">
        <f>'Core Commodities Use'!D254+'Core Commodities Use'!D271</f>
        <v>278436.87957137165</v>
      </c>
      <c r="E125" s="98">
        <f>'Core Commodities Use'!E254+'Core Commodities Use'!E271</f>
        <v>297204.70349500491</v>
      </c>
      <c r="F125" s="98">
        <f>'Core Commodities Use'!F254+'Core Commodities Use'!F271</f>
        <v>145239.9155750564</v>
      </c>
      <c r="G125" s="98">
        <f>'Core Commodities Use'!G254+'Core Commodities Use'!G271</f>
        <v>159041.2632752381</v>
      </c>
      <c r="H125" s="98">
        <f>'Core Commodities Use'!H254+'Core Commodities Use'!H271</f>
        <v>159041.2632752381</v>
      </c>
      <c r="I125" s="98">
        <f>'Core Commodities Use'!I254+'Core Commodities Use'!I271</f>
        <v>177058.64623098687</v>
      </c>
      <c r="J125" s="98">
        <f>'Core Commodities Use'!J254+'Core Commodities Use'!J271</f>
        <v>177058.64623098687</v>
      </c>
      <c r="K125" s="98">
        <f>'Core Commodities Use'!K254+'Core Commodities Use'!K271</f>
        <v>172721.32765661133</v>
      </c>
      <c r="L125" s="98">
        <f>'Core Commodities Use'!L254+'Core Commodities Use'!L271</f>
        <v>172721.32765661133</v>
      </c>
      <c r="M125" s="98">
        <f>'Core Commodities Use'!M254+'Core Commodities Use'!M271</f>
        <v>173191.85376784479</v>
      </c>
      <c r="N125" s="98">
        <f>'Core Commodities Use'!N254+'Core Commodities Use'!N271</f>
        <v>173191.85376784479</v>
      </c>
      <c r="O125" s="98">
        <f>'Core Commodities Use'!O254+'Core Commodities Use'!O271</f>
        <v>171584.81059735437</v>
      </c>
      <c r="P125" s="98">
        <f>'Core Commodities Use'!P254+'Core Commodities Use'!P271</f>
        <v>171584.81059735437</v>
      </c>
      <c r="Q125" s="98">
        <f>'Core Commodities Use'!Q254+'Core Commodities Use'!Q271</f>
        <v>171211.48845044107</v>
      </c>
      <c r="R125" s="98">
        <f>'Core Commodities Use'!R254+'Core Commodities Use'!R271</f>
        <v>171211.48845044107</v>
      </c>
      <c r="S125" s="98">
        <f>'Core Commodities Use'!S254+'Core Commodities Use'!S271</f>
        <v>203880.03412168735</v>
      </c>
      <c r="T125" s="98">
        <f>'Core Commodities Use'!T254+'Core Commodities Use'!T271</f>
        <v>203880.03412168735</v>
      </c>
      <c r="U125" s="98">
        <f>'Core Commodities Use'!U254+'Core Commodities Use'!U271</f>
        <v>203668.07436934975</v>
      </c>
      <c r="V125" s="98">
        <f>'Core Commodities Use'!V254+'Core Commodities Use'!V271</f>
        <v>203668.07436934975</v>
      </c>
      <c r="W125" s="98">
        <f>'Core Commodities Use'!W254+'Core Commodities Use'!W271</f>
        <v>203295.93165001943</v>
      </c>
      <c r="X125" s="98">
        <f>'Core Commodities Use'!X254+'Core Commodities Use'!X271</f>
        <v>203295.93165001943</v>
      </c>
      <c r="Y125" s="98">
        <f>'Core Commodities Use'!Y254+'Core Commodities Use'!Y271</f>
        <v>203295.93165001943</v>
      </c>
      <c r="Z125" s="98">
        <f>'Core Commodities Use'!Z254+'Core Commodities Use'!Z271</f>
        <v>203295.93165001943</v>
      </c>
      <c r="AA125" s="98">
        <f>'Core Commodities Use'!AA254+'Core Commodities Use'!AA271</f>
        <v>203295.93165001943</v>
      </c>
      <c r="AB125" s="98">
        <f>'Core Commodities Use'!AB254+'Core Commodities Use'!AB271</f>
        <v>203295.93165001943</v>
      </c>
      <c r="AC125" s="98">
        <f>'Core Commodities Use'!AC254+'Core Commodities Use'!AC271</f>
        <v>202386.0489381908</v>
      </c>
      <c r="AD125" s="98">
        <f>'Core Commodities Use'!AD254+'Core Commodities Use'!AD271</f>
        <v>202386.0489381908</v>
      </c>
      <c r="AE125" s="98">
        <f>'Core Commodities Use'!AE254+'Core Commodities Use'!AE271</f>
        <v>202386.0489381908</v>
      </c>
      <c r="AF125" s="98">
        <f>'Core Commodities Use'!AF254+'Core Commodities Use'!AF271</f>
        <v>202386.0489381908</v>
      </c>
      <c r="AG125" s="98">
        <f>'Core Commodities Use'!AG254+'Core Commodities Use'!AG271</f>
        <v>202386.0489381908</v>
      </c>
      <c r="AH125" s="53">
        <f t="shared" si="14"/>
        <v>5817302.3301715292</v>
      </c>
      <c r="AI125"/>
      <c r="AJ125" s="23" t="s">
        <v>317</v>
      </c>
      <c r="AZ125"/>
      <c r="BA125"/>
      <c r="BB125"/>
      <c r="BC125"/>
      <c r="BD125"/>
      <c r="BE125"/>
      <c r="BF125"/>
      <c r="BG125"/>
      <c r="BH125"/>
      <c r="BI125"/>
      <c r="BJ125"/>
      <c r="BK125"/>
      <c r="BL125"/>
      <c r="BM125"/>
      <c r="BN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row>
    <row r="126" spans="2:103" s="1" customFormat="1" hidden="1" outlineLevel="1" x14ac:dyDescent="0.25">
      <c r="B126" t="s">
        <v>312</v>
      </c>
      <c r="C126" t="s">
        <v>313</v>
      </c>
      <c r="D126" s="98">
        <f>D123*'Global Inputs'!C$83+Outputs!D124*CO2_emissions_gas_tons_per_therm</f>
        <v>210153.43197440394</v>
      </c>
      <c r="E126" s="98">
        <f>E123*'Global Inputs'!D$83+Outputs!E124*CO2_emissions_gas_tons_per_therm</f>
        <v>210153.43197440394</v>
      </c>
      <c r="F126" s="98">
        <f>F123*'Global Inputs'!E$83+Outputs!F124*CO2_emissions_gas_tons_per_therm</f>
        <v>17246.337834109967</v>
      </c>
      <c r="G126" s="98">
        <f>G123*'Global Inputs'!F$83+Outputs!G124*CO2_emissions_gas_tons_per_therm</f>
        <v>17246.337834109967</v>
      </c>
      <c r="H126" s="98">
        <f>H123*'Global Inputs'!G$83+Outputs!H124*CO2_emissions_gas_tons_per_therm</f>
        <v>17246.337834109967</v>
      </c>
      <c r="I126" s="98">
        <f>I123*'Global Inputs'!H$83+Outputs!I124*CO2_emissions_gas_tons_per_therm</f>
        <v>17246.337834109967</v>
      </c>
      <c r="J126" s="98">
        <f>J123*'Global Inputs'!I$83+Outputs!J124*CO2_emissions_gas_tons_per_therm</f>
        <v>17246.337834109967</v>
      </c>
      <c r="K126" s="98">
        <f>K123*'Global Inputs'!J$83+Outputs!K124*CO2_emissions_gas_tons_per_therm</f>
        <v>17246.337834109967</v>
      </c>
      <c r="L126" s="98">
        <f>L123*'Global Inputs'!K$83+Outputs!L124*CO2_emissions_gas_tons_per_therm</f>
        <v>17246.337834109967</v>
      </c>
      <c r="M126" s="98">
        <f>M123*'Global Inputs'!L$83+Outputs!M124*CO2_emissions_gas_tons_per_therm</f>
        <v>15775.304083080562</v>
      </c>
      <c r="N126" s="98">
        <f>N123*'Global Inputs'!M$83+Outputs!N124*CO2_emissions_gas_tons_per_therm</f>
        <v>15775.304083080562</v>
      </c>
      <c r="O126" s="98">
        <f>O123*'Global Inputs'!N$83+Outputs!O124*CO2_emissions_gas_tons_per_therm</f>
        <v>15557.482932846015</v>
      </c>
      <c r="P126" s="98">
        <f>P123*'Global Inputs'!O$83+Outputs!P124*CO2_emissions_gas_tons_per_therm</f>
        <v>15557.482932846015</v>
      </c>
      <c r="Q126" s="98">
        <f>Q123*'Global Inputs'!P$83+Outputs!Q124*CO2_emissions_gas_tons_per_therm</f>
        <v>15531.206502435245</v>
      </c>
      <c r="R126" s="98">
        <f>R123*'Global Inputs'!Q$83+Outputs!R124*CO2_emissions_gas_tons_per_therm</f>
        <v>15531.206502435245</v>
      </c>
      <c r="S126" s="98">
        <f>S123*'Global Inputs'!R$83+Outputs!S124*CO2_emissions_gas_tons_per_therm</f>
        <v>21399.138979808795</v>
      </c>
      <c r="T126" s="98">
        <f>T123*'Global Inputs'!S$83+Outputs!T124*CO2_emissions_gas_tons_per_therm</f>
        <v>21399.138979808795</v>
      </c>
      <c r="U126" s="98">
        <f>U123*'Global Inputs'!T$83+Outputs!U124*CO2_emissions_gas_tons_per_therm</f>
        <v>21118.948243988834</v>
      </c>
      <c r="V126" s="98">
        <f>V123*'Global Inputs'!U$83+Outputs!V124*CO2_emissions_gas_tons_per_therm</f>
        <v>21118.948243988834</v>
      </c>
      <c r="W126" s="98">
        <f>W123*'Global Inputs'!V$83+Outputs!W124*CO2_emissions_gas_tons_per_therm</f>
        <v>21118.948243988834</v>
      </c>
      <c r="X126" s="98">
        <f>X123*'Global Inputs'!W$83+Outputs!X124*CO2_emissions_gas_tons_per_therm</f>
        <v>21118.948243988834</v>
      </c>
      <c r="Y126" s="98">
        <f>Y123*'Global Inputs'!X$83+Outputs!Y124*CO2_emissions_gas_tons_per_therm</f>
        <v>21118.948243988834</v>
      </c>
      <c r="Z126" s="98">
        <f>Z123*'Global Inputs'!Y$83+Outputs!Z124*CO2_emissions_gas_tons_per_therm</f>
        <v>21118.948243988834</v>
      </c>
      <c r="AA126" s="98">
        <f>AA123*'Global Inputs'!Z$83+Outputs!AA124*CO2_emissions_gas_tons_per_therm</f>
        <v>21118.948243988834</v>
      </c>
      <c r="AB126" s="98">
        <f>AB123*'Global Inputs'!AA$83+Outputs!AB124*CO2_emissions_gas_tons_per_therm</f>
        <v>21118.948243988834</v>
      </c>
      <c r="AC126" s="98">
        <f>AC123*'Global Inputs'!AB$83+Outputs!AC124*CO2_emissions_gas_tons_per_therm</f>
        <v>20825.901205893064</v>
      </c>
      <c r="AD126" s="98">
        <f>AD123*'Global Inputs'!AC$83+Outputs!AD124*CO2_emissions_gas_tons_per_therm</f>
        <v>20825.901205893064</v>
      </c>
      <c r="AE126" s="98">
        <f>AE123*'Global Inputs'!AD$83+Outputs!AE124*CO2_emissions_gas_tons_per_therm</f>
        <v>20825.901205893064</v>
      </c>
      <c r="AF126" s="98">
        <f>AF123*'Global Inputs'!AE$83+Outputs!AF124*CO2_emissions_gas_tons_per_therm</f>
        <v>20825.901205893064</v>
      </c>
      <c r="AG126" s="98">
        <f>AG123*'Global Inputs'!AF$83+Outputs!AG124*CO2_emissions_gas_tons_per_therm</f>
        <v>20825.901205893064</v>
      </c>
      <c r="AH126" s="53">
        <f t="shared" ref="AH126" si="15">SUM(D126:AG126)</f>
        <v>950638.5857652945</v>
      </c>
      <c r="AI126"/>
      <c r="AJ126" s="23"/>
      <c r="AZ126"/>
      <c r="BA126"/>
      <c r="BB126"/>
      <c r="BC126"/>
      <c r="BD126"/>
      <c r="BE126"/>
      <c r="BF126"/>
      <c r="BG126"/>
      <c r="BH126"/>
      <c r="BI126"/>
      <c r="BJ126"/>
      <c r="BK126"/>
      <c r="BL126"/>
      <c r="BM126"/>
      <c r="BN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row>
    <row r="127" spans="2:103" hidden="1" outlineLevel="1" x14ac:dyDescent="0.25">
      <c r="B127" t="s">
        <v>314</v>
      </c>
      <c r="C127" t="s">
        <v>315</v>
      </c>
      <c r="AG127" s="51">
        <f>AG123*Btuh_per_W/'Global Inputs'!$D$17+AG124*'Global Inputs'!$D$16/'Global Inputs'!$D$17/'Global Inputs'!$D$17</f>
        <v>1206554.6808563459</v>
      </c>
      <c r="AH127" s="53">
        <f>AH123*Btuh_per_W/'Global Inputs'!$D$17+AH124*'Global Inputs'!$D$16/'Global Inputs'!$D$17/'Global Inputs'!$D$17</f>
        <v>37994636.105346277</v>
      </c>
    </row>
    <row r="128" spans="2:103" ht="15.75" collapsed="1" thickTop="1" x14ac:dyDescent="0.25"/>
    <row r="129" spans="2:137" s="1" customFormat="1" x14ac:dyDescent="0.25">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57"/>
      <c r="AY129"/>
      <c r="AZ129"/>
      <c r="BA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row>
    <row r="130" spans="2:137" s="1" customFormat="1" x14ac:dyDescent="0.25">
      <c r="D130" s="87"/>
      <c r="E130" s="87"/>
      <c r="F130" s="87"/>
      <c r="G130" s="87"/>
      <c r="H130" s="87"/>
      <c r="I130" s="87"/>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57"/>
      <c r="AY130"/>
      <c r="AZ130"/>
      <c r="BA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row>
    <row r="131" spans="2:137" ht="20.25" thickBot="1" x14ac:dyDescent="0.35">
      <c r="B131" s="18" t="s">
        <v>168</v>
      </c>
      <c r="C131" s="18"/>
      <c r="D131" s="95"/>
      <c r="E131" s="95"/>
      <c r="F131" s="95"/>
      <c r="G131" s="95"/>
      <c r="H131" s="95"/>
      <c r="I131" s="95"/>
      <c r="J131" s="95"/>
      <c r="K131" s="95"/>
      <c r="L131" s="95"/>
      <c r="M131" s="95"/>
      <c r="N131" s="95"/>
      <c r="O131" s="95"/>
      <c r="P131" s="95"/>
      <c r="Q131" s="95"/>
      <c r="R131" s="95"/>
      <c r="S131" s="95"/>
      <c r="T131" s="95"/>
      <c r="U131" s="95"/>
      <c r="V131" s="95"/>
      <c r="W131" s="95"/>
      <c r="X131" s="95"/>
      <c r="Y131" s="95"/>
      <c r="Z131" s="95"/>
      <c r="AA131" s="95"/>
      <c r="AB131" s="95"/>
      <c r="AC131" s="95"/>
      <c r="AD131" s="95"/>
      <c r="AE131" s="95"/>
      <c r="AF131" s="95"/>
      <c r="AG131" s="95"/>
      <c r="AH131" s="58"/>
      <c r="AI131" s="18"/>
      <c r="AJ131" s="18"/>
      <c r="AK131" s="18"/>
      <c r="AL131" s="18"/>
      <c r="AM131" s="18" t="s">
        <v>307</v>
      </c>
      <c r="AN131" s="18"/>
      <c r="AO131" s="18"/>
      <c r="AP131" s="18"/>
      <c r="AQ131" s="18"/>
      <c r="AR131" s="18"/>
      <c r="AS131" s="18"/>
      <c r="AT131" s="18"/>
      <c r="AU131" s="18"/>
      <c r="AV131" s="18"/>
      <c r="AW131" s="18"/>
      <c r="AX131" s="18"/>
      <c r="AY131" s="18"/>
      <c r="AZ131" s="18" t="s">
        <v>308</v>
      </c>
      <c r="BA131" s="18"/>
      <c r="BB131" s="18"/>
      <c r="BC131" s="18"/>
      <c r="BD131" s="18"/>
      <c r="BE131" s="18"/>
      <c r="BF131" s="18"/>
      <c r="BG131" s="18"/>
      <c r="BH131" s="18"/>
      <c r="BI131" s="18"/>
      <c r="BJ131" s="18"/>
      <c r="BK131" s="18"/>
      <c r="BL131" s="18"/>
      <c r="BM131" s="18"/>
    </row>
    <row r="132" spans="2:137" s="1" customFormat="1" ht="18" outlineLevel="1" thickTop="1" thickBot="1" x14ac:dyDescent="0.3">
      <c r="B132" s="19" t="s">
        <v>276</v>
      </c>
      <c r="C132" s="19"/>
      <c r="D132" s="96"/>
      <c r="E132" s="96"/>
      <c r="F132" s="96"/>
      <c r="G132" s="96"/>
      <c r="H132" s="96"/>
      <c r="I132" s="96"/>
      <c r="J132" s="96"/>
      <c r="K132" s="96"/>
      <c r="L132" s="96"/>
      <c r="M132" s="96"/>
      <c r="N132" s="96"/>
      <c r="O132" s="96"/>
      <c r="P132" s="96"/>
      <c r="Q132" s="96"/>
      <c r="R132" s="96"/>
      <c r="S132" s="96"/>
      <c r="T132" s="96"/>
      <c r="U132" s="96"/>
      <c r="V132" s="96"/>
      <c r="W132" s="96"/>
      <c r="X132" s="96"/>
      <c r="Y132" s="96"/>
      <c r="Z132" s="96"/>
      <c r="AA132" s="96"/>
      <c r="AB132" s="96"/>
      <c r="AC132" s="96"/>
      <c r="AD132" s="96"/>
      <c r="AE132" s="96"/>
      <c r="AF132" s="96"/>
      <c r="AG132" s="96"/>
      <c r="AH132" s="55"/>
      <c r="AI132" s="19"/>
      <c r="AJ132" s="19"/>
      <c r="AM132" s="19" t="s">
        <v>309</v>
      </c>
      <c r="AN132" s="19"/>
      <c r="AO132" s="19"/>
      <c r="AP132" s="19"/>
      <c r="AQ132" s="19"/>
      <c r="AR132" s="19"/>
      <c r="AS132" s="19"/>
      <c r="AT132" s="19"/>
      <c r="AU132" s="19"/>
      <c r="AV132" s="19"/>
      <c r="AW132" s="19"/>
      <c r="AX132" s="19"/>
      <c r="AZ132" s="19" t="s">
        <v>309</v>
      </c>
      <c r="BA132" s="19"/>
      <c r="BB132" s="19"/>
      <c r="BC132" s="19"/>
      <c r="BD132" s="19"/>
      <c r="BE132" s="19"/>
      <c r="BF132" s="19"/>
      <c r="BG132" s="19"/>
      <c r="BH132" s="19"/>
      <c r="BI132" s="19"/>
      <c r="BJ132" s="19"/>
      <c r="BK132" s="19"/>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row>
    <row r="133" spans="2:137" s="1" customFormat="1" ht="16.5" outlineLevel="1" thickTop="1" thickBot="1" x14ac:dyDescent="0.3">
      <c r="B133" s="20" t="s">
        <v>310</v>
      </c>
      <c r="C133" s="20" t="s">
        <v>13</v>
      </c>
      <c r="D133" s="97" t="s">
        <v>17</v>
      </c>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20" t="s">
        <v>224</v>
      </c>
      <c r="AI133" s="20"/>
      <c r="AJ133" s="20" t="s">
        <v>15</v>
      </c>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row>
    <row r="134" spans="2:137" outlineLevel="1" x14ac:dyDescent="0.25">
      <c r="D134" s="100">
        <f>'Core Loads'!$C$14</f>
        <v>2025</v>
      </c>
      <c r="E134" s="100">
        <f>'Core Loads'!$D$14</f>
        <v>2026</v>
      </c>
      <c r="F134" s="100">
        <f>'Core Loads'!$E$14</f>
        <v>2027</v>
      </c>
      <c r="G134" s="100">
        <f>'Core Loads'!$F$14</f>
        <v>2028</v>
      </c>
      <c r="H134" s="100">
        <f>'Core Loads'!$G$14</f>
        <v>2029</v>
      </c>
      <c r="I134" s="100">
        <f>'Core Loads'!$H$14</f>
        <v>2030</v>
      </c>
      <c r="J134" s="100">
        <f>'Core Loads'!$I$14</f>
        <v>2031</v>
      </c>
      <c r="K134" s="100">
        <f>'Core Loads'!$J$14</f>
        <v>2032</v>
      </c>
      <c r="L134" s="100">
        <f>'Core Loads'!$K$14</f>
        <v>2033</v>
      </c>
      <c r="M134" s="100">
        <f>'Core Loads'!$L$14</f>
        <v>2034</v>
      </c>
      <c r="N134" s="100">
        <f>'Core Loads'!$M$14</f>
        <v>2035</v>
      </c>
      <c r="O134" s="100">
        <f>'Core Loads'!$N$14</f>
        <v>2036</v>
      </c>
      <c r="P134" s="100">
        <f>'Core Loads'!$O$14</f>
        <v>2037</v>
      </c>
      <c r="Q134" s="100">
        <f>'Core Loads'!$P$14</f>
        <v>2038</v>
      </c>
      <c r="R134" s="100">
        <f>'Core Loads'!$Q$14</f>
        <v>2039</v>
      </c>
      <c r="S134" s="100">
        <f>'Core Loads'!$R$14</f>
        <v>2040</v>
      </c>
      <c r="T134" s="100">
        <f>'Core Loads'!$S$14</f>
        <v>2041</v>
      </c>
      <c r="U134" s="100">
        <f>'Core Loads'!$T$14</f>
        <v>2042</v>
      </c>
      <c r="V134" s="100">
        <f>'Core Loads'!$U$14</f>
        <v>2043</v>
      </c>
      <c r="W134" s="100">
        <f>'Core Loads'!$V$14</f>
        <v>2044</v>
      </c>
      <c r="X134" s="100">
        <f>'Core Loads'!$W$14</f>
        <v>2045</v>
      </c>
      <c r="Y134" s="100">
        <f>'Core Loads'!$X$14</f>
        <v>2046</v>
      </c>
      <c r="Z134" s="100">
        <f>'Core Loads'!$Y$14</f>
        <v>2047</v>
      </c>
      <c r="AA134" s="100">
        <f>'Core Loads'!$Z$14</f>
        <v>2048</v>
      </c>
      <c r="AB134" s="100">
        <f>'Core Loads'!$AA$14</f>
        <v>2049</v>
      </c>
      <c r="AC134" s="100">
        <f>'Core Loads'!$AB$14</f>
        <v>2050</v>
      </c>
      <c r="AD134" s="100">
        <f>'Core Loads'!$AC$14</f>
        <v>2051</v>
      </c>
      <c r="AE134" s="100">
        <f>'Core Loads'!$AD$14</f>
        <v>2052</v>
      </c>
      <c r="AF134" s="100">
        <f>'Core Loads'!$AE$14</f>
        <v>2053</v>
      </c>
      <c r="AG134" s="100">
        <f>'Core Loads'!$AF$14</f>
        <v>2054</v>
      </c>
      <c r="AH134" s="8"/>
    </row>
    <row r="135" spans="2:137" s="1" customFormat="1" outlineLevel="1" x14ac:dyDescent="0.25">
      <c r="B135" t="s">
        <v>141</v>
      </c>
      <c r="C135" t="s">
        <v>109</v>
      </c>
      <c r="D135" s="98">
        <f>D15-'Enhancement Inputs'!D$125</f>
        <v>0</v>
      </c>
      <c r="E135" s="98">
        <f>E15-'Enhancement Inputs'!E$125</f>
        <v>0</v>
      </c>
      <c r="F135" s="98">
        <f>F15-'Enhancement Inputs'!F$125</f>
        <v>0</v>
      </c>
      <c r="G135" s="98">
        <f>G15-'Enhancement Inputs'!G$125</f>
        <v>0</v>
      </c>
      <c r="H135" s="98">
        <f>H15-'Enhancement Inputs'!H$125</f>
        <v>0</v>
      </c>
      <c r="I135" s="98">
        <f>I15-'Enhancement Inputs'!I$125</f>
        <v>16120936.061962306</v>
      </c>
      <c r="J135" s="98">
        <f>J15-'Enhancement Inputs'!J$125</f>
        <v>16120936.061962306</v>
      </c>
      <c r="K135" s="98">
        <f>K15-'Enhancement Inputs'!K$125</f>
        <v>15369930.189866841</v>
      </c>
      <c r="L135" s="98">
        <f>L15-'Enhancement Inputs'!L$125</f>
        <v>15369930.189866841</v>
      </c>
      <c r="M135" s="98">
        <f>M15-'Enhancement Inputs'!M$125</f>
        <v>15619355.110337764</v>
      </c>
      <c r="N135" s="98">
        <f>N15-'Enhancement Inputs'!N$125</f>
        <v>15619355.110337764</v>
      </c>
      <c r="O135" s="98">
        <f>O15-'Enhancement Inputs'!O$125</f>
        <v>14493235.714921474</v>
      </c>
      <c r="P135" s="98">
        <f>P15-'Enhancement Inputs'!P$125</f>
        <v>14493235.714921474</v>
      </c>
      <c r="Q135" s="98">
        <f>Q15-'Enhancement Inputs'!Q$125</f>
        <v>14406600.08308357</v>
      </c>
      <c r="R135" s="98">
        <f>R15-'Enhancement Inputs'!R$125</f>
        <v>14406600.08308357</v>
      </c>
      <c r="S135" s="98">
        <f>S15-'Enhancement Inputs'!S$125</f>
        <v>56453362.99320361</v>
      </c>
      <c r="T135" s="98">
        <f>T15-'Enhancement Inputs'!T$125</f>
        <v>56453362.99320361</v>
      </c>
      <c r="U135" s="98">
        <f>U15-'Enhancement Inputs'!U$125</f>
        <v>56453362.99320361</v>
      </c>
      <c r="V135" s="98">
        <f>V15-'Enhancement Inputs'!V$125</f>
        <v>56453362.99320361</v>
      </c>
      <c r="W135" s="98">
        <f>W15-'Enhancement Inputs'!W$125</f>
        <v>55851163.225441098</v>
      </c>
      <c r="X135" s="98">
        <f>X15-'Enhancement Inputs'!X$125</f>
        <v>55851163.225441098</v>
      </c>
      <c r="Y135" s="98">
        <f>Y15-'Enhancement Inputs'!Y$125</f>
        <v>55851163.225441098</v>
      </c>
      <c r="Z135" s="98">
        <f>Z15-'Enhancement Inputs'!Z$125</f>
        <v>55851163.225441098</v>
      </c>
      <c r="AA135" s="98">
        <f>AA15-'Enhancement Inputs'!AA$125</f>
        <v>55851163.225441098</v>
      </c>
      <c r="AB135" s="98">
        <f>AB15-'Enhancement Inputs'!AB$125</f>
        <v>55851163.225441098</v>
      </c>
      <c r="AC135" s="98">
        <f>AC15-'Enhancement Inputs'!AC$125</f>
        <v>55108147.051527828</v>
      </c>
      <c r="AD135" s="98">
        <f>AD15-'Enhancement Inputs'!AD$125</f>
        <v>55108147.051527828</v>
      </c>
      <c r="AE135" s="98">
        <f>AE15-'Enhancement Inputs'!AE$125</f>
        <v>55108147.051527828</v>
      </c>
      <c r="AF135" s="98">
        <f>AF15-'Enhancement Inputs'!AF$125</f>
        <v>55108147.051527828</v>
      </c>
      <c r="AG135" s="98">
        <f>AG15-'Enhancement Inputs'!AG$125</f>
        <v>55108147.051527828</v>
      </c>
      <c r="AH135" s="53">
        <f>SUM(D135:AG135)</f>
        <v>988481280.90344429</v>
      </c>
      <c r="AI135"/>
      <c r="AJ135" s="23" t="s">
        <v>317</v>
      </c>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s="87"/>
      <c r="EG135" s="87"/>
    </row>
    <row r="136" spans="2:137" s="1" customFormat="1" outlineLevel="1" x14ac:dyDescent="0.25">
      <c r="B136" t="s">
        <v>136</v>
      </c>
      <c r="C136" t="s">
        <v>169</v>
      </c>
      <c r="D136" s="98">
        <f>D16</f>
        <v>32306018.995659515</v>
      </c>
      <c r="E136" s="98">
        <f t="shared" ref="E136:AG136" si="16">E16</f>
        <v>32306018.995659515</v>
      </c>
      <c r="F136" s="98">
        <f t="shared" si="16"/>
        <v>30132827.331343558</v>
      </c>
      <c r="G136" s="98">
        <f t="shared" si="16"/>
        <v>29794799.628082097</v>
      </c>
      <c r="H136" s="98">
        <f t="shared" si="16"/>
        <v>29794799.628082097</v>
      </c>
      <c r="I136" s="98">
        <f t="shared" si="16"/>
        <v>27449723.843706705</v>
      </c>
      <c r="J136" s="98">
        <f t="shared" si="16"/>
        <v>27449723.843706705</v>
      </c>
      <c r="K136" s="98">
        <f t="shared" si="16"/>
        <v>20733939.16920644</v>
      </c>
      <c r="L136" s="98">
        <f t="shared" si="16"/>
        <v>20733939.16920644</v>
      </c>
      <c r="M136" s="98">
        <f t="shared" si="16"/>
        <v>20515133.018525284</v>
      </c>
      <c r="N136" s="98">
        <f t="shared" si="16"/>
        <v>20515133.018525284</v>
      </c>
      <c r="O136" s="98">
        <f t="shared" si="16"/>
        <v>20165629.343511086</v>
      </c>
      <c r="P136" s="98">
        <f t="shared" si="16"/>
        <v>20165629.343511086</v>
      </c>
      <c r="Q136" s="98">
        <f t="shared" si="16"/>
        <v>20079479.187881581</v>
      </c>
      <c r="R136" s="98">
        <f t="shared" si="16"/>
        <v>20079479.187881581</v>
      </c>
      <c r="S136" s="98">
        <f t="shared" si="16"/>
        <v>21078142.05741189</v>
      </c>
      <c r="T136" s="98">
        <f t="shared" si="16"/>
        <v>21078142.05741189</v>
      </c>
      <c r="U136" s="98">
        <f t="shared" si="16"/>
        <v>21036465.612994228</v>
      </c>
      <c r="V136" s="98">
        <f t="shared" si="16"/>
        <v>21036465.612994228</v>
      </c>
      <c r="W136" s="98">
        <f t="shared" si="16"/>
        <v>20992982.374243401</v>
      </c>
      <c r="X136" s="98">
        <f t="shared" si="16"/>
        <v>20992982.374243401</v>
      </c>
      <c r="Y136" s="98">
        <f t="shared" si="16"/>
        <v>20992982.374243401</v>
      </c>
      <c r="Z136" s="98">
        <f t="shared" si="16"/>
        <v>20992982.374243401</v>
      </c>
      <c r="AA136" s="98">
        <f t="shared" si="16"/>
        <v>20992982.374243401</v>
      </c>
      <c r="AB136" s="98">
        <f t="shared" si="16"/>
        <v>20992982.374243401</v>
      </c>
      <c r="AC136" s="98">
        <f t="shared" si="16"/>
        <v>20949393.643305462</v>
      </c>
      <c r="AD136" s="98">
        <f t="shared" si="16"/>
        <v>20949393.643305462</v>
      </c>
      <c r="AE136" s="98">
        <f t="shared" si="16"/>
        <v>20949393.643305462</v>
      </c>
      <c r="AF136" s="98">
        <f t="shared" si="16"/>
        <v>20949393.643305462</v>
      </c>
      <c r="AG136" s="98">
        <f t="shared" si="16"/>
        <v>20949393.643305462</v>
      </c>
      <c r="AH136" s="53">
        <f t="shared" ref="AH136:AH137" si="17">SUM(D136:AG136)</f>
        <v>687156351.50728881</v>
      </c>
      <c r="AI136"/>
      <c r="AJ136" s="23" t="s">
        <v>317</v>
      </c>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row>
    <row r="137" spans="2:137" s="1" customFormat="1" outlineLevel="1" x14ac:dyDescent="0.25">
      <c r="B137" t="s">
        <v>154</v>
      </c>
      <c r="C137" t="s">
        <v>170</v>
      </c>
      <c r="D137" s="98">
        <f>D17</f>
        <v>244502.94162997318</v>
      </c>
      <c r="E137" s="98">
        <f t="shared" ref="E137:AG137" si="18">E17</f>
        <v>263270.76555360644</v>
      </c>
      <c r="F137" s="98">
        <f t="shared" si="18"/>
        <v>242776.84616745566</v>
      </c>
      <c r="G137" s="98">
        <f t="shared" si="18"/>
        <v>262367.12817555445</v>
      </c>
      <c r="H137" s="98">
        <f t="shared" si="18"/>
        <v>262367.12817555445</v>
      </c>
      <c r="I137" s="98">
        <f t="shared" si="18"/>
        <v>270875.83454919013</v>
      </c>
      <c r="J137" s="98">
        <f t="shared" si="18"/>
        <v>270875.83454919013</v>
      </c>
      <c r="K137" s="98">
        <f t="shared" si="18"/>
        <v>260455.06022020319</v>
      </c>
      <c r="L137" s="98">
        <f t="shared" si="18"/>
        <v>260455.06022020319</v>
      </c>
      <c r="M137" s="98">
        <f t="shared" si="18"/>
        <v>262015.96304573605</v>
      </c>
      <c r="N137" s="98">
        <f t="shared" si="18"/>
        <v>262015.96304573605</v>
      </c>
      <c r="O137" s="98">
        <f t="shared" si="18"/>
        <v>258895.12716426712</v>
      </c>
      <c r="P137" s="98">
        <f t="shared" si="18"/>
        <v>258895.12716426712</v>
      </c>
      <c r="Q137" s="98">
        <f t="shared" si="18"/>
        <v>258186.918357205</v>
      </c>
      <c r="R137" s="98">
        <f t="shared" si="18"/>
        <v>258186.918357205</v>
      </c>
      <c r="S137" s="98">
        <f t="shared" si="18"/>
        <v>292697.91370478703</v>
      </c>
      <c r="T137" s="98">
        <f t="shared" si="18"/>
        <v>292697.91370478703</v>
      </c>
      <c r="U137" s="98">
        <f t="shared" si="18"/>
        <v>292485.95395244943</v>
      </c>
      <c r="V137" s="98">
        <f t="shared" si="18"/>
        <v>292485.95395244943</v>
      </c>
      <c r="W137" s="98">
        <f t="shared" si="18"/>
        <v>291756.69440303242</v>
      </c>
      <c r="X137" s="98">
        <f t="shared" si="18"/>
        <v>291756.69440303242</v>
      </c>
      <c r="Y137" s="98">
        <f t="shared" si="18"/>
        <v>291756.69440303242</v>
      </c>
      <c r="Z137" s="98">
        <f t="shared" si="18"/>
        <v>291756.69440303242</v>
      </c>
      <c r="AA137" s="98">
        <f t="shared" si="18"/>
        <v>291756.69440303242</v>
      </c>
      <c r="AB137" s="98">
        <f t="shared" si="18"/>
        <v>291756.69440303242</v>
      </c>
      <c r="AC137" s="98">
        <f t="shared" si="18"/>
        <v>290846.81169120385</v>
      </c>
      <c r="AD137" s="98">
        <f t="shared" si="18"/>
        <v>290846.81169120385</v>
      </c>
      <c r="AE137" s="98">
        <f t="shared" si="18"/>
        <v>290846.81169120385</v>
      </c>
      <c r="AF137" s="98">
        <f t="shared" si="18"/>
        <v>290846.81169120385</v>
      </c>
      <c r="AG137" s="98">
        <f t="shared" si="18"/>
        <v>290846.81169120385</v>
      </c>
      <c r="AH137" s="53">
        <f t="shared" si="17"/>
        <v>8271284.5765640363</v>
      </c>
      <c r="AI137"/>
      <c r="AJ137" s="23" t="s">
        <v>317</v>
      </c>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row>
    <row r="138" spans="2:137" s="1" customFormat="1" outlineLevel="1" x14ac:dyDescent="0.25">
      <c r="B138" t="s">
        <v>312</v>
      </c>
      <c r="C138" t="s">
        <v>313</v>
      </c>
      <c r="D138" s="98">
        <f>D135*'Global Inputs'!C$83+Outputs!D136*CO2_emissions_gas_tons_per_therm</f>
        <v>217193.36570781891</v>
      </c>
      <c r="E138" s="98">
        <f>E135*'Global Inputs'!D$83+Outputs!E136*CO2_emissions_gas_tons_per_therm</f>
        <v>217193.36570781891</v>
      </c>
      <c r="F138" s="98">
        <f>F135*'Global Inputs'!E$83+Outputs!F136*CO2_emissions_gas_tons_per_therm</f>
        <v>202582.99814862272</v>
      </c>
      <c r="G138" s="98">
        <f>G135*'Global Inputs'!F$83+Outputs!G136*CO2_emissions_gas_tons_per_therm</f>
        <v>200310.43789959594</v>
      </c>
      <c r="H138" s="98">
        <f>H135*'Global Inputs'!G$83+Outputs!H136*CO2_emissions_gas_tons_per_therm</f>
        <v>200310.43789959594</v>
      </c>
      <c r="I138" s="98">
        <f>I135*'Global Inputs'!H$83+Outputs!I136*CO2_emissions_gas_tons_per_therm</f>
        <v>184544.49340124018</v>
      </c>
      <c r="J138" s="98">
        <f>J135*'Global Inputs'!I$83+Outputs!J136*CO2_emissions_gas_tons_per_therm</f>
        <v>184544.49340124018</v>
      </c>
      <c r="K138" s="98">
        <f>K135*'Global Inputs'!J$83+Outputs!K136*CO2_emissions_gas_tons_per_therm</f>
        <v>139394.2730345749</v>
      </c>
      <c r="L138" s="98">
        <f>L135*'Global Inputs'!K$83+Outputs!L136*CO2_emissions_gas_tons_per_therm</f>
        <v>139394.2730345749</v>
      </c>
      <c r="M138" s="98">
        <f>M135*'Global Inputs'!L$83+Outputs!M136*CO2_emissions_gas_tons_per_therm</f>
        <v>137923.23928354547</v>
      </c>
      <c r="N138" s="98">
        <f>N135*'Global Inputs'!M$83+Outputs!N136*CO2_emissions_gas_tons_per_therm</f>
        <v>137923.23928354547</v>
      </c>
      <c r="O138" s="98">
        <f>O135*'Global Inputs'!N$83+Outputs!O136*CO2_emissions_gas_tons_per_therm</f>
        <v>135573.52607642504</v>
      </c>
      <c r="P138" s="98">
        <f>P135*'Global Inputs'!O$83+Outputs!P136*CO2_emissions_gas_tons_per_therm</f>
        <v>135573.52607642504</v>
      </c>
      <c r="Q138" s="98">
        <f>Q135*'Global Inputs'!P$83+Outputs!Q136*CO2_emissions_gas_tons_per_therm</f>
        <v>134994.33858012786</v>
      </c>
      <c r="R138" s="98">
        <f>R135*'Global Inputs'!Q$83+Outputs!R136*CO2_emissions_gas_tons_per_therm</f>
        <v>134994.33858012786</v>
      </c>
      <c r="S138" s="98">
        <f>S135*'Global Inputs'!R$83+Outputs!S136*CO2_emissions_gas_tons_per_therm</f>
        <v>141708.34905198013</v>
      </c>
      <c r="T138" s="98">
        <f>T135*'Global Inputs'!S$83+Outputs!T136*CO2_emissions_gas_tons_per_therm</f>
        <v>141708.34905198013</v>
      </c>
      <c r="U138" s="98">
        <f>U135*'Global Inputs'!T$83+Outputs!U136*CO2_emissions_gas_tons_per_therm</f>
        <v>141428.15831616017</v>
      </c>
      <c r="V138" s="98">
        <f>V135*'Global Inputs'!U$83+Outputs!V136*CO2_emissions_gas_tons_per_therm</f>
        <v>141428.15831616017</v>
      </c>
      <c r="W138" s="98">
        <f>W135*'Global Inputs'!V$83+Outputs!W136*CO2_emissions_gas_tons_per_therm</f>
        <v>141135.82050203838</v>
      </c>
      <c r="X138" s="98">
        <f>X135*'Global Inputs'!W$83+Outputs!X136*CO2_emissions_gas_tons_per_therm</f>
        <v>141135.82050203838</v>
      </c>
      <c r="Y138" s="98">
        <f>Y135*'Global Inputs'!X$83+Outputs!Y136*CO2_emissions_gas_tons_per_therm</f>
        <v>141135.82050203838</v>
      </c>
      <c r="Z138" s="98">
        <f>Z135*'Global Inputs'!Y$83+Outputs!Z136*CO2_emissions_gas_tons_per_therm</f>
        <v>141135.82050203838</v>
      </c>
      <c r="AA138" s="98">
        <f>AA135*'Global Inputs'!Z$83+Outputs!AA136*CO2_emissions_gas_tons_per_therm</f>
        <v>141135.82050203838</v>
      </c>
      <c r="AB138" s="98">
        <f>AB135*'Global Inputs'!AA$83+Outputs!AB136*CO2_emissions_gas_tons_per_therm</f>
        <v>141135.82050203838</v>
      </c>
      <c r="AC138" s="98">
        <f>AC135*'Global Inputs'!AB$83+Outputs!AC136*CO2_emissions_gas_tons_per_therm</f>
        <v>140842.77346394261</v>
      </c>
      <c r="AD138" s="98">
        <f>AD135*'Global Inputs'!AC$83+Outputs!AD136*CO2_emissions_gas_tons_per_therm</f>
        <v>140842.77346394261</v>
      </c>
      <c r="AE138" s="98">
        <f>AE135*'Global Inputs'!AD$83+Outputs!AE136*CO2_emissions_gas_tons_per_therm</f>
        <v>140842.77346394261</v>
      </c>
      <c r="AF138" s="98">
        <f>AF135*'Global Inputs'!AE$83+Outputs!AF136*CO2_emissions_gas_tons_per_therm</f>
        <v>140842.77346394261</v>
      </c>
      <c r="AG138" s="98">
        <f>AG135*'Global Inputs'!AF$83+Outputs!AG136*CO2_emissions_gas_tons_per_therm</f>
        <v>140842.77346394261</v>
      </c>
      <c r="AH138" s="53">
        <f t="shared" ref="AH138" si="19">SUM(D138:AG138)</f>
        <v>4619752.1511835055</v>
      </c>
      <c r="AI138"/>
      <c r="AJ138" s="23"/>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row>
    <row r="139" spans="2:137" outlineLevel="1" x14ac:dyDescent="0.25">
      <c r="B139" t="s">
        <v>314</v>
      </c>
      <c r="C139" t="s">
        <v>315</v>
      </c>
      <c r="AG139" s="51">
        <f>AG135*Btuh_per_W/'Global Inputs'!$D$17+AG136*'Global Inputs'!$D$16/'Global Inputs'!$D$17/'Global Inputs'!$D$17</f>
        <v>2282968.3620703593</v>
      </c>
      <c r="AH139" s="53">
        <f>AH135*Btuh_per_W/'Global Inputs'!$D$17+AH136*'Global Inputs'!$D$16/'Global Inputs'!$D$17/'Global Inputs'!$D$17</f>
        <v>72088333.281171426</v>
      </c>
    </row>
    <row r="140" spans="2:137" outlineLevel="1" x14ac:dyDescent="0.25">
      <c r="AH140" s="54"/>
    </row>
    <row r="141" spans="2:137" s="1" customFormat="1" ht="17.25" outlineLevel="1" thickBot="1" x14ac:dyDescent="0.3">
      <c r="B141" s="19" t="s">
        <v>294</v>
      </c>
      <c r="C141" s="19"/>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55"/>
      <c r="AI141" s="19"/>
      <c r="AJ141" s="19"/>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row>
    <row r="142" spans="2:137" s="1" customFormat="1" ht="16.5" outlineLevel="1" thickTop="1" thickBot="1" x14ac:dyDescent="0.3">
      <c r="B142" s="20" t="s">
        <v>310</v>
      </c>
      <c r="C142" s="20" t="s">
        <v>13</v>
      </c>
      <c r="D142" s="97" t="s">
        <v>17</v>
      </c>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56" t="s">
        <v>224</v>
      </c>
      <c r="AI142" s="20"/>
      <c r="AJ142" s="20" t="s">
        <v>15</v>
      </c>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row>
    <row r="143" spans="2:137" outlineLevel="1" x14ac:dyDescent="0.25">
      <c r="D143" s="100">
        <f>'Core Loads'!$C$14</f>
        <v>2025</v>
      </c>
      <c r="E143" s="100">
        <f>'Core Loads'!$D$14</f>
        <v>2026</v>
      </c>
      <c r="F143" s="100">
        <f>'Core Loads'!$E$14</f>
        <v>2027</v>
      </c>
      <c r="G143" s="100">
        <f>'Core Loads'!$F$14</f>
        <v>2028</v>
      </c>
      <c r="H143" s="100">
        <f>'Core Loads'!$G$14</f>
        <v>2029</v>
      </c>
      <c r="I143" s="100">
        <f>'Core Loads'!$H$14</f>
        <v>2030</v>
      </c>
      <c r="J143" s="100">
        <f>'Core Loads'!$I$14</f>
        <v>2031</v>
      </c>
      <c r="K143" s="100">
        <f>'Core Loads'!$J$14</f>
        <v>2032</v>
      </c>
      <c r="L143" s="100">
        <f>'Core Loads'!$K$14</f>
        <v>2033</v>
      </c>
      <c r="M143" s="100">
        <f>'Core Loads'!$L$14</f>
        <v>2034</v>
      </c>
      <c r="N143" s="100">
        <f>'Core Loads'!$M$14</f>
        <v>2035</v>
      </c>
      <c r="O143" s="100">
        <f>'Core Loads'!$N$14</f>
        <v>2036</v>
      </c>
      <c r="P143" s="100">
        <f>'Core Loads'!$O$14</f>
        <v>2037</v>
      </c>
      <c r="Q143" s="100">
        <f>'Core Loads'!$P$14</f>
        <v>2038</v>
      </c>
      <c r="R143" s="100">
        <f>'Core Loads'!$Q$14</f>
        <v>2039</v>
      </c>
      <c r="S143" s="100">
        <f>'Core Loads'!$R$14</f>
        <v>2040</v>
      </c>
      <c r="T143" s="100">
        <f>'Core Loads'!$S$14</f>
        <v>2041</v>
      </c>
      <c r="U143" s="100">
        <f>'Core Loads'!$T$14</f>
        <v>2042</v>
      </c>
      <c r="V143" s="100">
        <f>'Core Loads'!$U$14</f>
        <v>2043</v>
      </c>
      <c r="W143" s="100">
        <f>'Core Loads'!$V$14</f>
        <v>2044</v>
      </c>
      <c r="X143" s="100">
        <f>'Core Loads'!$W$14</f>
        <v>2045</v>
      </c>
      <c r="Y143" s="100">
        <f>'Core Loads'!$X$14</f>
        <v>2046</v>
      </c>
      <c r="Z143" s="100">
        <f>'Core Loads'!$Y$14</f>
        <v>2047</v>
      </c>
      <c r="AA143" s="100">
        <f>'Core Loads'!$Z$14</f>
        <v>2048</v>
      </c>
      <c r="AB143" s="100">
        <f>'Core Loads'!$AA$14</f>
        <v>2049</v>
      </c>
      <c r="AC143" s="100">
        <f>'Core Loads'!$AB$14</f>
        <v>2050</v>
      </c>
      <c r="AD143" s="100">
        <f>'Core Loads'!$AC$14</f>
        <v>2051</v>
      </c>
      <c r="AE143" s="100">
        <f>'Core Loads'!$AD$14</f>
        <v>2052</v>
      </c>
      <c r="AF143" s="100">
        <f>'Core Loads'!$AE$14</f>
        <v>2053</v>
      </c>
      <c r="AG143" s="100">
        <f>'Core Loads'!$AF$14</f>
        <v>2054</v>
      </c>
      <c r="AH143" s="8"/>
    </row>
    <row r="144" spans="2:137" s="1" customFormat="1" outlineLevel="1" x14ac:dyDescent="0.25">
      <c r="B144" t="s">
        <v>141</v>
      </c>
      <c r="C144" t="s">
        <v>109</v>
      </c>
      <c r="D144" s="98">
        <f>D24-'Enhancement Inputs'!D$130</f>
        <v>20641256.461636871</v>
      </c>
      <c r="E144" s="98">
        <f>E24-'Enhancement Inputs'!E$130</f>
        <v>20641256.461636871</v>
      </c>
      <c r="F144" s="98">
        <f>F24-'Enhancement Inputs'!F$130</f>
        <v>20641256.461636871</v>
      </c>
      <c r="G144" s="98">
        <f>G24-'Enhancement Inputs'!G$130</f>
        <v>20057383.255155746</v>
      </c>
      <c r="H144" s="98">
        <f>H24-'Enhancement Inputs'!H$130</f>
        <v>20057383.255155746</v>
      </c>
      <c r="I144" s="98">
        <f>I24-'Enhancement Inputs'!I$130</f>
        <v>70900161.062808499</v>
      </c>
      <c r="J144" s="98">
        <f>J24-'Enhancement Inputs'!J$130</f>
        <v>70900161.062808499</v>
      </c>
      <c r="K144" s="98">
        <f>K24-'Enhancement Inputs'!K$130</f>
        <v>67248921.251742601</v>
      </c>
      <c r="L144" s="98">
        <f>L24-'Enhancement Inputs'!L$130</f>
        <v>67248921.251742601</v>
      </c>
      <c r="M144" s="98">
        <f>M24-'Enhancement Inputs'!M$130</f>
        <v>67846283.46209161</v>
      </c>
      <c r="N144" s="98">
        <f>N24-'Enhancement Inputs'!N$130</f>
        <v>120965437.05477171</v>
      </c>
      <c r="O144" s="98">
        <f>O24-'Enhancement Inputs'!O$130</f>
        <v>120791014.57495978</v>
      </c>
      <c r="P144" s="98">
        <f>P24-'Enhancement Inputs'!P$130</f>
        <v>120791014.57495978</v>
      </c>
      <c r="Q144" s="98">
        <f>Q24-'Enhancement Inputs'!Q$130</f>
        <v>120747962.18037227</v>
      </c>
      <c r="R144" s="98">
        <f>R24-'Enhancement Inputs'!R$130</f>
        <v>175303168.25067636</v>
      </c>
      <c r="S144" s="98">
        <f>S24-'Enhancement Inputs'!S$130</f>
        <v>214989280.68852437</v>
      </c>
      <c r="T144" s="98">
        <f>T24-'Enhancement Inputs'!T$130</f>
        <v>214989280.68852437</v>
      </c>
      <c r="U144" s="98">
        <f>U24-'Enhancement Inputs'!U$130</f>
        <v>214989280.68852437</v>
      </c>
      <c r="V144" s="98">
        <f>V24-'Enhancement Inputs'!V$130</f>
        <v>214989280.68852437</v>
      </c>
      <c r="W144" s="98">
        <f>W24-'Enhancement Inputs'!W$130</f>
        <v>214430341.91332072</v>
      </c>
      <c r="X144" s="98">
        <f>X24-'Enhancement Inputs'!X$130</f>
        <v>214430341.91332072</v>
      </c>
      <c r="Y144" s="98">
        <f>Y24-'Enhancement Inputs'!Y$130</f>
        <v>214430341.91332072</v>
      </c>
      <c r="Z144" s="98">
        <f>Z24-'Enhancement Inputs'!Z$130</f>
        <v>214430341.91332072</v>
      </c>
      <c r="AA144" s="98">
        <f>AA24-'Enhancement Inputs'!AA$130</f>
        <v>214430341.91332072</v>
      </c>
      <c r="AB144" s="98">
        <f>AB24-'Enhancement Inputs'!AB$130</f>
        <v>214430341.91332072</v>
      </c>
      <c r="AC144" s="98">
        <f>AC24-'Enhancement Inputs'!AC$130</f>
        <v>213744838.95229453</v>
      </c>
      <c r="AD144" s="98">
        <f>AD24-'Enhancement Inputs'!AD$130</f>
        <v>213744838.95229453</v>
      </c>
      <c r="AE144" s="98">
        <f>AE24-'Enhancement Inputs'!AE$130</f>
        <v>213744838.95229453</v>
      </c>
      <c r="AF144" s="98">
        <f>AF24-'Enhancement Inputs'!AF$130</f>
        <v>213744838.95229453</v>
      </c>
      <c r="AG144" s="98">
        <f>AG24-'Enhancement Inputs'!AG$130</f>
        <v>213744838.95229453</v>
      </c>
      <c r="AH144" s="53">
        <f>SUM(D144:AG144)</f>
        <v>4320044949.6176481</v>
      </c>
      <c r="AI144"/>
      <c r="AJ144" s="23" t="s">
        <v>317</v>
      </c>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row>
    <row r="145" spans="2:135" s="1" customFormat="1" outlineLevel="1" x14ac:dyDescent="0.25">
      <c r="B145" t="s">
        <v>136</v>
      </c>
      <c r="C145" t="s">
        <v>169</v>
      </c>
      <c r="D145" s="98">
        <f>D25</f>
        <v>29588294.269641411</v>
      </c>
      <c r="E145" s="98">
        <f t="shared" ref="E145:AG145" si="20">E25</f>
        <v>29588294.269641411</v>
      </c>
      <c r="F145" s="98">
        <f t="shared" si="20"/>
        <v>29588294.269641411</v>
      </c>
      <c r="G145" s="98">
        <f t="shared" si="20"/>
        <v>29254078.579896081</v>
      </c>
      <c r="H145" s="98">
        <f t="shared" si="20"/>
        <v>29254078.579896081</v>
      </c>
      <c r="I145" s="98">
        <f t="shared" si="20"/>
        <v>24175855.045650672</v>
      </c>
      <c r="J145" s="98">
        <f t="shared" si="20"/>
        <v>24175855.045650672</v>
      </c>
      <c r="K145" s="98">
        <f t="shared" si="20"/>
        <v>23428380.014445752</v>
      </c>
      <c r="L145" s="98">
        <f t="shared" si="20"/>
        <v>23428380.014445752</v>
      </c>
      <c r="M145" s="98">
        <f t="shared" si="20"/>
        <v>23117842.807129826</v>
      </c>
      <c r="N145" s="98">
        <f t="shared" si="20"/>
        <v>20500994.387112349</v>
      </c>
      <c r="O145" s="98">
        <f t="shared" si="20"/>
        <v>20115359.924484037</v>
      </c>
      <c r="P145" s="98">
        <f t="shared" si="20"/>
        <v>20115359.924484037</v>
      </c>
      <c r="Q145" s="98">
        <f t="shared" si="20"/>
        <v>20021371.653737262</v>
      </c>
      <c r="R145" s="98">
        <f t="shared" si="20"/>
        <v>6752672.3299312945</v>
      </c>
      <c r="S145" s="98">
        <f t="shared" si="20"/>
        <v>7178624.4580384223</v>
      </c>
      <c r="T145" s="98">
        <f t="shared" si="20"/>
        <v>7178624.4580384223</v>
      </c>
      <c r="U145" s="98">
        <f t="shared" si="20"/>
        <v>7160234.6155085405</v>
      </c>
      <c r="V145" s="98">
        <f t="shared" si="20"/>
        <v>7160234.6155085405</v>
      </c>
      <c r="W145" s="98">
        <f t="shared" si="20"/>
        <v>7142432.8554423703</v>
      </c>
      <c r="X145" s="98">
        <f t="shared" si="20"/>
        <v>7142432.8554423703</v>
      </c>
      <c r="Y145" s="98">
        <f t="shared" si="20"/>
        <v>7142432.8554423703</v>
      </c>
      <c r="Z145" s="98">
        <f t="shared" si="20"/>
        <v>7142432.8554423703</v>
      </c>
      <c r="AA145" s="98">
        <f t="shared" si="20"/>
        <v>7142432.8554423703</v>
      </c>
      <c r="AB145" s="98">
        <f t="shared" si="20"/>
        <v>7142432.8554423703</v>
      </c>
      <c r="AC145" s="98">
        <f t="shared" si="20"/>
        <v>7124587.9075489389</v>
      </c>
      <c r="AD145" s="98">
        <f t="shared" si="20"/>
        <v>7124587.9075489389</v>
      </c>
      <c r="AE145" s="98">
        <f t="shared" si="20"/>
        <v>7124587.9075489389</v>
      </c>
      <c r="AF145" s="98">
        <f t="shared" si="20"/>
        <v>7124587.9075489389</v>
      </c>
      <c r="AG145" s="98">
        <f t="shared" si="20"/>
        <v>7124587.9075489389</v>
      </c>
      <c r="AH145" s="53">
        <f t="shared" ref="AH145:AH146" si="21">SUM(D145:AG145)</f>
        <v>460260365.93328089</v>
      </c>
      <c r="AI145"/>
      <c r="AJ145" s="23" t="s">
        <v>317</v>
      </c>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row>
    <row r="146" spans="2:135" s="1" customFormat="1" outlineLevel="1" x14ac:dyDescent="0.25">
      <c r="B146" t="s">
        <v>154</v>
      </c>
      <c r="C146" t="s">
        <v>170</v>
      </c>
      <c r="D146" s="98">
        <f>D26</f>
        <v>261286.05720287678</v>
      </c>
      <c r="E146" s="98">
        <f t="shared" ref="E146:AG146" si="22">E26</f>
        <v>280053.88112651004</v>
      </c>
      <c r="F146" s="98">
        <f t="shared" si="22"/>
        <v>280053.88112651004</v>
      </c>
      <c r="G146" s="98">
        <f t="shared" si="22"/>
        <v>299698.99826324207</v>
      </c>
      <c r="H146" s="98">
        <f t="shared" si="22"/>
        <v>299698.99826324207</v>
      </c>
      <c r="I146" s="98">
        <f t="shared" si="22"/>
        <v>268615.28080787358</v>
      </c>
      <c r="J146" s="98">
        <f t="shared" si="22"/>
        <v>268615.28080787358</v>
      </c>
      <c r="K146" s="98">
        <f t="shared" si="22"/>
        <v>259012.49521457759</v>
      </c>
      <c r="L146" s="98">
        <f t="shared" si="22"/>
        <v>259012.49521457759</v>
      </c>
      <c r="M146" s="98">
        <f t="shared" si="22"/>
        <v>258565.48644467274</v>
      </c>
      <c r="N146" s="98">
        <f t="shared" si="22"/>
        <v>222406.57935464202</v>
      </c>
      <c r="O146" s="98">
        <f t="shared" si="22"/>
        <v>218915.04632238334</v>
      </c>
      <c r="P146" s="98">
        <f t="shared" si="22"/>
        <v>218915.04632238334</v>
      </c>
      <c r="Q146" s="98">
        <f t="shared" si="22"/>
        <v>218142.41487150022</v>
      </c>
      <c r="R146" s="98">
        <f t="shared" si="22"/>
        <v>144483.601555553</v>
      </c>
      <c r="S146" s="98">
        <f t="shared" si="22"/>
        <v>165316.17341266482</v>
      </c>
      <c r="T146" s="98">
        <f t="shared" si="22"/>
        <v>165316.17341266482</v>
      </c>
      <c r="U146" s="98">
        <f t="shared" si="22"/>
        <v>165249.68529523592</v>
      </c>
      <c r="V146" s="98">
        <f t="shared" si="22"/>
        <v>165249.68529523592</v>
      </c>
      <c r="W146" s="98">
        <f t="shared" si="22"/>
        <v>164877.54257590559</v>
      </c>
      <c r="X146" s="98">
        <f t="shared" si="22"/>
        <v>164877.54257590559</v>
      </c>
      <c r="Y146" s="98">
        <f t="shared" si="22"/>
        <v>164877.54257590559</v>
      </c>
      <c r="Z146" s="98">
        <f t="shared" si="22"/>
        <v>164877.54257590559</v>
      </c>
      <c r="AA146" s="98">
        <f t="shared" si="22"/>
        <v>164877.54257590559</v>
      </c>
      <c r="AB146" s="98">
        <f t="shared" si="22"/>
        <v>164877.54257590559</v>
      </c>
      <c r="AC146" s="98">
        <f t="shared" si="22"/>
        <v>164385.26105735954</v>
      </c>
      <c r="AD146" s="98">
        <f t="shared" si="22"/>
        <v>164385.26105735954</v>
      </c>
      <c r="AE146" s="98">
        <f t="shared" si="22"/>
        <v>164385.26105735954</v>
      </c>
      <c r="AF146" s="98">
        <f t="shared" si="22"/>
        <v>164385.26105735954</v>
      </c>
      <c r="AG146" s="98">
        <f t="shared" si="22"/>
        <v>164385.26105735954</v>
      </c>
      <c r="AH146" s="53">
        <f t="shared" si="21"/>
        <v>6229798.8210564526</v>
      </c>
      <c r="AI146"/>
      <c r="AJ146" s="23" t="s">
        <v>317</v>
      </c>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row>
    <row r="147" spans="2:135" s="1" customFormat="1" outlineLevel="1" x14ac:dyDescent="0.25">
      <c r="B147" t="s">
        <v>312</v>
      </c>
      <c r="C147" t="s">
        <v>313</v>
      </c>
      <c r="D147" s="98">
        <f>D144*'Global Inputs'!C$83+Outputs!D145*CO2_emissions_gas_tons_per_therm</f>
        <v>198922.1023747992</v>
      </c>
      <c r="E147" s="98">
        <f>E144*'Global Inputs'!D$83+Outputs!E145*CO2_emissions_gas_tons_per_therm</f>
        <v>198922.1023747992</v>
      </c>
      <c r="F147" s="98">
        <f>F144*'Global Inputs'!E$83+Outputs!F145*CO2_emissions_gas_tons_per_therm</f>
        <v>198922.1023747992</v>
      </c>
      <c r="G147" s="98">
        <f>G144*'Global Inputs'!F$83+Outputs!G145*CO2_emissions_gas_tons_per_therm</f>
        <v>196675.17029264136</v>
      </c>
      <c r="H147" s="98">
        <f>H144*'Global Inputs'!G$83+Outputs!H145*CO2_emissions_gas_tons_per_therm</f>
        <v>196675.17029264136</v>
      </c>
      <c r="I147" s="98">
        <f>I144*'Global Inputs'!H$83+Outputs!I145*CO2_emissions_gas_tons_per_therm</f>
        <v>162534.27347190946</v>
      </c>
      <c r="J147" s="98">
        <f>J144*'Global Inputs'!I$83+Outputs!J145*CO2_emissions_gas_tons_per_therm</f>
        <v>162534.27347190946</v>
      </c>
      <c r="K147" s="98">
        <f>K144*'Global Inputs'!J$83+Outputs!K145*CO2_emissions_gas_tons_per_therm</f>
        <v>157508.99883711879</v>
      </c>
      <c r="L147" s="98">
        <f>L144*'Global Inputs'!K$83+Outputs!L145*CO2_emissions_gas_tons_per_therm</f>
        <v>157508.99883711879</v>
      </c>
      <c r="M147" s="98">
        <f>M144*'Global Inputs'!L$83+Outputs!M145*CO2_emissions_gas_tons_per_therm</f>
        <v>155421.25719233381</v>
      </c>
      <c r="N147" s="98">
        <f>N144*'Global Inputs'!M$83+Outputs!N145*CO2_emissions_gas_tons_per_therm</f>
        <v>137828.18526455632</v>
      </c>
      <c r="O147" s="98">
        <f>O144*'Global Inputs'!N$83+Outputs!O145*CO2_emissions_gas_tons_per_therm</f>
        <v>135235.56477230618</v>
      </c>
      <c r="P147" s="98">
        <f>P144*'Global Inputs'!O$83+Outputs!P145*CO2_emissions_gas_tons_per_therm</f>
        <v>135235.56477230618</v>
      </c>
      <c r="Q147" s="98">
        <f>Q144*'Global Inputs'!P$83+Outputs!Q145*CO2_emissions_gas_tons_per_therm</f>
        <v>134603.6816280756</v>
      </c>
      <c r="R147" s="98">
        <f>R144*'Global Inputs'!Q$83+Outputs!R145*CO2_emissions_gas_tons_per_therm</f>
        <v>45398.21607412809</v>
      </c>
      <c r="S147" s="98">
        <f>S144*'Global Inputs'!R$83+Outputs!S145*CO2_emissions_gas_tons_per_therm</f>
        <v>48261.89223139231</v>
      </c>
      <c r="T147" s="98">
        <f>T144*'Global Inputs'!S$83+Outputs!T145*CO2_emissions_gas_tons_per_therm</f>
        <v>48261.89223139231</v>
      </c>
      <c r="U147" s="98">
        <f>U144*'Global Inputs'!T$83+Outputs!U145*CO2_emissions_gas_tons_per_therm</f>
        <v>48138.257320063916</v>
      </c>
      <c r="V147" s="98">
        <f>V144*'Global Inputs'!U$83+Outputs!V145*CO2_emissions_gas_tons_per_therm</f>
        <v>48138.257320063916</v>
      </c>
      <c r="W147" s="98">
        <f>W144*'Global Inputs'!V$83+Outputs!W145*CO2_emissions_gas_tons_per_therm</f>
        <v>48018.576087139052</v>
      </c>
      <c r="X147" s="98">
        <f>X144*'Global Inputs'!W$83+Outputs!X145*CO2_emissions_gas_tons_per_therm</f>
        <v>48018.576087139052</v>
      </c>
      <c r="Y147" s="98">
        <f>Y144*'Global Inputs'!X$83+Outputs!Y145*CO2_emissions_gas_tons_per_therm</f>
        <v>48018.576087139052</v>
      </c>
      <c r="Z147" s="98">
        <f>Z144*'Global Inputs'!Y$83+Outputs!Z145*CO2_emissions_gas_tons_per_therm</f>
        <v>48018.576087139052</v>
      </c>
      <c r="AA147" s="98">
        <f>AA144*'Global Inputs'!Z$83+Outputs!AA145*CO2_emissions_gas_tons_per_therm</f>
        <v>48018.576087139052</v>
      </c>
      <c r="AB147" s="98">
        <f>AB144*'Global Inputs'!AA$83+Outputs!AB145*CO2_emissions_gas_tons_per_therm</f>
        <v>48018.576087139052</v>
      </c>
      <c r="AC147" s="98">
        <f>AC144*'Global Inputs'!AB$83+Outputs!AC145*CO2_emissions_gas_tons_per_therm</f>
        <v>47898.604502451512</v>
      </c>
      <c r="AD147" s="98">
        <f>AD144*'Global Inputs'!AC$83+Outputs!AD145*CO2_emissions_gas_tons_per_therm</f>
        <v>47898.604502451512</v>
      </c>
      <c r="AE147" s="98">
        <f>AE144*'Global Inputs'!AD$83+Outputs!AE145*CO2_emissions_gas_tons_per_therm</f>
        <v>47898.604502451512</v>
      </c>
      <c r="AF147" s="98">
        <f>AF144*'Global Inputs'!AE$83+Outputs!AF145*CO2_emissions_gas_tons_per_therm</f>
        <v>47898.604502451512</v>
      </c>
      <c r="AG147" s="98">
        <f>AG144*'Global Inputs'!AF$83+Outputs!AG145*CO2_emissions_gas_tons_per_therm</f>
        <v>47898.604502451512</v>
      </c>
      <c r="AH147" s="53">
        <f t="shared" ref="AH147" si="23">SUM(D147:AG147)</f>
        <v>3094330.440169448</v>
      </c>
      <c r="AI147"/>
      <c r="AJ147" s="23"/>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row>
    <row r="148" spans="2:135" outlineLevel="1" x14ac:dyDescent="0.25">
      <c r="B148" t="s">
        <v>314</v>
      </c>
      <c r="C148" t="s">
        <v>315</v>
      </c>
      <c r="AG148" s="51">
        <f>AG144*Btuh_per_W/'Global Inputs'!$D$17+AG145*'Global Inputs'!$D$16/'Global Inputs'!$D$17/'Global Inputs'!$D$17</f>
        <v>1441756.1812601229</v>
      </c>
      <c r="AH148" s="53">
        <f>AH144*Btuh_per_W/'Global Inputs'!$D$17+AH145*'Global Inputs'!$D$16/'Global Inputs'!$D$17/'Global Inputs'!$D$17</f>
        <v>60766029.961423501</v>
      </c>
    </row>
    <row r="149" spans="2:135" outlineLevel="1" x14ac:dyDescent="0.25">
      <c r="AH149" s="54"/>
    </row>
    <row r="150" spans="2:135" s="1" customFormat="1" ht="17.25" outlineLevel="1" thickBot="1" x14ac:dyDescent="0.3">
      <c r="B150" s="19" t="s">
        <v>296</v>
      </c>
      <c r="C150" s="19"/>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55"/>
      <c r="AI150" s="19"/>
      <c r="AJ150" s="19"/>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row>
    <row r="151" spans="2:135" s="1" customFormat="1" ht="16.5" outlineLevel="1" thickTop="1" thickBot="1" x14ac:dyDescent="0.3">
      <c r="B151" s="20" t="s">
        <v>310</v>
      </c>
      <c r="C151" s="20" t="s">
        <v>13</v>
      </c>
      <c r="D151" s="97" t="s">
        <v>17</v>
      </c>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56" t="s">
        <v>224</v>
      </c>
      <c r="AI151" s="20"/>
      <c r="AJ151" s="20" t="s">
        <v>15</v>
      </c>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row>
    <row r="152" spans="2:135" outlineLevel="1" x14ac:dyDescent="0.25">
      <c r="D152" s="100">
        <f>'Core Loads'!$C$14</f>
        <v>2025</v>
      </c>
      <c r="E152" s="100">
        <f>'Core Loads'!$D$14</f>
        <v>2026</v>
      </c>
      <c r="F152" s="100">
        <f>'Core Loads'!$E$14</f>
        <v>2027</v>
      </c>
      <c r="G152" s="100">
        <f>'Core Loads'!$F$14</f>
        <v>2028</v>
      </c>
      <c r="H152" s="100">
        <f>'Core Loads'!$G$14</f>
        <v>2029</v>
      </c>
      <c r="I152" s="100">
        <f>'Core Loads'!$H$14</f>
        <v>2030</v>
      </c>
      <c r="J152" s="100">
        <f>'Core Loads'!$I$14</f>
        <v>2031</v>
      </c>
      <c r="K152" s="100">
        <f>'Core Loads'!$J$14</f>
        <v>2032</v>
      </c>
      <c r="L152" s="100">
        <f>'Core Loads'!$K$14</f>
        <v>2033</v>
      </c>
      <c r="M152" s="100">
        <f>'Core Loads'!$L$14</f>
        <v>2034</v>
      </c>
      <c r="N152" s="100">
        <f>'Core Loads'!$M$14</f>
        <v>2035</v>
      </c>
      <c r="O152" s="100">
        <f>'Core Loads'!$N$14</f>
        <v>2036</v>
      </c>
      <c r="P152" s="100">
        <f>'Core Loads'!$O$14</f>
        <v>2037</v>
      </c>
      <c r="Q152" s="100">
        <f>'Core Loads'!$P$14</f>
        <v>2038</v>
      </c>
      <c r="R152" s="100">
        <f>'Core Loads'!$Q$14</f>
        <v>2039</v>
      </c>
      <c r="S152" s="100">
        <f>'Core Loads'!$R$14</f>
        <v>2040</v>
      </c>
      <c r="T152" s="100">
        <f>'Core Loads'!$S$14</f>
        <v>2041</v>
      </c>
      <c r="U152" s="100">
        <f>'Core Loads'!$T$14</f>
        <v>2042</v>
      </c>
      <c r="V152" s="100">
        <f>'Core Loads'!$U$14</f>
        <v>2043</v>
      </c>
      <c r="W152" s="100">
        <f>'Core Loads'!$V$14</f>
        <v>2044</v>
      </c>
      <c r="X152" s="100">
        <f>'Core Loads'!$W$14</f>
        <v>2045</v>
      </c>
      <c r="Y152" s="100">
        <f>'Core Loads'!$X$14</f>
        <v>2046</v>
      </c>
      <c r="Z152" s="100">
        <f>'Core Loads'!$Y$14</f>
        <v>2047</v>
      </c>
      <c r="AA152" s="100">
        <f>'Core Loads'!$Z$14</f>
        <v>2048</v>
      </c>
      <c r="AB152" s="100">
        <f>'Core Loads'!$AA$14</f>
        <v>2049</v>
      </c>
      <c r="AC152" s="100">
        <f>'Core Loads'!$AB$14</f>
        <v>2050</v>
      </c>
      <c r="AD152" s="100">
        <f>'Core Loads'!$AC$14</f>
        <v>2051</v>
      </c>
      <c r="AE152" s="100">
        <f>'Core Loads'!$AD$14</f>
        <v>2052</v>
      </c>
      <c r="AF152" s="100">
        <f>'Core Loads'!$AE$14</f>
        <v>2053</v>
      </c>
      <c r="AG152" s="100">
        <f>'Core Loads'!$AF$14</f>
        <v>2054</v>
      </c>
      <c r="AH152" s="8"/>
    </row>
    <row r="153" spans="2:135" s="1" customFormat="1" outlineLevel="1" x14ac:dyDescent="0.25">
      <c r="B153" t="s">
        <v>141</v>
      </c>
      <c r="C153" t="s">
        <v>109</v>
      </c>
      <c r="D153" s="98">
        <f>D33-'Enhancement Inputs'!D$135</f>
        <v>40881228.977333002</v>
      </c>
      <c r="E153" s="98">
        <f>E33-'Enhancement Inputs'!E$135</f>
        <v>40881228.977333002</v>
      </c>
      <c r="F153" s="98">
        <f>F33-'Enhancement Inputs'!F$135</f>
        <v>40881228.977333002</v>
      </c>
      <c r="G153" s="98">
        <f>G33-'Enhancement Inputs'!G$135</f>
        <v>38703970.829197206</v>
      </c>
      <c r="H153" s="98">
        <f>H33-'Enhancement Inputs'!H$135</f>
        <v>38703970.829197206</v>
      </c>
      <c r="I153" s="98">
        <f>I33-'Enhancement Inputs'!I$135</f>
        <v>144979354.69012418</v>
      </c>
      <c r="J153" s="98">
        <f>J33-'Enhancement Inputs'!J$135</f>
        <v>144979354.69012418</v>
      </c>
      <c r="K153" s="98">
        <f>K33-'Enhancement Inputs'!K$135</f>
        <v>139241066.59700841</v>
      </c>
      <c r="L153" s="98">
        <f>L33-'Enhancement Inputs'!L$135</f>
        <v>139241066.59700841</v>
      </c>
      <c r="M153" s="98">
        <f>M33-'Enhancement Inputs'!M$135</f>
        <v>139836397.949</v>
      </c>
      <c r="N153" s="98">
        <f>N33-'Enhancement Inputs'!N$135</f>
        <v>221776033.2219646</v>
      </c>
      <c r="O153" s="98">
        <f>O33-'Enhancement Inputs'!O$135</f>
        <v>220343199.31930685</v>
      </c>
      <c r="P153" s="98">
        <f>P33-'Enhancement Inputs'!P$135</f>
        <v>220343199.31930685</v>
      </c>
      <c r="Q153" s="98">
        <f>Q33-'Enhancement Inputs'!Q$135</f>
        <v>219988679.50909752</v>
      </c>
      <c r="R153" s="98">
        <f>R33-'Enhancement Inputs'!R$135</f>
        <v>353949831.95474601</v>
      </c>
      <c r="S153" s="98">
        <f>S33-'Enhancement Inputs'!S$135</f>
        <v>402745531.68411994</v>
      </c>
      <c r="T153" s="98">
        <f>T33-'Enhancement Inputs'!T$135</f>
        <v>402745531.68411994</v>
      </c>
      <c r="U153" s="98">
        <f>U33-'Enhancement Inputs'!U$135</f>
        <v>402247666.1524266</v>
      </c>
      <c r="V153" s="98">
        <f>V33-'Enhancement Inputs'!V$135</f>
        <v>402247666.1524266</v>
      </c>
      <c r="W153" s="98">
        <f>W33-'Enhancement Inputs'!W$135</f>
        <v>401217333.94377863</v>
      </c>
      <c r="X153" s="98">
        <f>X33-'Enhancement Inputs'!X$135</f>
        <v>401217333.94377863</v>
      </c>
      <c r="Y153" s="98">
        <f>Y33-'Enhancement Inputs'!Y$135</f>
        <v>401217333.94377863</v>
      </c>
      <c r="Z153" s="98">
        <f>Z33-'Enhancement Inputs'!Z$135</f>
        <v>401217333.94377863</v>
      </c>
      <c r="AA153" s="98">
        <f>AA33-'Enhancement Inputs'!AA$135</f>
        <v>401217333.94377863</v>
      </c>
      <c r="AB153" s="98">
        <f>AB33-'Enhancement Inputs'!AB$135</f>
        <v>401217333.94377863</v>
      </c>
      <c r="AC153" s="98">
        <f>AC33-'Enhancement Inputs'!AC$135</f>
        <v>400062049.15477121</v>
      </c>
      <c r="AD153" s="98">
        <f>AD33-'Enhancement Inputs'!AD$135</f>
        <v>400062049.15477121</v>
      </c>
      <c r="AE153" s="98">
        <f>AE33-'Enhancement Inputs'!AE$135</f>
        <v>400062049.15477121</v>
      </c>
      <c r="AF153" s="98">
        <f>AF33-'Enhancement Inputs'!AF$135</f>
        <v>400062049.15477121</v>
      </c>
      <c r="AG153" s="98">
        <f>AG33-'Enhancement Inputs'!AG$135</f>
        <v>400062049.15477121</v>
      </c>
      <c r="AH153" s="53">
        <f>SUM(D153:AG153)</f>
        <v>8162330457.5477009</v>
      </c>
      <c r="AI153"/>
      <c r="AJ153" s="23" t="s">
        <v>317</v>
      </c>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row>
    <row r="154" spans="2:135" s="1" customFormat="1" outlineLevel="1" x14ac:dyDescent="0.25">
      <c r="B154" t="s">
        <v>136</v>
      </c>
      <c r="C154" t="s">
        <v>169</v>
      </c>
      <c r="D154" s="98">
        <f>D34</f>
        <v>28820560.60629487</v>
      </c>
      <c r="E154" s="98">
        <f t="shared" ref="E154:AG154" si="24">E34</f>
        <v>28820560.60629487</v>
      </c>
      <c r="F154" s="98">
        <f t="shared" si="24"/>
        <v>28820560.60629487</v>
      </c>
      <c r="G154" s="98">
        <f t="shared" si="24"/>
        <v>28545341.288089495</v>
      </c>
      <c r="H154" s="98">
        <f t="shared" si="24"/>
        <v>28545341.288089495</v>
      </c>
      <c r="I154" s="98">
        <f t="shared" si="24"/>
        <v>21374251.397505261</v>
      </c>
      <c r="J154" s="98">
        <f t="shared" si="24"/>
        <v>21374251.397505261</v>
      </c>
      <c r="K154" s="98">
        <f t="shared" si="24"/>
        <v>20706876.478281714</v>
      </c>
      <c r="L154" s="98">
        <f t="shared" si="24"/>
        <v>20706876.478281714</v>
      </c>
      <c r="M154" s="98">
        <f t="shared" si="24"/>
        <v>20396339.270965789</v>
      </c>
      <c r="N154" s="98">
        <f t="shared" si="24"/>
        <v>16670601.866040172</v>
      </c>
      <c r="O154" s="98">
        <f t="shared" si="24"/>
        <v>16331380.62114461</v>
      </c>
      <c r="P154" s="98">
        <f t="shared" si="24"/>
        <v>16331380.62114461</v>
      </c>
      <c r="Q154" s="98">
        <f t="shared" si="24"/>
        <v>16248856.769805884</v>
      </c>
      <c r="R154" s="98">
        <f t="shared" si="24"/>
        <v>0</v>
      </c>
      <c r="S154" s="98">
        <f t="shared" si="24"/>
        <v>0</v>
      </c>
      <c r="T154" s="98">
        <f t="shared" si="24"/>
        <v>0</v>
      </c>
      <c r="U154" s="98">
        <f t="shared" si="24"/>
        <v>0</v>
      </c>
      <c r="V154" s="98">
        <f t="shared" si="24"/>
        <v>0</v>
      </c>
      <c r="W154" s="98">
        <f t="shared" si="24"/>
        <v>0</v>
      </c>
      <c r="X154" s="98">
        <f t="shared" si="24"/>
        <v>0</v>
      </c>
      <c r="Y154" s="98">
        <f t="shared" si="24"/>
        <v>0</v>
      </c>
      <c r="Z154" s="98">
        <f t="shared" si="24"/>
        <v>0</v>
      </c>
      <c r="AA154" s="98">
        <f t="shared" si="24"/>
        <v>0</v>
      </c>
      <c r="AB154" s="98">
        <f t="shared" si="24"/>
        <v>0</v>
      </c>
      <c r="AC154" s="98">
        <f t="shared" si="24"/>
        <v>0</v>
      </c>
      <c r="AD154" s="98">
        <f t="shared" si="24"/>
        <v>0</v>
      </c>
      <c r="AE154" s="98">
        <f t="shared" si="24"/>
        <v>0</v>
      </c>
      <c r="AF154" s="98">
        <f t="shared" si="24"/>
        <v>0</v>
      </c>
      <c r="AG154" s="98">
        <f t="shared" si="24"/>
        <v>0</v>
      </c>
      <c r="AH154" s="53">
        <f t="shared" ref="AH154:AH155" si="25">SUM(D154:AG154)</f>
        <v>313693179.29573858</v>
      </c>
      <c r="AI154"/>
      <c r="AJ154" s="23" t="s">
        <v>317</v>
      </c>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row>
    <row r="155" spans="2:135" s="1" customFormat="1" outlineLevel="1" x14ac:dyDescent="0.25">
      <c r="B155" t="s">
        <v>154</v>
      </c>
      <c r="C155" t="s">
        <v>170</v>
      </c>
      <c r="D155" s="98">
        <f>D35</f>
        <v>261286.05720287678</v>
      </c>
      <c r="E155" s="98">
        <f t="shared" ref="E155:AG155" si="26">E35</f>
        <v>280053.88112651004</v>
      </c>
      <c r="F155" s="98">
        <f t="shared" si="26"/>
        <v>280053.88112651004</v>
      </c>
      <c r="G155" s="98">
        <f t="shared" si="26"/>
        <v>299698.99826324207</v>
      </c>
      <c r="H155" s="98">
        <f t="shared" si="26"/>
        <v>299698.99826324207</v>
      </c>
      <c r="I155" s="98">
        <f t="shared" si="26"/>
        <v>268615.28080787358</v>
      </c>
      <c r="J155" s="98">
        <f t="shared" si="26"/>
        <v>268615.28080787358</v>
      </c>
      <c r="K155" s="98">
        <f t="shared" si="26"/>
        <v>259012.49521457759</v>
      </c>
      <c r="L155" s="98">
        <f t="shared" si="26"/>
        <v>259012.49521457759</v>
      </c>
      <c r="M155" s="98">
        <f t="shared" si="26"/>
        <v>258565.48644467274</v>
      </c>
      <c r="N155" s="98">
        <f t="shared" si="26"/>
        <v>222406.57935464202</v>
      </c>
      <c r="O155" s="98">
        <f t="shared" si="26"/>
        <v>218915.04632238334</v>
      </c>
      <c r="P155" s="98">
        <f t="shared" si="26"/>
        <v>218915.04632238334</v>
      </c>
      <c r="Q155" s="98">
        <f t="shared" si="26"/>
        <v>218142.41487150022</v>
      </c>
      <c r="R155" s="98">
        <f t="shared" si="26"/>
        <v>144483.601555553</v>
      </c>
      <c r="S155" s="98">
        <f t="shared" si="26"/>
        <v>165316.17341266482</v>
      </c>
      <c r="T155" s="98">
        <f t="shared" si="26"/>
        <v>165316.17341266482</v>
      </c>
      <c r="U155" s="98">
        <f t="shared" si="26"/>
        <v>165249.68529523592</v>
      </c>
      <c r="V155" s="98">
        <f t="shared" si="26"/>
        <v>165249.68529523592</v>
      </c>
      <c r="W155" s="98">
        <f t="shared" si="26"/>
        <v>164877.54257590559</v>
      </c>
      <c r="X155" s="98">
        <f t="shared" si="26"/>
        <v>164877.54257590559</v>
      </c>
      <c r="Y155" s="98">
        <f t="shared" si="26"/>
        <v>164877.54257590559</v>
      </c>
      <c r="Z155" s="98">
        <f t="shared" si="26"/>
        <v>164877.54257590559</v>
      </c>
      <c r="AA155" s="98">
        <f t="shared" si="26"/>
        <v>164877.54257590559</v>
      </c>
      <c r="AB155" s="98">
        <f t="shared" si="26"/>
        <v>164877.54257590559</v>
      </c>
      <c r="AC155" s="98">
        <f t="shared" si="26"/>
        <v>164385.26105735954</v>
      </c>
      <c r="AD155" s="98">
        <f t="shared" si="26"/>
        <v>164385.26105735954</v>
      </c>
      <c r="AE155" s="98">
        <f t="shared" si="26"/>
        <v>164385.26105735954</v>
      </c>
      <c r="AF155" s="98">
        <f t="shared" si="26"/>
        <v>164385.26105735954</v>
      </c>
      <c r="AG155" s="98">
        <f t="shared" si="26"/>
        <v>164385.26105735954</v>
      </c>
      <c r="AH155" s="53">
        <f t="shared" si="25"/>
        <v>6229798.8210564526</v>
      </c>
      <c r="AI155"/>
      <c r="AJ155" s="23" t="s">
        <v>317</v>
      </c>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row>
    <row r="156" spans="2:135" s="1" customFormat="1" ht="17.25" outlineLevel="1" thickBot="1" x14ac:dyDescent="0.3">
      <c r="B156" t="s">
        <v>312</v>
      </c>
      <c r="C156" t="s">
        <v>313</v>
      </c>
      <c r="D156" s="98">
        <f>D153*'Global Inputs'!C$83+Outputs!D154*CO2_emissions_gas_tons_per_therm</f>
        <v>193760.6289561204</v>
      </c>
      <c r="E156" s="98">
        <f>E153*'Global Inputs'!D$83+Outputs!E154*CO2_emissions_gas_tons_per_therm</f>
        <v>193760.6289561204</v>
      </c>
      <c r="F156" s="98">
        <f>F153*'Global Inputs'!E$83+Outputs!F154*CO2_emissions_gas_tons_per_therm</f>
        <v>193760.6289561204</v>
      </c>
      <c r="G156" s="98">
        <f>G153*'Global Inputs'!F$83+Outputs!G154*CO2_emissions_gas_tons_per_therm</f>
        <v>191910.32947982568</v>
      </c>
      <c r="H156" s="98">
        <f>H153*'Global Inputs'!G$83+Outputs!H154*CO2_emissions_gas_tons_per_therm</f>
        <v>191910.32947982568</v>
      </c>
      <c r="I156" s="98">
        <f>I153*'Global Inputs'!H$83+Outputs!I154*CO2_emissions_gas_tons_per_therm</f>
        <v>143699.09214542786</v>
      </c>
      <c r="J156" s="98">
        <f>J153*'Global Inputs'!I$83+Outputs!J154*CO2_emissions_gas_tons_per_therm</f>
        <v>143699.09214542786</v>
      </c>
      <c r="K156" s="98">
        <f>K153*'Global Inputs'!J$83+Outputs!K154*CO2_emissions_gas_tons_per_therm</f>
        <v>139212.33056348795</v>
      </c>
      <c r="L156" s="98">
        <f>L153*'Global Inputs'!K$83+Outputs!L154*CO2_emissions_gas_tons_per_therm</f>
        <v>139212.33056348795</v>
      </c>
      <c r="M156" s="98">
        <f>M153*'Global Inputs'!L$83+Outputs!M154*CO2_emissions_gas_tons_per_therm</f>
        <v>137124.588918703</v>
      </c>
      <c r="N156" s="98">
        <f>N153*'Global Inputs'!M$83+Outputs!N154*CO2_emissions_gas_tons_per_therm</f>
        <v>112076.45634538807</v>
      </c>
      <c r="O156" s="98">
        <f>O153*'Global Inputs'!N$83+Outputs!O154*CO2_emissions_gas_tons_per_therm</f>
        <v>109795.87191595521</v>
      </c>
      <c r="P156" s="98">
        <f>P153*'Global Inputs'!O$83+Outputs!P154*CO2_emissions_gas_tons_per_therm</f>
        <v>109795.87191595521</v>
      </c>
      <c r="Q156" s="98">
        <f>Q153*'Global Inputs'!P$83+Outputs!Q154*CO2_emissions_gas_tons_per_therm</f>
        <v>109241.06406340495</v>
      </c>
      <c r="R156" s="98">
        <f>R153*'Global Inputs'!Q$83+Outputs!R154*CO2_emissions_gas_tons_per_therm</f>
        <v>0</v>
      </c>
      <c r="S156" s="98">
        <f>S153*'Global Inputs'!R$83+Outputs!S154*CO2_emissions_gas_tons_per_therm</f>
        <v>0</v>
      </c>
      <c r="T156" s="98">
        <f>T153*'Global Inputs'!S$83+Outputs!T154*CO2_emissions_gas_tons_per_therm</f>
        <v>0</v>
      </c>
      <c r="U156" s="98">
        <f>U153*'Global Inputs'!T$83+Outputs!U154*CO2_emissions_gas_tons_per_therm</f>
        <v>0</v>
      </c>
      <c r="V156" s="98">
        <f>V153*'Global Inputs'!U$83+Outputs!V154*CO2_emissions_gas_tons_per_therm</f>
        <v>0</v>
      </c>
      <c r="W156" s="98">
        <f>W153*'Global Inputs'!V$83+Outputs!W154*CO2_emissions_gas_tons_per_therm</f>
        <v>0</v>
      </c>
      <c r="X156" s="98">
        <f>X153*'Global Inputs'!W$83+Outputs!X154*CO2_emissions_gas_tons_per_therm</f>
        <v>0</v>
      </c>
      <c r="Y156" s="98">
        <f>Y153*'Global Inputs'!X$83+Outputs!Y154*CO2_emissions_gas_tons_per_therm</f>
        <v>0</v>
      </c>
      <c r="Z156" s="98">
        <f>Z153*'Global Inputs'!Y$83+Outputs!Z154*CO2_emissions_gas_tons_per_therm</f>
        <v>0</v>
      </c>
      <c r="AA156" s="98">
        <f>AA153*'Global Inputs'!Z$83+Outputs!AA154*CO2_emissions_gas_tons_per_therm</f>
        <v>0</v>
      </c>
      <c r="AB156" s="98">
        <f>AB153*'Global Inputs'!AA$83+Outputs!AB154*CO2_emissions_gas_tons_per_therm</f>
        <v>0</v>
      </c>
      <c r="AC156" s="98">
        <f>AC153*'Global Inputs'!AB$83+Outputs!AC154*CO2_emissions_gas_tons_per_therm</f>
        <v>0</v>
      </c>
      <c r="AD156" s="98">
        <f>AD153*'Global Inputs'!AC$83+Outputs!AD154*CO2_emissions_gas_tons_per_therm</f>
        <v>0</v>
      </c>
      <c r="AE156" s="98">
        <f>AE153*'Global Inputs'!AD$83+Outputs!AE154*CO2_emissions_gas_tons_per_therm</f>
        <v>0</v>
      </c>
      <c r="AF156" s="98">
        <f>AF153*'Global Inputs'!AE$83+Outputs!AF154*CO2_emissions_gas_tons_per_therm</f>
        <v>0</v>
      </c>
      <c r="AG156" s="98">
        <f>AG153*'Global Inputs'!AF$83+Outputs!AG154*CO2_emissions_gas_tons_per_therm</f>
        <v>0</v>
      </c>
      <c r="AH156" s="53">
        <f t="shared" ref="AH156" si="27">SUM(D156:AG156)</f>
        <v>2108959.2444052505</v>
      </c>
      <c r="AI156"/>
      <c r="AJ156" s="23"/>
      <c r="AM156" s="19" t="s">
        <v>316</v>
      </c>
      <c r="AN156" s="19"/>
      <c r="AO156" s="19"/>
      <c r="AP156" s="19"/>
      <c r="AQ156" s="19"/>
      <c r="AR156" s="19"/>
      <c r="AS156" s="19"/>
      <c r="AT156" s="19"/>
      <c r="AU156" s="19"/>
      <c r="AV156" s="19"/>
      <c r="AW156" s="19"/>
      <c r="AX156" s="19"/>
      <c r="AZ156" s="19" t="s">
        <v>316</v>
      </c>
      <c r="BA156" s="19"/>
      <c r="BB156" s="19"/>
      <c r="BC156" s="19"/>
      <c r="BD156" s="19"/>
      <c r="BE156" s="19"/>
      <c r="BF156" s="19"/>
      <c r="BG156" s="19"/>
      <c r="BH156" s="19"/>
      <c r="BI156" s="19"/>
      <c r="BJ156" s="19"/>
      <c r="BK156" s="19"/>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row>
    <row r="157" spans="2:135" ht="15.75" outlineLevel="1" thickTop="1" x14ac:dyDescent="0.25">
      <c r="B157" t="s">
        <v>314</v>
      </c>
      <c r="C157" t="s">
        <v>315</v>
      </c>
      <c r="AG157" s="51">
        <f>AG153*Btuh_per_W/'Global Inputs'!$D$17+AG154*'Global Inputs'!$D$16/'Global Inputs'!$D$17/'Global Inputs'!$D$17</f>
        <v>1365011.7117160792</v>
      </c>
      <c r="AH157" s="53">
        <f>AH153*Btuh_per_W/'Global Inputs'!$D$17+AH154*'Global Inputs'!$D$16/'Global Inputs'!$D$17/'Global Inputs'!$D$17</f>
        <v>59219189.450726613</v>
      </c>
      <c r="AM157" s="1"/>
      <c r="AN157" s="1"/>
      <c r="AO157" s="1"/>
      <c r="AP157" s="1"/>
      <c r="AQ157" s="1"/>
      <c r="AR157" s="1"/>
      <c r="AS157" s="1"/>
      <c r="AT157" s="1"/>
      <c r="AU157" s="1"/>
      <c r="AV157" s="1"/>
      <c r="AW157" s="1"/>
      <c r="AX157" s="1"/>
      <c r="AZ157" s="1"/>
      <c r="BA157" s="1"/>
      <c r="BB157" s="1"/>
      <c r="BC157" s="1"/>
      <c r="BD157" s="1"/>
      <c r="BE157" s="1"/>
      <c r="BF157" s="1"/>
      <c r="BG157" s="1"/>
      <c r="BH157" s="1"/>
      <c r="BI157" s="1"/>
      <c r="BJ157" s="1"/>
      <c r="BK157" s="1"/>
    </row>
    <row r="158" spans="2:135" outlineLevel="1" x14ac:dyDescent="0.25">
      <c r="AH158" s="54"/>
      <c r="AY158" s="1"/>
      <c r="BL158" s="1"/>
    </row>
    <row r="159" spans="2:135" s="1" customFormat="1" ht="17.25" outlineLevel="1" thickBot="1" x14ac:dyDescent="0.3">
      <c r="B159" s="19" t="s">
        <v>297</v>
      </c>
      <c r="C159" s="19"/>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55"/>
      <c r="AI159" s="19"/>
      <c r="AJ159" s="1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row>
    <row r="160" spans="2:135" s="1" customFormat="1" ht="16.5" outlineLevel="1" thickTop="1" thickBot="1" x14ac:dyDescent="0.3">
      <c r="B160" s="20" t="s">
        <v>310</v>
      </c>
      <c r="C160" s="20" t="s">
        <v>13</v>
      </c>
      <c r="D160" s="97" t="s">
        <v>17</v>
      </c>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56" t="s">
        <v>224</v>
      </c>
      <c r="AI160" s="20"/>
      <c r="AJ160" s="20" t="s">
        <v>15</v>
      </c>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row>
    <row r="161" spans="2:135" outlineLevel="1" x14ac:dyDescent="0.25">
      <c r="D161" s="100">
        <f>'Core Loads'!$C$14</f>
        <v>2025</v>
      </c>
      <c r="E161" s="100">
        <f>'Core Loads'!$D$14</f>
        <v>2026</v>
      </c>
      <c r="F161" s="100">
        <f>'Core Loads'!$E$14</f>
        <v>2027</v>
      </c>
      <c r="G161" s="100">
        <f>'Core Loads'!$F$14</f>
        <v>2028</v>
      </c>
      <c r="H161" s="100">
        <f>'Core Loads'!$G$14</f>
        <v>2029</v>
      </c>
      <c r="I161" s="100">
        <f>'Core Loads'!$H$14</f>
        <v>2030</v>
      </c>
      <c r="J161" s="100">
        <f>'Core Loads'!$I$14</f>
        <v>2031</v>
      </c>
      <c r="K161" s="100">
        <f>'Core Loads'!$J$14</f>
        <v>2032</v>
      </c>
      <c r="L161" s="100">
        <f>'Core Loads'!$K$14</f>
        <v>2033</v>
      </c>
      <c r="M161" s="100">
        <f>'Core Loads'!$L$14</f>
        <v>2034</v>
      </c>
      <c r="N161" s="100">
        <f>'Core Loads'!$M$14</f>
        <v>2035</v>
      </c>
      <c r="O161" s="100">
        <f>'Core Loads'!$N$14</f>
        <v>2036</v>
      </c>
      <c r="P161" s="100">
        <f>'Core Loads'!$O$14</f>
        <v>2037</v>
      </c>
      <c r="Q161" s="100">
        <f>'Core Loads'!$P$14</f>
        <v>2038</v>
      </c>
      <c r="R161" s="100">
        <f>'Core Loads'!$Q$14</f>
        <v>2039</v>
      </c>
      <c r="S161" s="100">
        <f>'Core Loads'!$R$14</f>
        <v>2040</v>
      </c>
      <c r="T161" s="100">
        <f>'Core Loads'!$S$14</f>
        <v>2041</v>
      </c>
      <c r="U161" s="100">
        <f>'Core Loads'!$T$14</f>
        <v>2042</v>
      </c>
      <c r="V161" s="100">
        <f>'Core Loads'!$U$14</f>
        <v>2043</v>
      </c>
      <c r="W161" s="100">
        <f>'Core Loads'!$V$14</f>
        <v>2044</v>
      </c>
      <c r="X161" s="100">
        <f>'Core Loads'!$W$14</f>
        <v>2045</v>
      </c>
      <c r="Y161" s="100">
        <f>'Core Loads'!$X$14</f>
        <v>2046</v>
      </c>
      <c r="Z161" s="100">
        <f>'Core Loads'!$Y$14</f>
        <v>2047</v>
      </c>
      <c r="AA161" s="100">
        <f>'Core Loads'!$Z$14</f>
        <v>2048</v>
      </c>
      <c r="AB161" s="100">
        <f>'Core Loads'!$AA$14</f>
        <v>2049</v>
      </c>
      <c r="AC161" s="100">
        <f>'Core Loads'!$AB$14</f>
        <v>2050</v>
      </c>
      <c r="AD161" s="100">
        <f>'Core Loads'!$AC$14</f>
        <v>2051</v>
      </c>
      <c r="AE161" s="100">
        <f>'Core Loads'!$AD$14</f>
        <v>2052</v>
      </c>
      <c r="AF161" s="100">
        <f>'Core Loads'!$AE$14</f>
        <v>2053</v>
      </c>
      <c r="AG161" s="100">
        <f>'Core Loads'!$AF$14</f>
        <v>2054</v>
      </c>
      <c r="AH161" s="8"/>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row>
    <row r="162" spans="2:135" s="1" customFormat="1" outlineLevel="1" x14ac:dyDescent="0.25">
      <c r="B162" t="s">
        <v>141</v>
      </c>
      <c r="C162" t="s">
        <v>109</v>
      </c>
      <c r="D162" s="98">
        <f>D42-'Enhancement Inputs'!D$140</f>
        <v>30759933.538222048</v>
      </c>
      <c r="E162" s="98">
        <f>E42-'Enhancement Inputs'!E$140</f>
        <v>30759933.538222048</v>
      </c>
      <c r="F162" s="98">
        <f>F42-'Enhancement Inputs'!F$140</f>
        <v>30759933.538222048</v>
      </c>
      <c r="G162" s="98">
        <f>G42-'Enhancement Inputs'!G$140</f>
        <v>29646735.000699997</v>
      </c>
      <c r="H162" s="98">
        <f>H42-'Enhancement Inputs'!H$140</f>
        <v>29646735.000699997</v>
      </c>
      <c r="I162" s="98">
        <f>I42-'Enhancement Inputs'!I$140</f>
        <v>106387961.58038113</v>
      </c>
      <c r="J162" s="98">
        <f>J42-'Enhancement Inputs'!J$140</f>
        <v>106387961.58038113</v>
      </c>
      <c r="K162" s="98">
        <f>K42-'Enhancement Inputs'!K$140</f>
        <v>102094360.53733748</v>
      </c>
      <c r="L162" s="98">
        <f>L42-'Enhancement Inputs'!L$140</f>
        <v>102094360.53733748</v>
      </c>
      <c r="M162" s="98">
        <f>M42-'Enhancement Inputs'!M$140</f>
        <v>102689691.88932908</v>
      </c>
      <c r="N162" s="98">
        <f>N42-'Enhancement Inputs'!N$140</f>
        <v>166606299.67795473</v>
      </c>
      <c r="O162" s="98">
        <f>O42-'Enhancement Inputs'!O$140</f>
        <v>165942244.04951635</v>
      </c>
      <c r="P162" s="98">
        <f>P42-'Enhancement Inputs'!P$140</f>
        <v>165942244.04951635</v>
      </c>
      <c r="Q162" s="98">
        <f>Q42-'Enhancement Inputs'!Q$140</f>
        <v>165794496.71247479</v>
      </c>
      <c r="R162" s="98">
        <f>R42-'Enhancement Inputs'!R$140</f>
        <v>260074297.75379011</v>
      </c>
      <c r="S162" s="98">
        <f>S42-'Enhancement Inputs'!S$140</f>
        <v>303633784.12180173</v>
      </c>
      <c r="T162" s="98">
        <f>T42-'Enhancement Inputs'!T$140</f>
        <v>303633784.12180173</v>
      </c>
      <c r="U162" s="98">
        <f>U42-'Enhancement Inputs'!U$140</f>
        <v>303390755.77581608</v>
      </c>
      <c r="V162" s="98">
        <f>V42-'Enhancement Inputs'!V$140</f>
        <v>303390755.77581608</v>
      </c>
      <c r="W162" s="98">
        <f>W42-'Enhancement Inputs'!W$140</f>
        <v>302681496.42961389</v>
      </c>
      <c r="X162" s="98">
        <f>X42-'Enhancement Inputs'!X$140</f>
        <v>302681496.42961389</v>
      </c>
      <c r="Y162" s="98">
        <f>Y42-'Enhancement Inputs'!Y$140</f>
        <v>302681496.42961389</v>
      </c>
      <c r="Z162" s="98">
        <f>Z42-'Enhancement Inputs'!Z$140</f>
        <v>302681496.42961389</v>
      </c>
      <c r="AA162" s="98">
        <f>AA42-'Enhancement Inputs'!AA$140</f>
        <v>302681496.42961389</v>
      </c>
      <c r="AB162" s="98">
        <f>AB42-'Enhancement Inputs'!AB$140</f>
        <v>302681496.42961389</v>
      </c>
      <c r="AC162" s="98">
        <f>AC42-'Enhancement Inputs'!AC$140</f>
        <v>301848063.43947595</v>
      </c>
      <c r="AD162" s="98">
        <f>AD42-'Enhancement Inputs'!AD$140</f>
        <v>301848063.43947595</v>
      </c>
      <c r="AE162" s="98">
        <f>AE42-'Enhancement Inputs'!AE$140</f>
        <v>301848063.43947595</v>
      </c>
      <c r="AF162" s="98">
        <f>AF42-'Enhancement Inputs'!AF$140</f>
        <v>301848063.43947595</v>
      </c>
      <c r="AG162" s="98">
        <f>AG42-'Enhancement Inputs'!AG$140</f>
        <v>301848063.43947595</v>
      </c>
      <c r="AH162" s="53">
        <f>SUM(D162:AG162)</f>
        <v>6134965564.5543842</v>
      </c>
      <c r="AI162"/>
      <c r="AJ162" s="23" t="s">
        <v>317</v>
      </c>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row>
    <row r="163" spans="2:135" s="1" customFormat="1" outlineLevel="1" x14ac:dyDescent="0.25">
      <c r="B163" t="s">
        <v>136</v>
      </c>
      <c r="C163" t="s">
        <v>169</v>
      </c>
      <c r="D163" s="98">
        <f>D43</f>
        <v>28820560.60629487</v>
      </c>
      <c r="E163" s="98">
        <f t="shared" ref="E163:AG163" si="28">E43</f>
        <v>28820560.60629487</v>
      </c>
      <c r="F163" s="98">
        <f t="shared" si="28"/>
        <v>28820560.60629487</v>
      </c>
      <c r="G163" s="98">
        <f t="shared" si="28"/>
        <v>28545341.288089495</v>
      </c>
      <c r="H163" s="98">
        <f t="shared" si="28"/>
        <v>28545341.288089495</v>
      </c>
      <c r="I163" s="98">
        <f t="shared" si="28"/>
        <v>21374251.397505261</v>
      </c>
      <c r="J163" s="98">
        <f t="shared" si="28"/>
        <v>21374251.397505261</v>
      </c>
      <c r="K163" s="98">
        <f t="shared" si="28"/>
        <v>20706876.478281714</v>
      </c>
      <c r="L163" s="98">
        <f t="shared" si="28"/>
        <v>20706876.478281714</v>
      </c>
      <c r="M163" s="98">
        <f t="shared" si="28"/>
        <v>20396339.270965789</v>
      </c>
      <c r="N163" s="98">
        <f t="shared" si="28"/>
        <v>16670601.866040172</v>
      </c>
      <c r="O163" s="98">
        <f t="shared" si="28"/>
        <v>16331380.62114461</v>
      </c>
      <c r="P163" s="98">
        <f t="shared" si="28"/>
        <v>16331380.62114461</v>
      </c>
      <c r="Q163" s="98">
        <f t="shared" si="28"/>
        <v>16248856.769805884</v>
      </c>
      <c r="R163" s="98">
        <f t="shared" si="28"/>
        <v>0</v>
      </c>
      <c r="S163" s="98">
        <f t="shared" si="28"/>
        <v>0</v>
      </c>
      <c r="T163" s="98">
        <f t="shared" si="28"/>
        <v>0</v>
      </c>
      <c r="U163" s="98">
        <f t="shared" si="28"/>
        <v>0</v>
      </c>
      <c r="V163" s="98">
        <f t="shared" si="28"/>
        <v>0</v>
      </c>
      <c r="W163" s="98">
        <f t="shared" si="28"/>
        <v>0</v>
      </c>
      <c r="X163" s="98">
        <f t="shared" si="28"/>
        <v>0</v>
      </c>
      <c r="Y163" s="98">
        <f t="shared" si="28"/>
        <v>0</v>
      </c>
      <c r="Z163" s="98">
        <f t="shared" si="28"/>
        <v>0</v>
      </c>
      <c r="AA163" s="98">
        <f t="shared" si="28"/>
        <v>0</v>
      </c>
      <c r="AB163" s="98">
        <f t="shared" si="28"/>
        <v>0</v>
      </c>
      <c r="AC163" s="98">
        <f t="shared" si="28"/>
        <v>0</v>
      </c>
      <c r="AD163" s="98">
        <f t="shared" si="28"/>
        <v>0</v>
      </c>
      <c r="AE163" s="98">
        <f t="shared" si="28"/>
        <v>0</v>
      </c>
      <c r="AF163" s="98">
        <f t="shared" si="28"/>
        <v>0</v>
      </c>
      <c r="AG163" s="98">
        <f t="shared" si="28"/>
        <v>0</v>
      </c>
      <c r="AH163" s="53">
        <f t="shared" ref="AH163:AH164" si="29">SUM(D163:AG163)</f>
        <v>313693179.29573858</v>
      </c>
      <c r="AI163"/>
      <c r="AJ163" s="23" t="s">
        <v>317</v>
      </c>
      <c r="AM163"/>
      <c r="AN163"/>
      <c r="AO163"/>
      <c r="AP163"/>
      <c r="AQ163"/>
      <c r="AR163"/>
      <c r="AS163"/>
      <c r="AT163"/>
      <c r="AU163"/>
      <c r="AV163"/>
      <c r="AW163"/>
      <c r="AX163"/>
      <c r="AZ163"/>
      <c r="BA163"/>
      <c r="BB163"/>
      <c r="BC163"/>
      <c r="BD163"/>
      <c r="BE163"/>
      <c r="BF163"/>
      <c r="BG163"/>
      <c r="BH163"/>
      <c r="BI163"/>
      <c r="BJ163"/>
      <c r="BK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row>
    <row r="164" spans="2:135" s="1" customFormat="1" outlineLevel="1" x14ac:dyDescent="0.25">
      <c r="B164" t="s">
        <v>154</v>
      </c>
      <c r="C164" t="s">
        <v>170</v>
      </c>
      <c r="D164" s="98">
        <f>D44</f>
        <v>261286.05720287678</v>
      </c>
      <c r="E164" s="98">
        <f t="shared" ref="E164:AG164" si="30">E44</f>
        <v>280053.88112651004</v>
      </c>
      <c r="F164" s="98">
        <f t="shared" si="30"/>
        <v>280053.88112651004</v>
      </c>
      <c r="G164" s="98">
        <f t="shared" si="30"/>
        <v>299698.99826324207</v>
      </c>
      <c r="H164" s="98">
        <f t="shared" si="30"/>
        <v>299698.99826324207</v>
      </c>
      <c r="I164" s="98">
        <f t="shared" si="30"/>
        <v>268615.28080787358</v>
      </c>
      <c r="J164" s="98">
        <f t="shared" si="30"/>
        <v>268615.28080787358</v>
      </c>
      <c r="K164" s="98">
        <f t="shared" si="30"/>
        <v>259012.49521457759</v>
      </c>
      <c r="L164" s="98">
        <f t="shared" si="30"/>
        <v>259012.49521457759</v>
      </c>
      <c r="M164" s="98">
        <f t="shared" si="30"/>
        <v>258565.48644467274</v>
      </c>
      <c r="N164" s="98">
        <f t="shared" si="30"/>
        <v>222406.57935464202</v>
      </c>
      <c r="O164" s="98">
        <f t="shared" si="30"/>
        <v>218915.04632238334</v>
      </c>
      <c r="P164" s="98">
        <f t="shared" si="30"/>
        <v>218915.04632238334</v>
      </c>
      <c r="Q164" s="98">
        <f t="shared" si="30"/>
        <v>218142.41487150022</v>
      </c>
      <c r="R164" s="98">
        <f t="shared" si="30"/>
        <v>144483.601555553</v>
      </c>
      <c r="S164" s="98">
        <f t="shared" si="30"/>
        <v>165316.17341266482</v>
      </c>
      <c r="T164" s="98">
        <f t="shared" si="30"/>
        <v>165316.17341266482</v>
      </c>
      <c r="U164" s="98">
        <f t="shared" si="30"/>
        <v>165249.68529523592</v>
      </c>
      <c r="V164" s="98">
        <f t="shared" si="30"/>
        <v>165249.68529523592</v>
      </c>
      <c r="W164" s="98">
        <f t="shared" si="30"/>
        <v>164877.54257590559</v>
      </c>
      <c r="X164" s="98">
        <f t="shared" si="30"/>
        <v>164877.54257590559</v>
      </c>
      <c r="Y164" s="98">
        <f t="shared" si="30"/>
        <v>164877.54257590559</v>
      </c>
      <c r="Z164" s="98">
        <f t="shared" si="30"/>
        <v>164877.54257590559</v>
      </c>
      <c r="AA164" s="98">
        <f t="shared" si="30"/>
        <v>164877.54257590559</v>
      </c>
      <c r="AB164" s="98">
        <f t="shared" si="30"/>
        <v>164877.54257590559</v>
      </c>
      <c r="AC164" s="98">
        <f t="shared" si="30"/>
        <v>164385.26105735954</v>
      </c>
      <c r="AD164" s="98">
        <f t="shared" si="30"/>
        <v>164385.26105735954</v>
      </c>
      <c r="AE164" s="98">
        <f t="shared" si="30"/>
        <v>164385.26105735954</v>
      </c>
      <c r="AF164" s="98">
        <f t="shared" si="30"/>
        <v>164385.26105735954</v>
      </c>
      <c r="AG164" s="98">
        <f t="shared" si="30"/>
        <v>164385.26105735954</v>
      </c>
      <c r="AH164" s="53">
        <f t="shared" si="29"/>
        <v>6229798.8210564526</v>
      </c>
      <c r="AI164"/>
      <c r="AJ164" s="23" t="s">
        <v>317</v>
      </c>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row>
    <row r="165" spans="2:135" s="1" customFormat="1" outlineLevel="1" x14ac:dyDescent="0.25">
      <c r="B165" t="s">
        <v>312</v>
      </c>
      <c r="C165" t="s">
        <v>313</v>
      </c>
      <c r="D165" s="98">
        <f>D162*'Global Inputs'!C$83+Outputs!D163*CO2_emissions_gas_tons_per_therm</f>
        <v>193760.6289561204</v>
      </c>
      <c r="E165" s="98">
        <f>E162*'Global Inputs'!D$83+Outputs!E163*CO2_emissions_gas_tons_per_therm</f>
        <v>193760.6289561204</v>
      </c>
      <c r="F165" s="98">
        <f>F162*'Global Inputs'!E$83+Outputs!F163*CO2_emissions_gas_tons_per_therm</f>
        <v>193760.6289561204</v>
      </c>
      <c r="G165" s="98">
        <f>G162*'Global Inputs'!F$83+Outputs!G163*CO2_emissions_gas_tons_per_therm</f>
        <v>191910.32947982568</v>
      </c>
      <c r="H165" s="98">
        <f>H162*'Global Inputs'!G$83+Outputs!H163*CO2_emissions_gas_tons_per_therm</f>
        <v>191910.32947982568</v>
      </c>
      <c r="I165" s="98">
        <f>I162*'Global Inputs'!H$83+Outputs!I163*CO2_emissions_gas_tons_per_therm</f>
        <v>143699.09214542786</v>
      </c>
      <c r="J165" s="98">
        <f>J162*'Global Inputs'!I$83+Outputs!J163*CO2_emissions_gas_tons_per_therm</f>
        <v>143699.09214542786</v>
      </c>
      <c r="K165" s="98">
        <f>K162*'Global Inputs'!J$83+Outputs!K163*CO2_emissions_gas_tons_per_therm</f>
        <v>139212.33056348795</v>
      </c>
      <c r="L165" s="98">
        <f>L162*'Global Inputs'!K$83+Outputs!L163*CO2_emissions_gas_tons_per_therm</f>
        <v>139212.33056348795</v>
      </c>
      <c r="M165" s="98">
        <f>M162*'Global Inputs'!L$83+Outputs!M163*CO2_emissions_gas_tons_per_therm</f>
        <v>137124.588918703</v>
      </c>
      <c r="N165" s="98">
        <f>N162*'Global Inputs'!M$83+Outputs!N163*CO2_emissions_gas_tons_per_therm</f>
        <v>112076.45634538807</v>
      </c>
      <c r="O165" s="98">
        <f>O162*'Global Inputs'!N$83+Outputs!O163*CO2_emissions_gas_tons_per_therm</f>
        <v>109795.87191595521</v>
      </c>
      <c r="P165" s="98">
        <f>P162*'Global Inputs'!O$83+Outputs!P163*CO2_emissions_gas_tons_per_therm</f>
        <v>109795.87191595521</v>
      </c>
      <c r="Q165" s="98">
        <f>Q162*'Global Inputs'!P$83+Outputs!Q163*CO2_emissions_gas_tons_per_therm</f>
        <v>109241.06406340495</v>
      </c>
      <c r="R165" s="98">
        <f>R162*'Global Inputs'!Q$83+Outputs!R163*CO2_emissions_gas_tons_per_therm</f>
        <v>0</v>
      </c>
      <c r="S165" s="98">
        <f>S162*'Global Inputs'!R$83+Outputs!S163*CO2_emissions_gas_tons_per_therm</f>
        <v>0</v>
      </c>
      <c r="T165" s="98">
        <f>T162*'Global Inputs'!S$83+Outputs!T163*CO2_emissions_gas_tons_per_therm</f>
        <v>0</v>
      </c>
      <c r="U165" s="98">
        <f>U162*'Global Inputs'!T$83+Outputs!U163*CO2_emissions_gas_tons_per_therm</f>
        <v>0</v>
      </c>
      <c r="V165" s="98">
        <f>V162*'Global Inputs'!U$83+Outputs!V163*CO2_emissions_gas_tons_per_therm</f>
        <v>0</v>
      </c>
      <c r="W165" s="98">
        <f>W162*'Global Inputs'!V$83+Outputs!W163*CO2_emissions_gas_tons_per_therm</f>
        <v>0</v>
      </c>
      <c r="X165" s="98">
        <f>X162*'Global Inputs'!W$83+Outputs!X163*CO2_emissions_gas_tons_per_therm</f>
        <v>0</v>
      </c>
      <c r="Y165" s="98">
        <f>Y162*'Global Inputs'!X$83+Outputs!Y163*CO2_emissions_gas_tons_per_therm</f>
        <v>0</v>
      </c>
      <c r="Z165" s="98">
        <f>Z162*'Global Inputs'!Y$83+Outputs!Z163*CO2_emissions_gas_tons_per_therm</f>
        <v>0</v>
      </c>
      <c r="AA165" s="98">
        <f>AA162*'Global Inputs'!Z$83+Outputs!AA163*CO2_emissions_gas_tons_per_therm</f>
        <v>0</v>
      </c>
      <c r="AB165" s="98">
        <f>AB162*'Global Inputs'!AA$83+Outputs!AB163*CO2_emissions_gas_tons_per_therm</f>
        <v>0</v>
      </c>
      <c r="AC165" s="98">
        <f>AC162*'Global Inputs'!AB$83+Outputs!AC163*CO2_emissions_gas_tons_per_therm</f>
        <v>0</v>
      </c>
      <c r="AD165" s="98">
        <f>AD162*'Global Inputs'!AC$83+Outputs!AD163*CO2_emissions_gas_tons_per_therm</f>
        <v>0</v>
      </c>
      <c r="AE165" s="98">
        <f>AE162*'Global Inputs'!AD$83+Outputs!AE163*CO2_emissions_gas_tons_per_therm</f>
        <v>0</v>
      </c>
      <c r="AF165" s="98">
        <f>AF162*'Global Inputs'!AE$83+Outputs!AF163*CO2_emissions_gas_tons_per_therm</f>
        <v>0</v>
      </c>
      <c r="AG165" s="98">
        <f>AG162*'Global Inputs'!AF$83+Outputs!AG163*CO2_emissions_gas_tons_per_therm</f>
        <v>0</v>
      </c>
      <c r="AH165" s="53">
        <f t="shared" ref="AH165" si="31">SUM(D165:AG165)</f>
        <v>2108959.2444052505</v>
      </c>
      <c r="AI165"/>
      <c r="AJ165" s="23"/>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row>
    <row r="166" spans="2:135" outlineLevel="1" x14ac:dyDescent="0.25">
      <c r="B166" t="s">
        <v>314</v>
      </c>
      <c r="C166" t="s">
        <v>315</v>
      </c>
      <c r="AG166" s="51">
        <f>AG162*Btuh_per_W/'Global Inputs'!$D$17+AG163*'Global Inputs'!$D$16/'Global Inputs'!$D$17/'Global Inputs'!$D$17</f>
        <v>1029905.5924554919</v>
      </c>
      <c r="AH166" s="53">
        <f>AH162*Btuh_per_W/'Global Inputs'!$D$17+AH163*'Global Inputs'!$D$16/'Global Inputs'!$D$17/'Global Inputs'!$D$17</f>
        <v>52301820.435833424</v>
      </c>
      <c r="AM166" s="1"/>
      <c r="AN166" s="1"/>
      <c r="AO166" s="1"/>
      <c r="AP166" s="1"/>
      <c r="AQ166" s="1"/>
      <c r="AR166" s="1"/>
      <c r="AS166" s="1"/>
      <c r="AT166" s="1"/>
      <c r="AU166" s="1"/>
      <c r="AV166" s="1"/>
      <c r="AW166" s="1"/>
      <c r="AX166" s="1"/>
      <c r="AZ166" s="1"/>
      <c r="BA166" s="1"/>
      <c r="BB166" s="1"/>
      <c r="BC166" s="1"/>
      <c r="BD166" s="1"/>
      <c r="BE166" s="1"/>
      <c r="BF166" s="1"/>
      <c r="BG166" s="1"/>
      <c r="BH166" s="1"/>
      <c r="BI166" s="1"/>
      <c r="BJ166" s="1"/>
      <c r="BK166" s="1"/>
    </row>
    <row r="167" spans="2:135" s="1" customFormat="1" outlineLevel="1" x14ac:dyDescent="0.25">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57"/>
      <c r="AM167"/>
      <c r="AN167"/>
      <c r="AO167"/>
      <c r="AP167"/>
      <c r="AQ167"/>
      <c r="AR167"/>
      <c r="AS167"/>
      <c r="AT167"/>
      <c r="AU167"/>
      <c r="AV167"/>
      <c r="AW167"/>
      <c r="AX167"/>
      <c r="AZ167"/>
      <c r="BA167"/>
      <c r="BB167"/>
      <c r="BC167"/>
      <c r="BD167"/>
      <c r="BE167"/>
      <c r="BF167"/>
      <c r="BG167"/>
      <c r="BH167"/>
      <c r="BI167"/>
      <c r="BJ167"/>
      <c r="BK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row>
    <row r="168" spans="2:135" s="1" customFormat="1" ht="17.25" outlineLevel="1" thickBot="1" x14ac:dyDescent="0.3">
      <c r="B168" s="19" t="s">
        <v>285</v>
      </c>
      <c r="C168" s="19"/>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55"/>
      <c r="AI168" s="19"/>
      <c r="AJ168" s="19"/>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row>
    <row r="169" spans="2:135" s="1" customFormat="1" ht="16.5" outlineLevel="1" thickTop="1" thickBot="1" x14ac:dyDescent="0.3">
      <c r="B169" s="20" t="s">
        <v>310</v>
      </c>
      <c r="C169" s="20" t="s">
        <v>13</v>
      </c>
      <c r="D169" s="97" t="s">
        <v>17</v>
      </c>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56" t="s">
        <v>224</v>
      </c>
      <c r="AI169" s="20"/>
      <c r="AJ169" s="20" t="s">
        <v>15</v>
      </c>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row>
    <row r="170" spans="2:135" outlineLevel="1" x14ac:dyDescent="0.25">
      <c r="D170" s="100">
        <f>'Core Loads'!$C$14</f>
        <v>2025</v>
      </c>
      <c r="E170" s="100">
        <f>'Core Loads'!$D$14</f>
        <v>2026</v>
      </c>
      <c r="F170" s="100">
        <f>'Core Loads'!$E$14</f>
        <v>2027</v>
      </c>
      <c r="G170" s="100">
        <f>'Core Loads'!$F$14</f>
        <v>2028</v>
      </c>
      <c r="H170" s="100">
        <f>'Core Loads'!$G$14</f>
        <v>2029</v>
      </c>
      <c r="I170" s="100">
        <f>'Core Loads'!$H$14</f>
        <v>2030</v>
      </c>
      <c r="J170" s="100">
        <f>'Core Loads'!$I$14</f>
        <v>2031</v>
      </c>
      <c r="K170" s="100">
        <f>'Core Loads'!$J$14</f>
        <v>2032</v>
      </c>
      <c r="L170" s="100">
        <f>'Core Loads'!$K$14</f>
        <v>2033</v>
      </c>
      <c r="M170" s="100">
        <f>'Core Loads'!$L$14</f>
        <v>2034</v>
      </c>
      <c r="N170" s="100">
        <f>'Core Loads'!$M$14</f>
        <v>2035</v>
      </c>
      <c r="O170" s="100">
        <f>'Core Loads'!$N$14</f>
        <v>2036</v>
      </c>
      <c r="P170" s="100">
        <f>'Core Loads'!$O$14</f>
        <v>2037</v>
      </c>
      <c r="Q170" s="100">
        <f>'Core Loads'!$P$14</f>
        <v>2038</v>
      </c>
      <c r="R170" s="100">
        <f>'Core Loads'!$Q$14</f>
        <v>2039</v>
      </c>
      <c r="S170" s="100">
        <f>'Core Loads'!$R$14</f>
        <v>2040</v>
      </c>
      <c r="T170" s="100">
        <f>'Core Loads'!$S$14</f>
        <v>2041</v>
      </c>
      <c r="U170" s="100">
        <f>'Core Loads'!$T$14</f>
        <v>2042</v>
      </c>
      <c r="V170" s="100">
        <f>'Core Loads'!$U$14</f>
        <v>2043</v>
      </c>
      <c r="W170" s="100">
        <f>'Core Loads'!$V$14</f>
        <v>2044</v>
      </c>
      <c r="X170" s="100">
        <f>'Core Loads'!$W$14</f>
        <v>2045</v>
      </c>
      <c r="Y170" s="100">
        <f>'Core Loads'!$X$14</f>
        <v>2046</v>
      </c>
      <c r="Z170" s="100">
        <f>'Core Loads'!$Y$14</f>
        <v>2047</v>
      </c>
      <c r="AA170" s="100">
        <f>'Core Loads'!$Z$14</f>
        <v>2048</v>
      </c>
      <c r="AB170" s="100">
        <f>'Core Loads'!$AA$14</f>
        <v>2049</v>
      </c>
      <c r="AC170" s="100">
        <f>'Core Loads'!$AB$14</f>
        <v>2050</v>
      </c>
      <c r="AD170" s="100">
        <f>'Core Loads'!$AC$14</f>
        <v>2051</v>
      </c>
      <c r="AE170" s="100">
        <f>'Core Loads'!$AD$14</f>
        <v>2052</v>
      </c>
      <c r="AF170" s="100">
        <f>'Core Loads'!$AE$14</f>
        <v>2053</v>
      </c>
      <c r="AG170" s="100">
        <f>'Core Loads'!$AF$14</f>
        <v>2054</v>
      </c>
      <c r="AH170" s="8"/>
      <c r="AM170" s="1"/>
      <c r="AN170" s="1"/>
      <c r="AO170" s="1"/>
      <c r="AP170" s="1"/>
      <c r="AQ170" s="1"/>
      <c r="AR170" s="1"/>
      <c r="AS170" s="1"/>
      <c r="AT170" s="1"/>
      <c r="AU170" s="1"/>
      <c r="AV170" s="1"/>
      <c r="AW170" s="1"/>
      <c r="AX170" s="1"/>
      <c r="AZ170" s="1"/>
      <c r="BA170" s="1"/>
      <c r="BB170" s="1"/>
      <c r="BC170" s="1"/>
      <c r="BD170" s="1"/>
      <c r="BE170" s="1"/>
      <c r="BF170" s="1"/>
      <c r="BG170" s="1"/>
      <c r="BH170" s="1"/>
      <c r="BI170" s="1"/>
      <c r="BJ170" s="1"/>
      <c r="BK170" s="1"/>
      <c r="BN170" s="1"/>
    </row>
    <row r="171" spans="2:135" s="1" customFormat="1" outlineLevel="1" x14ac:dyDescent="0.25">
      <c r="B171" t="s">
        <v>141</v>
      </c>
      <c r="C171" t="s">
        <v>109</v>
      </c>
      <c r="D171" s="98">
        <f>D51-'Enhancement Inputs'!D$141</f>
        <v>0</v>
      </c>
      <c r="E171" s="98">
        <f>E51-'Enhancement Inputs'!E$141</f>
        <v>2865758.5345967412</v>
      </c>
      <c r="F171" s="98">
        <f>F51-'Enhancement Inputs'!F$141</f>
        <v>0</v>
      </c>
      <c r="G171" s="98">
        <f>G51-'Enhancement Inputs'!G$141</f>
        <v>0</v>
      </c>
      <c r="H171" s="98">
        <f>H51-'Enhancement Inputs'!H$141</f>
        <v>0</v>
      </c>
      <c r="I171" s="98">
        <f>I51-'Enhancement Inputs'!I$141</f>
        <v>0</v>
      </c>
      <c r="J171" s="98">
        <f>J51-'Enhancement Inputs'!J$141</f>
        <v>0</v>
      </c>
      <c r="K171" s="98">
        <f>K51-'Enhancement Inputs'!K$141</f>
        <v>0</v>
      </c>
      <c r="L171" s="98">
        <f>L51-'Enhancement Inputs'!L$141</f>
        <v>0</v>
      </c>
      <c r="M171" s="98">
        <f>M51-'Enhancement Inputs'!M$141</f>
        <v>0</v>
      </c>
      <c r="N171" s="98">
        <f>N51-'Enhancement Inputs'!N$141</f>
        <v>0</v>
      </c>
      <c r="O171" s="98">
        <f>O51-'Enhancement Inputs'!O$141</f>
        <v>0</v>
      </c>
      <c r="P171" s="98">
        <f>P51-'Enhancement Inputs'!P$141</f>
        <v>0</v>
      </c>
      <c r="Q171" s="98">
        <f>Q51-'Enhancement Inputs'!Q$141</f>
        <v>0</v>
      </c>
      <c r="R171" s="98">
        <f>R51-'Enhancement Inputs'!R$141</f>
        <v>0</v>
      </c>
      <c r="S171" s="98">
        <f>S51-'Enhancement Inputs'!S$141</f>
        <v>0</v>
      </c>
      <c r="T171" s="98">
        <f>T51-'Enhancement Inputs'!T$141</f>
        <v>0</v>
      </c>
      <c r="U171" s="98">
        <f>U51-'Enhancement Inputs'!U$141</f>
        <v>0</v>
      </c>
      <c r="V171" s="98">
        <f>V51-'Enhancement Inputs'!V$141</f>
        <v>0</v>
      </c>
      <c r="W171" s="98">
        <f>W51-'Enhancement Inputs'!W$141</f>
        <v>0</v>
      </c>
      <c r="X171" s="98">
        <f>X51-'Enhancement Inputs'!X$141</f>
        <v>0</v>
      </c>
      <c r="Y171" s="98">
        <f>Y51-'Enhancement Inputs'!Y$141</f>
        <v>0</v>
      </c>
      <c r="Z171" s="98">
        <f>Z51-'Enhancement Inputs'!Z$141</f>
        <v>0</v>
      </c>
      <c r="AA171" s="98">
        <f>AA51-'Enhancement Inputs'!AA$141</f>
        <v>0</v>
      </c>
      <c r="AB171" s="98">
        <f>AB51-'Enhancement Inputs'!AB$141</f>
        <v>0</v>
      </c>
      <c r="AC171" s="98">
        <f>AC51-'Enhancement Inputs'!AC$141</f>
        <v>0</v>
      </c>
      <c r="AD171" s="98">
        <f>AD51-'Enhancement Inputs'!AD$141</f>
        <v>0</v>
      </c>
      <c r="AE171" s="98">
        <f>AE51-'Enhancement Inputs'!AE$141</f>
        <v>0</v>
      </c>
      <c r="AF171" s="98">
        <f>AF51-'Enhancement Inputs'!AF$141</f>
        <v>0</v>
      </c>
      <c r="AG171" s="98">
        <f>AG51-'Enhancement Inputs'!AG$141</f>
        <v>0</v>
      </c>
      <c r="AH171" s="53">
        <f>SUM(D171:AG171)</f>
        <v>2865758.5345967412</v>
      </c>
      <c r="AI171"/>
      <c r="AJ171" s="23" t="s">
        <v>317</v>
      </c>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row>
    <row r="172" spans="2:135" s="1" customFormat="1" outlineLevel="1" x14ac:dyDescent="0.25">
      <c r="B172" t="s">
        <v>136</v>
      </c>
      <c r="C172" t="s">
        <v>169</v>
      </c>
      <c r="D172" s="98">
        <f>D52</f>
        <v>31258877.283118241</v>
      </c>
      <c r="E172" s="98">
        <f t="shared" ref="E172:AG172" si="32">E52</f>
        <v>31258877.283118241</v>
      </c>
      <c r="F172" s="98">
        <f t="shared" si="32"/>
        <v>13231647.348791353</v>
      </c>
      <c r="G172" s="98">
        <f t="shared" si="32"/>
        <v>12967671.873370046</v>
      </c>
      <c r="H172" s="98">
        <f t="shared" si="32"/>
        <v>12967671.873370046</v>
      </c>
      <c r="I172" s="98">
        <f t="shared" si="32"/>
        <v>12750842.004018847</v>
      </c>
      <c r="J172" s="98">
        <f t="shared" si="32"/>
        <v>12750842.004018847</v>
      </c>
      <c r="K172" s="98">
        <f t="shared" si="32"/>
        <v>12218669.935102589</v>
      </c>
      <c r="L172" s="98">
        <f t="shared" si="32"/>
        <v>12218669.935102589</v>
      </c>
      <c r="M172" s="98">
        <f t="shared" si="32"/>
        <v>12043802.794555094</v>
      </c>
      <c r="N172" s="98">
        <f t="shared" si="32"/>
        <v>12043802.794555094</v>
      </c>
      <c r="O172" s="98">
        <f t="shared" si="32"/>
        <v>11773318.044142656</v>
      </c>
      <c r="P172" s="98">
        <f t="shared" si="32"/>
        <v>11773318.044142656</v>
      </c>
      <c r="Q172" s="98">
        <f t="shared" si="32"/>
        <v>11708380.608110853</v>
      </c>
      <c r="R172" s="98">
        <f t="shared" si="32"/>
        <v>11708380.608110853</v>
      </c>
      <c r="S172" s="98">
        <f t="shared" si="32"/>
        <v>12487631.497734144</v>
      </c>
      <c r="T172" s="98">
        <f t="shared" si="32"/>
        <v>12487631.497734144</v>
      </c>
      <c r="U172" s="98">
        <f t="shared" si="32"/>
        <v>12455788.749060519</v>
      </c>
      <c r="V172" s="98">
        <f t="shared" si="32"/>
        <v>12455788.749060519</v>
      </c>
      <c r="W172" s="98">
        <f t="shared" si="32"/>
        <v>12421037.488191342</v>
      </c>
      <c r="X172" s="98">
        <f t="shared" si="32"/>
        <v>12421037.488191342</v>
      </c>
      <c r="Y172" s="98">
        <f t="shared" si="32"/>
        <v>12421037.488191342</v>
      </c>
      <c r="Z172" s="98">
        <f t="shared" si="32"/>
        <v>12421037.488191342</v>
      </c>
      <c r="AA172" s="98">
        <f t="shared" si="32"/>
        <v>12421037.488191342</v>
      </c>
      <c r="AB172" s="98">
        <f t="shared" si="32"/>
        <v>12421037.488191342</v>
      </c>
      <c r="AC172" s="98">
        <f t="shared" si="32"/>
        <v>12386201.919284876</v>
      </c>
      <c r="AD172" s="98">
        <f t="shared" si="32"/>
        <v>12386201.919284876</v>
      </c>
      <c r="AE172" s="98">
        <f t="shared" si="32"/>
        <v>12386201.919284876</v>
      </c>
      <c r="AF172" s="98">
        <f t="shared" si="32"/>
        <v>12386201.919284876</v>
      </c>
      <c r="AG172" s="98">
        <f t="shared" si="32"/>
        <v>12386201.919284876</v>
      </c>
      <c r="AH172" s="53">
        <f t="shared" ref="AH172:AH173" si="33">SUM(D172:AG172)</f>
        <v>409018847.4527899</v>
      </c>
      <c r="AI172"/>
      <c r="AJ172" s="23" t="s">
        <v>317</v>
      </c>
      <c r="AM172"/>
      <c r="AN172"/>
      <c r="AO172"/>
      <c r="AP172"/>
      <c r="AQ172"/>
      <c r="AR172"/>
      <c r="AS172"/>
      <c r="AT172"/>
      <c r="AU172"/>
      <c r="AV172"/>
      <c r="AW172"/>
      <c r="AX172"/>
      <c r="AZ172"/>
      <c r="BA172"/>
      <c r="BB172"/>
      <c r="BC172"/>
      <c r="BD172"/>
      <c r="BE172"/>
      <c r="BF172"/>
      <c r="BG172"/>
      <c r="BH172"/>
      <c r="BI172"/>
      <c r="BJ172"/>
      <c r="BK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row>
    <row r="173" spans="2:135" s="1" customFormat="1" outlineLevel="1" x14ac:dyDescent="0.25">
      <c r="B173" t="s">
        <v>154</v>
      </c>
      <c r="C173" t="s">
        <v>170</v>
      </c>
      <c r="D173" s="98">
        <f>D53</f>
        <v>278436.87957137165</v>
      </c>
      <c r="E173" s="98">
        <f t="shared" ref="E173:AG173" si="34">E53</f>
        <v>297204.70349500491</v>
      </c>
      <c r="F173" s="98">
        <f t="shared" si="34"/>
        <v>168874.65072308262</v>
      </c>
      <c r="G173" s="98">
        <f t="shared" si="34"/>
        <v>189729.76823222468</v>
      </c>
      <c r="H173" s="98">
        <f t="shared" si="34"/>
        <v>189729.76823222468</v>
      </c>
      <c r="I173" s="98">
        <f t="shared" si="34"/>
        <v>210959.01780681187</v>
      </c>
      <c r="J173" s="98">
        <f t="shared" si="34"/>
        <v>210959.01780681187</v>
      </c>
      <c r="K173" s="98">
        <f t="shared" si="34"/>
        <v>204508.3938066377</v>
      </c>
      <c r="L173" s="98">
        <f t="shared" si="34"/>
        <v>204508.3938066377</v>
      </c>
      <c r="M173" s="98">
        <f t="shared" si="34"/>
        <v>206948.18031278072</v>
      </c>
      <c r="N173" s="98">
        <f t="shared" si="34"/>
        <v>206948.18031278072</v>
      </c>
      <c r="O173" s="98">
        <f t="shared" si="34"/>
        <v>205098.19315986955</v>
      </c>
      <c r="P173" s="98">
        <f t="shared" si="34"/>
        <v>205098.19315986955</v>
      </c>
      <c r="Q173" s="98">
        <f t="shared" si="34"/>
        <v>204677.11497469028</v>
      </c>
      <c r="R173" s="98">
        <f t="shared" si="34"/>
        <v>204677.11497469028</v>
      </c>
      <c r="S173" s="98">
        <f t="shared" si="34"/>
        <v>235460.84056518428</v>
      </c>
      <c r="T173" s="98">
        <f t="shared" si="34"/>
        <v>235460.84056518428</v>
      </c>
      <c r="U173" s="98">
        <f t="shared" si="34"/>
        <v>235394.23290744744</v>
      </c>
      <c r="V173" s="98">
        <f t="shared" si="34"/>
        <v>235394.23290744744</v>
      </c>
      <c r="W173" s="98">
        <f t="shared" si="34"/>
        <v>234839.63347978302</v>
      </c>
      <c r="X173" s="98">
        <f t="shared" si="34"/>
        <v>234839.63347978302</v>
      </c>
      <c r="Y173" s="98">
        <f t="shared" si="34"/>
        <v>234839.63347978302</v>
      </c>
      <c r="Z173" s="98">
        <f t="shared" si="34"/>
        <v>234839.63347978302</v>
      </c>
      <c r="AA173" s="98">
        <f t="shared" si="34"/>
        <v>234839.63347978302</v>
      </c>
      <c r="AB173" s="98">
        <f t="shared" si="34"/>
        <v>234839.63347978302</v>
      </c>
      <c r="AC173" s="98">
        <f t="shared" si="34"/>
        <v>234104.83462259287</v>
      </c>
      <c r="AD173" s="98">
        <f t="shared" si="34"/>
        <v>234104.83462259287</v>
      </c>
      <c r="AE173" s="98">
        <f t="shared" si="34"/>
        <v>234104.83462259287</v>
      </c>
      <c r="AF173" s="98">
        <f t="shared" si="34"/>
        <v>234104.83462259287</v>
      </c>
      <c r="AG173" s="98">
        <f t="shared" si="34"/>
        <v>234104.83462259287</v>
      </c>
      <c r="AH173" s="53">
        <f t="shared" si="33"/>
        <v>6709629.6913124146</v>
      </c>
      <c r="AI173"/>
      <c r="AJ173" s="23" t="s">
        <v>317</v>
      </c>
      <c r="AM173"/>
      <c r="AN173"/>
      <c r="AO173"/>
      <c r="AP173"/>
      <c r="AQ173"/>
      <c r="AR173"/>
      <c r="AS173"/>
      <c r="AT173"/>
      <c r="AU173"/>
      <c r="AV173"/>
      <c r="AW173"/>
      <c r="AX173"/>
      <c r="AZ173"/>
      <c r="BA173"/>
      <c r="BB173"/>
      <c r="BC173"/>
      <c r="BD173"/>
      <c r="BE173"/>
      <c r="BF173"/>
      <c r="BG173"/>
      <c r="BH173"/>
      <c r="BI173"/>
      <c r="BJ173"/>
      <c r="BK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row>
    <row r="174" spans="2:135" s="1" customFormat="1" outlineLevel="1" x14ac:dyDescent="0.25">
      <c r="B174" t="s">
        <v>312</v>
      </c>
      <c r="C174" t="s">
        <v>313</v>
      </c>
      <c r="D174" s="98">
        <f>D171*'Global Inputs'!C$83+Outputs!D172*CO2_emissions_gas_tons_per_therm</f>
        <v>210153.43197440394</v>
      </c>
      <c r="E174" s="98">
        <f>E171*'Global Inputs'!D$83+Outputs!E172*CO2_emissions_gas_tons_per_therm</f>
        <v>210153.43197440394</v>
      </c>
      <c r="F174" s="98">
        <f>F171*'Global Inputs'!E$83+Outputs!F172*CO2_emissions_gas_tons_per_therm</f>
        <v>88956.365125924262</v>
      </c>
      <c r="G174" s="98">
        <f>G171*'Global Inputs'!F$83+Outputs!G172*CO2_emissions_gas_tons_per_therm</f>
        <v>87181.65800466681</v>
      </c>
      <c r="H174" s="98">
        <f>H171*'Global Inputs'!G$83+Outputs!H172*CO2_emissions_gas_tons_per_therm</f>
        <v>87181.65800466681</v>
      </c>
      <c r="I174" s="98">
        <f>I171*'Global Inputs'!H$83+Outputs!I172*CO2_emissions_gas_tons_per_therm</f>
        <v>85723.910793018702</v>
      </c>
      <c r="J174" s="98">
        <f>J171*'Global Inputs'!I$83+Outputs!J172*CO2_emissions_gas_tons_per_therm</f>
        <v>85723.910793018702</v>
      </c>
      <c r="K174" s="98">
        <f>K171*'Global Inputs'!J$83+Outputs!K172*CO2_emissions_gas_tons_per_therm</f>
        <v>82146.117973694709</v>
      </c>
      <c r="L174" s="98">
        <f>L171*'Global Inputs'!K$83+Outputs!L172*CO2_emissions_gas_tons_per_therm</f>
        <v>82146.117973694709</v>
      </c>
      <c r="M174" s="98">
        <f>M171*'Global Inputs'!L$83+Outputs!M172*CO2_emissions_gas_tons_per_therm</f>
        <v>80970.486187793897</v>
      </c>
      <c r="N174" s="98">
        <f>N171*'Global Inputs'!M$83+Outputs!N172*CO2_emissions_gas_tons_per_therm</f>
        <v>80970.486187793897</v>
      </c>
      <c r="O174" s="98">
        <f>O171*'Global Inputs'!N$83+Outputs!O172*CO2_emissions_gas_tons_per_therm</f>
        <v>79152.017210771068</v>
      </c>
      <c r="P174" s="98">
        <f>P171*'Global Inputs'!O$83+Outputs!P172*CO2_emissions_gas_tons_per_therm</f>
        <v>79152.017210771068</v>
      </c>
      <c r="Q174" s="98">
        <f>Q171*'Global Inputs'!P$83+Outputs!Q172*CO2_emissions_gas_tons_per_therm</f>
        <v>78715.442828329265</v>
      </c>
      <c r="R174" s="98">
        <f>R171*'Global Inputs'!Q$83+Outputs!R172*CO2_emissions_gas_tons_per_therm</f>
        <v>78715.442828329265</v>
      </c>
      <c r="S174" s="98">
        <f>S171*'Global Inputs'!R$83+Outputs!S172*CO2_emissions_gas_tons_per_therm</f>
        <v>83954.346559266647</v>
      </c>
      <c r="T174" s="98">
        <f>T171*'Global Inputs'!S$83+Outputs!T172*CO2_emissions_gas_tons_per_therm</f>
        <v>83954.346559266647</v>
      </c>
      <c r="U174" s="98">
        <f>U171*'Global Inputs'!T$83+Outputs!U172*CO2_emissions_gas_tons_per_therm</f>
        <v>83740.267759933864</v>
      </c>
      <c r="V174" s="98">
        <f>V171*'Global Inputs'!U$83+Outputs!V172*CO2_emissions_gas_tons_per_therm</f>
        <v>83740.267759933864</v>
      </c>
      <c r="W174" s="98">
        <f>W171*'Global Inputs'!V$83+Outputs!W172*CO2_emissions_gas_tons_per_therm</f>
        <v>83506.635033110389</v>
      </c>
      <c r="X174" s="98">
        <f>X171*'Global Inputs'!W$83+Outputs!X172*CO2_emissions_gas_tons_per_therm</f>
        <v>83506.635033110389</v>
      </c>
      <c r="Y174" s="98">
        <f>Y171*'Global Inputs'!X$83+Outputs!Y172*CO2_emissions_gas_tons_per_therm</f>
        <v>83506.635033110389</v>
      </c>
      <c r="Z174" s="98">
        <f>Z171*'Global Inputs'!Y$83+Outputs!Z172*CO2_emissions_gas_tons_per_therm</f>
        <v>83506.635033110389</v>
      </c>
      <c r="AA174" s="98">
        <f>AA171*'Global Inputs'!Z$83+Outputs!AA172*CO2_emissions_gas_tons_per_therm</f>
        <v>83506.635033110389</v>
      </c>
      <c r="AB174" s="98">
        <f>AB171*'Global Inputs'!AA$83+Outputs!AB172*CO2_emissions_gas_tons_per_therm</f>
        <v>83506.635033110389</v>
      </c>
      <c r="AC174" s="98">
        <f>AC171*'Global Inputs'!AB$83+Outputs!AC172*CO2_emissions_gas_tons_per_therm</f>
        <v>83272.435503352215</v>
      </c>
      <c r="AD174" s="98">
        <f>AD171*'Global Inputs'!AC$83+Outputs!AD172*CO2_emissions_gas_tons_per_therm</f>
        <v>83272.435503352215</v>
      </c>
      <c r="AE174" s="98">
        <f>AE171*'Global Inputs'!AD$83+Outputs!AE172*CO2_emissions_gas_tons_per_therm</f>
        <v>83272.435503352215</v>
      </c>
      <c r="AF174" s="98">
        <f>AF171*'Global Inputs'!AE$83+Outputs!AF172*CO2_emissions_gas_tons_per_therm</f>
        <v>83272.435503352215</v>
      </c>
      <c r="AG174" s="98">
        <f>AG171*'Global Inputs'!AF$83+Outputs!AG172*CO2_emissions_gas_tons_per_therm</f>
        <v>83272.435503352215</v>
      </c>
      <c r="AH174" s="53">
        <f t="shared" ref="AH174" si="35">SUM(D174:AG174)</f>
        <v>2749833.711425106</v>
      </c>
      <c r="AI174"/>
      <c r="AJ174" s="23"/>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row>
    <row r="175" spans="2:135" outlineLevel="1" x14ac:dyDescent="0.25">
      <c r="B175" t="s">
        <v>314</v>
      </c>
      <c r="C175" t="s">
        <v>315</v>
      </c>
      <c r="AG175" s="51">
        <f>AG171*Btuh_per_W/'Global Inputs'!$D$17+AG172*'Global Inputs'!$D$16/'Global Inputs'!$D$17/'Global Inputs'!$D$17</f>
        <v>1238620.1919284875</v>
      </c>
      <c r="AH175" s="53">
        <f>AH171*Btuh_per_W/'Global Inputs'!$D$17+AH172*'Global Inputs'!$D$16/'Global Inputs'!$D$17/'Global Inputs'!$D$17</f>
        <v>40911662.713399038</v>
      </c>
      <c r="AM175" s="1"/>
      <c r="AN175" s="1"/>
      <c r="AO175" s="1"/>
      <c r="AP175" s="1"/>
      <c r="AQ175" s="1"/>
      <c r="AR175" s="1"/>
      <c r="AS175" s="1"/>
      <c r="AT175" s="1"/>
      <c r="AU175" s="1"/>
      <c r="AV175" s="1"/>
      <c r="AW175" s="1"/>
      <c r="AX175" s="1"/>
      <c r="AZ175" s="1"/>
      <c r="BA175" s="1"/>
      <c r="BB175" s="1"/>
      <c r="BC175" s="1"/>
      <c r="BD175" s="1"/>
      <c r="BE175" s="1"/>
      <c r="BF175" s="1"/>
      <c r="BG175" s="1"/>
      <c r="BH175" s="1"/>
      <c r="BI175" s="1"/>
      <c r="BJ175" s="1"/>
      <c r="BK175" s="1"/>
    </row>
    <row r="176" spans="2:135" outlineLevel="1" x14ac:dyDescent="0.25">
      <c r="AH176" s="54"/>
    </row>
    <row r="177" spans="2:135" s="1" customFormat="1" ht="17.25" outlineLevel="1" thickBot="1" x14ac:dyDescent="0.3">
      <c r="B177" s="19" t="s">
        <v>286</v>
      </c>
      <c r="C177" s="19"/>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c r="AB177" s="96"/>
      <c r="AC177" s="96"/>
      <c r="AD177" s="96"/>
      <c r="AE177" s="96"/>
      <c r="AF177" s="96"/>
      <c r="AG177" s="96"/>
      <c r="AH177" s="55"/>
      <c r="AI177" s="19"/>
      <c r="AJ177" s="19"/>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row>
    <row r="178" spans="2:135" s="1" customFormat="1" ht="16.5" outlineLevel="1" thickTop="1" thickBot="1" x14ac:dyDescent="0.3">
      <c r="B178" s="20" t="s">
        <v>310</v>
      </c>
      <c r="C178" s="20" t="s">
        <v>13</v>
      </c>
      <c r="D178" s="97" t="s">
        <v>17</v>
      </c>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56" t="s">
        <v>224</v>
      </c>
      <c r="AI178" s="20"/>
      <c r="AJ178" s="20" t="s">
        <v>15</v>
      </c>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row>
    <row r="179" spans="2:135" outlineLevel="1" x14ac:dyDescent="0.25">
      <c r="D179" s="100">
        <f>'Core Loads'!$C$14</f>
        <v>2025</v>
      </c>
      <c r="E179" s="100">
        <f>'Core Loads'!$D$14</f>
        <v>2026</v>
      </c>
      <c r="F179" s="100">
        <f>'Core Loads'!$E$14</f>
        <v>2027</v>
      </c>
      <c r="G179" s="100">
        <f>'Core Loads'!$F$14</f>
        <v>2028</v>
      </c>
      <c r="H179" s="100">
        <f>'Core Loads'!$G$14</f>
        <v>2029</v>
      </c>
      <c r="I179" s="100">
        <f>'Core Loads'!$H$14</f>
        <v>2030</v>
      </c>
      <c r="J179" s="100">
        <f>'Core Loads'!$I$14</f>
        <v>2031</v>
      </c>
      <c r="K179" s="100">
        <f>'Core Loads'!$J$14</f>
        <v>2032</v>
      </c>
      <c r="L179" s="100">
        <f>'Core Loads'!$K$14</f>
        <v>2033</v>
      </c>
      <c r="M179" s="100">
        <f>'Core Loads'!$L$14</f>
        <v>2034</v>
      </c>
      <c r="N179" s="100">
        <f>'Core Loads'!$M$14</f>
        <v>2035</v>
      </c>
      <c r="O179" s="100">
        <f>'Core Loads'!$N$14</f>
        <v>2036</v>
      </c>
      <c r="P179" s="100">
        <f>'Core Loads'!$O$14</f>
        <v>2037</v>
      </c>
      <c r="Q179" s="100">
        <f>'Core Loads'!$P$14</f>
        <v>2038</v>
      </c>
      <c r="R179" s="100">
        <f>'Core Loads'!$Q$14</f>
        <v>2039</v>
      </c>
      <c r="S179" s="100">
        <f>'Core Loads'!$R$14</f>
        <v>2040</v>
      </c>
      <c r="T179" s="100">
        <f>'Core Loads'!$S$14</f>
        <v>2041</v>
      </c>
      <c r="U179" s="100">
        <f>'Core Loads'!$T$14</f>
        <v>2042</v>
      </c>
      <c r="V179" s="100">
        <f>'Core Loads'!$U$14</f>
        <v>2043</v>
      </c>
      <c r="W179" s="100">
        <f>'Core Loads'!$V$14</f>
        <v>2044</v>
      </c>
      <c r="X179" s="100">
        <f>'Core Loads'!$W$14</f>
        <v>2045</v>
      </c>
      <c r="Y179" s="100">
        <f>'Core Loads'!$X$14</f>
        <v>2046</v>
      </c>
      <c r="Z179" s="100">
        <f>'Core Loads'!$Y$14</f>
        <v>2047</v>
      </c>
      <c r="AA179" s="100">
        <f>'Core Loads'!$Z$14</f>
        <v>2048</v>
      </c>
      <c r="AB179" s="100">
        <f>'Core Loads'!$AA$14</f>
        <v>2049</v>
      </c>
      <c r="AC179" s="100">
        <f>'Core Loads'!$AB$14</f>
        <v>2050</v>
      </c>
      <c r="AD179" s="100">
        <f>'Core Loads'!$AC$14</f>
        <v>2051</v>
      </c>
      <c r="AE179" s="100">
        <f>'Core Loads'!$AD$14</f>
        <v>2052</v>
      </c>
      <c r="AF179" s="100">
        <f>'Core Loads'!$AE$14</f>
        <v>2053</v>
      </c>
      <c r="AG179" s="100">
        <f>'Core Loads'!$AF$14</f>
        <v>2054</v>
      </c>
      <c r="AH179" s="8"/>
      <c r="AM179" s="1"/>
      <c r="AN179" s="1"/>
      <c r="AO179" s="1"/>
      <c r="AP179" s="1"/>
      <c r="AQ179" s="1"/>
      <c r="AR179" s="1"/>
      <c r="AS179" s="1"/>
      <c r="AT179" s="1"/>
      <c r="AU179" s="1"/>
      <c r="AV179" s="1"/>
      <c r="AW179" s="1"/>
      <c r="AX179" s="1"/>
      <c r="AZ179" s="1"/>
      <c r="BA179" s="1"/>
      <c r="BB179" s="1"/>
      <c r="BC179" s="1"/>
      <c r="BD179" s="1"/>
      <c r="BE179" s="1"/>
      <c r="BF179" s="1"/>
      <c r="BG179" s="1"/>
      <c r="BH179" s="1"/>
      <c r="BI179" s="1"/>
      <c r="BJ179" s="1"/>
      <c r="BK179" s="1"/>
      <c r="BN179" s="1"/>
    </row>
    <row r="180" spans="2:135" s="1" customFormat="1" ht="17.25" outlineLevel="1" thickBot="1" x14ac:dyDescent="0.3">
      <c r="B180" t="s">
        <v>141</v>
      </c>
      <c r="C180" t="s">
        <v>109</v>
      </c>
      <c r="D180" s="98">
        <f>D60-'Enhancement Inputs'!D$142</f>
        <v>0</v>
      </c>
      <c r="E180" s="98">
        <f>E60-'Enhancement Inputs'!E$142</f>
        <v>2865758.5345967412</v>
      </c>
      <c r="F180" s="98">
        <f>F60-'Enhancement Inputs'!F$142</f>
        <v>213515470.00814971</v>
      </c>
      <c r="G180" s="98">
        <f>G60-'Enhancement Inputs'!G$142</f>
        <v>229465787.09521624</v>
      </c>
      <c r="H180" s="98">
        <f>H60-'Enhancement Inputs'!H$142</f>
        <v>229465787.09521624</v>
      </c>
      <c r="I180" s="98">
        <f>I60-'Enhancement Inputs'!I$142</f>
        <v>234269958.37737536</v>
      </c>
      <c r="J180" s="98">
        <f>J60-'Enhancement Inputs'!J$142</f>
        <v>234269958.37737536</v>
      </c>
      <c r="K180" s="98">
        <f>K60-'Enhancement Inputs'!K$142</f>
        <v>223444695.67282408</v>
      </c>
      <c r="L180" s="98">
        <f>L60-'Enhancement Inputs'!L$142</f>
        <v>223444695.67282408</v>
      </c>
      <c r="M180" s="98">
        <f>M60-'Enhancement Inputs'!M$142</f>
        <v>223635944.05278075</v>
      </c>
      <c r="N180" s="98">
        <f>N60-'Enhancement Inputs'!N$142</f>
        <v>223635944.05278075</v>
      </c>
      <c r="O180" s="98">
        <f>O60-'Enhancement Inputs'!O$142</f>
        <v>221889618.50614679</v>
      </c>
      <c r="P180" s="98">
        <f>P60-'Enhancement Inputs'!P$142</f>
        <v>221889618.50614679</v>
      </c>
      <c r="Q180" s="98">
        <f>Q60-'Enhancement Inputs'!Q$142</f>
        <v>221508563.44931492</v>
      </c>
      <c r="R180" s="98">
        <f>R60-'Enhancement Inputs'!R$142</f>
        <v>221508563.44931492</v>
      </c>
      <c r="S180" s="98">
        <f>S60-'Enhancement Inputs'!S$142</f>
        <v>263195564.81473142</v>
      </c>
      <c r="T180" s="98">
        <f>T60-'Enhancement Inputs'!T$142</f>
        <v>263195564.81473142</v>
      </c>
      <c r="U180" s="98">
        <f>U60-'Enhancement Inputs'!U$142</f>
        <v>263082526.47690898</v>
      </c>
      <c r="V180" s="98">
        <f>V60-'Enhancement Inputs'!V$142</f>
        <v>263082526.47690898</v>
      </c>
      <c r="W180" s="98">
        <f>W60-'Enhancement Inputs'!W$142</f>
        <v>262508797.67526135</v>
      </c>
      <c r="X180" s="98">
        <f>X60-'Enhancement Inputs'!X$142</f>
        <v>262508797.67526135</v>
      </c>
      <c r="Y180" s="98">
        <f>Y60-'Enhancement Inputs'!Y$142</f>
        <v>262508797.67526135</v>
      </c>
      <c r="Z180" s="98">
        <f>Z60-'Enhancement Inputs'!Z$142</f>
        <v>262508797.67526135</v>
      </c>
      <c r="AA180" s="98">
        <f>AA60-'Enhancement Inputs'!AA$142</f>
        <v>262508797.67526135</v>
      </c>
      <c r="AB180" s="98">
        <f>AB60-'Enhancement Inputs'!AB$142</f>
        <v>262508797.67526135</v>
      </c>
      <c r="AC180" s="98">
        <f>AC60-'Enhancement Inputs'!AC$142</f>
        <v>261801987.10315412</v>
      </c>
      <c r="AD180" s="98">
        <f>AD60-'Enhancement Inputs'!AD$142</f>
        <v>261801987.10315412</v>
      </c>
      <c r="AE180" s="98">
        <f>AE60-'Enhancement Inputs'!AE$142</f>
        <v>261801987.10315412</v>
      </c>
      <c r="AF180" s="98">
        <f>AF60-'Enhancement Inputs'!AF$142</f>
        <v>261801987.10315412</v>
      </c>
      <c r="AG180" s="98">
        <f>AG60-'Enhancement Inputs'!AG$142</f>
        <v>261801987.10315412</v>
      </c>
      <c r="AH180" s="53">
        <f>SUM(D180:AG180)</f>
        <v>6861429267.0006847</v>
      </c>
      <c r="AI180"/>
      <c r="AJ180" s="23" t="s">
        <v>317</v>
      </c>
      <c r="AM180" s="19" t="s">
        <v>92</v>
      </c>
      <c r="AN180" s="19"/>
      <c r="AO180" s="19"/>
      <c r="AP180" s="19"/>
      <c r="AQ180" s="19"/>
      <c r="AR180" s="19"/>
      <c r="AS180" s="19"/>
      <c r="AT180" s="19"/>
      <c r="AU180" s="19"/>
      <c r="AV180" s="19"/>
      <c r="AW180" s="19"/>
      <c r="AX180" s="19"/>
      <c r="AZ180" s="19" t="s">
        <v>92</v>
      </c>
      <c r="BA180" s="19"/>
      <c r="BB180" s="19"/>
      <c r="BC180" s="19"/>
      <c r="BD180" s="19"/>
      <c r="BE180" s="19"/>
      <c r="BF180" s="19"/>
      <c r="BG180" s="19"/>
      <c r="BH180" s="19"/>
      <c r="BI180" s="19"/>
      <c r="BJ180" s="19"/>
      <c r="BK180" s="19"/>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row>
    <row r="181" spans="2:135" s="1" customFormat="1" ht="15.75" outlineLevel="1" thickTop="1" x14ac:dyDescent="0.25">
      <c r="B181" t="s">
        <v>136</v>
      </c>
      <c r="C181" t="s">
        <v>169</v>
      </c>
      <c r="D181" s="98">
        <f>D61</f>
        <v>31258877.283118241</v>
      </c>
      <c r="E181" s="98">
        <f t="shared" ref="E181:AG181" si="36">E61</f>
        <v>31258877.283118241</v>
      </c>
      <c r="F181" s="98">
        <f t="shared" si="36"/>
        <v>8313140.9880687799</v>
      </c>
      <c r="G181" s="98">
        <f t="shared" si="36"/>
        <v>8136703.1927119317</v>
      </c>
      <c r="H181" s="98">
        <f t="shared" si="36"/>
        <v>8136703.1927119317</v>
      </c>
      <c r="I181" s="98">
        <f t="shared" si="36"/>
        <v>8007874.6843401222</v>
      </c>
      <c r="J181" s="98">
        <f t="shared" si="36"/>
        <v>8007874.6843401222</v>
      </c>
      <c r="K181" s="98">
        <f t="shared" si="36"/>
        <v>7626218.3372912602</v>
      </c>
      <c r="L181" s="98">
        <f t="shared" si="36"/>
        <v>7626218.3372912602</v>
      </c>
      <c r="M181" s="98">
        <f t="shared" si="36"/>
        <v>7500809.3615512364</v>
      </c>
      <c r="N181" s="98">
        <f t="shared" si="36"/>
        <v>7500809.3615512364</v>
      </c>
      <c r="O181" s="98">
        <f t="shared" si="36"/>
        <v>7325257.4422050472</v>
      </c>
      <c r="P181" s="98">
        <f t="shared" si="36"/>
        <v>7325257.4422050472</v>
      </c>
      <c r="Q181" s="98">
        <f t="shared" si="36"/>
        <v>7286849.5097296908</v>
      </c>
      <c r="R181" s="98">
        <f t="shared" si="36"/>
        <v>7286849.5097296908</v>
      </c>
      <c r="S181" s="98">
        <f t="shared" si="36"/>
        <v>7806338.301771313</v>
      </c>
      <c r="T181" s="98">
        <f t="shared" si="36"/>
        <v>7806338.301771313</v>
      </c>
      <c r="U181" s="98">
        <f t="shared" si="36"/>
        <v>7786557.2135725571</v>
      </c>
      <c r="V181" s="98">
        <f t="shared" si="36"/>
        <v>7786557.2135725571</v>
      </c>
      <c r="W181" s="98">
        <f t="shared" si="36"/>
        <v>7761634.7494799159</v>
      </c>
      <c r="X181" s="98">
        <f t="shared" si="36"/>
        <v>7761634.7494799159</v>
      </c>
      <c r="Y181" s="98">
        <f t="shared" si="36"/>
        <v>7761634.7494799159</v>
      </c>
      <c r="Z181" s="98">
        <f t="shared" si="36"/>
        <v>7761634.7494799159</v>
      </c>
      <c r="AA181" s="98">
        <f t="shared" si="36"/>
        <v>7761634.7494799159</v>
      </c>
      <c r="AB181" s="98">
        <f t="shared" si="36"/>
        <v>7761634.7494799159</v>
      </c>
      <c r="AC181" s="98">
        <f t="shared" si="36"/>
        <v>7736651.8224291112</v>
      </c>
      <c r="AD181" s="98">
        <f t="shared" si="36"/>
        <v>7736651.8224291112</v>
      </c>
      <c r="AE181" s="98">
        <f t="shared" si="36"/>
        <v>7736651.8224291112</v>
      </c>
      <c r="AF181" s="98">
        <f t="shared" si="36"/>
        <v>7736651.8224291112</v>
      </c>
      <c r="AG181" s="98">
        <f t="shared" si="36"/>
        <v>7736651.8224291112</v>
      </c>
      <c r="AH181" s="53">
        <f t="shared" ref="AH181:AH182" si="37">SUM(D181:AG181)</f>
        <v>279037179.24967664</v>
      </c>
      <c r="AI181"/>
      <c r="AJ181" s="23" t="s">
        <v>317</v>
      </c>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row>
    <row r="182" spans="2:135" s="1" customFormat="1" outlineLevel="1" x14ac:dyDescent="0.25">
      <c r="B182" t="s">
        <v>154</v>
      </c>
      <c r="C182" t="s">
        <v>170</v>
      </c>
      <c r="D182" s="98">
        <f>D62</f>
        <v>278436.87957137165</v>
      </c>
      <c r="E182" s="98">
        <f t="shared" ref="E182:AG182" si="38">E62</f>
        <v>297204.70349500491</v>
      </c>
      <c r="F182" s="98">
        <f t="shared" si="38"/>
        <v>168824.41307064128</v>
      </c>
      <c r="G182" s="98">
        <f t="shared" si="38"/>
        <v>189680.59682185159</v>
      </c>
      <c r="H182" s="98">
        <f t="shared" si="38"/>
        <v>189680.59682185159</v>
      </c>
      <c r="I182" s="98">
        <f t="shared" si="38"/>
        <v>210910.62492790326</v>
      </c>
      <c r="J182" s="98">
        <f t="shared" si="38"/>
        <v>210910.62492790326</v>
      </c>
      <c r="K182" s="98">
        <f t="shared" si="38"/>
        <v>204462.30733862033</v>
      </c>
      <c r="L182" s="98">
        <f t="shared" si="38"/>
        <v>204462.30733862033</v>
      </c>
      <c r="M182" s="98">
        <f t="shared" si="38"/>
        <v>206902.85171144037</v>
      </c>
      <c r="N182" s="98">
        <f t="shared" si="38"/>
        <v>206902.85171144037</v>
      </c>
      <c r="O182" s="98">
        <f t="shared" si="38"/>
        <v>205053.92544710572</v>
      </c>
      <c r="P182" s="98">
        <f t="shared" si="38"/>
        <v>205053.92544710572</v>
      </c>
      <c r="Q182" s="98">
        <f t="shared" si="38"/>
        <v>204633.07936726013</v>
      </c>
      <c r="R182" s="98">
        <f t="shared" si="38"/>
        <v>204633.07936726013</v>
      </c>
      <c r="S182" s="98">
        <f t="shared" si="38"/>
        <v>235413.66560315649</v>
      </c>
      <c r="T182" s="98">
        <f t="shared" si="38"/>
        <v>235413.66560315649</v>
      </c>
      <c r="U182" s="98">
        <f t="shared" si="38"/>
        <v>235347.17748572759</v>
      </c>
      <c r="V182" s="98">
        <f t="shared" si="38"/>
        <v>235347.17748572759</v>
      </c>
      <c r="W182" s="98">
        <f t="shared" si="38"/>
        <v>234792.7286685353</v>
      </c>
      <c r="X182" s="98">
        <f t="shared" si="38"/>
        <v>234792.7286685353</v>
      </c>
      <c r="Y182" s="98">
        <f t="shared" si="38"/>
        <v>234792.7286685353</v>
      </c>
      <c r="Z182" s="98">
        <f t="shared" si="38"/>
        <v>234792.7286685353</v>
      </c>
      <c r="AA182" s="98">
        <f t="shared" si="38"/>
        <v>234792.7286685353</v>
      </c>
      <c r="AB182" s="98">
        <f t="shared" si="38"/>
        <v>234792.7286685353</v>
      </c>
      <c r="AC182" s="98">
        <f t="shared" si="38"/>
        <v>234058.0807872047</v>
      </c>
      <c r="AD182" s="98">
        <f t="shared" si="38"/>
        <v>234058.0807872047</v>
      </c>
      <c r="AE182" s="98">
        <f t="shared" si="38"/>
        <v>234058.0807872047</v>
      </c>
      <c r="AF182" s="98">
        <f t="shared" si="38"/>
        <v>234058.0807872047</v>
      </c>
      <c r="AG182" s="98">
        <f t="shared" si="38"/>
        <v>234058.0807872047</v>
      </c>
      <c r="AH182" s="53">
        <f t="shared" si="37"/>
        <v>6708321.2294903863</v>
      </c>
      <c r="AI182"/>
      <c r="AJ182" s="23" t="s">
        <v>317</v>
      </c>
      <c r="AM182"/>
      <c r="AN182"/>
      <c r="AO182"/>
      <c r="AP182"/>
      <c r="AQ182"/>
      <c r="AR182"/>
      <c r="AS182"/>
      <c r="AT182"/>
      <c r="AU182"/>
      <c r="AV182"/>
      <c r="AW182"/>
      <c r="AX182"/>
      <c r="AZ182"/>
      <c r="BA182"/>
      <c r="BB182"/>
      <c r="BC182"/>
      <c r="BD182"/>
      <c r="BE182"/>
      <c r="BF182"/>
      <c r="BG182"/>
      <c r="BH182"/>
      <c r="BI182"/>
      <c r="BJ182"/>
      <c r="BK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row>
    <row r="183" spans="2:135" s="1" customFormat="1" outlineLevel="1" x14ac:dyDescent="0.25">
      <c r="B183" t="s">
        <v>312</v>
      </c>
      <c r="C183" t="s">
        <v>313</v>
      </c>
      <c r="D183" s="98">
        <f>D180*'Global Inputs'!C$83+Outputs!D181*CO2_emissions_gas_tons_per_therm</f>
        <v>210153.43197440394</v>
      </c>
      <c r="E183" s="98">
        <f>E180*'Global Inputs'!D$83+Outputs!E181*CO2_emissions_gas_tons_per_therm</f>
        <v>210153.43197440394</v>
      </c>
      <c r="F183" s="98">
        <f>F180*'Global Inputs'!E$83+Outputs!F181*CO2_emissions_gas_tons_per_therm</f>
        <v>55889.246862786407</v>
      </c>
      <c r="G183" s="98">
        <f>G180*'Global Inputs'!F$83+Outputs!G181*CO2_emissions_gas_tons_per_therm</f>
        <v>54703.055564602313</v>
      </c>
      <c r="H183" s="98">
        <f>H180*'Global Inputs'!G$83+Outputs!H181*CO2_emissions_gas_tons_per_therm</f>
        <v>54703.055564602313</v>
      </c>
      <c r="I183" s="98">
        <f>I180*'Global Inputs'!H$83+Outputs!I181*CO2_emissions_gas_tons_per_therm</f>
        <v>53836.941502818641</v>
      </c>
      <c r="J183" s="98">
        <f>J180*'Global Inputs'!I$83+Outputs!J181*CO2_emissions_gas_tons_per_therm</f>
        <v>53836.941502818641</v>
      </c>
      <c r="K183" s="98">
        <f>K180*'Global Inputs'!J$83+Outputs!K181*CO2_emissions_gas_tons_per_therm</f>
        <v>51271.065881609138</v>
      </c>
      <c r="L183" s="98">
        <f>L180*'Global Inputs'!K$83+Outputs!L181*CO2_emissions_gas_tons_per_therm</f>
        <v>51271.065881609138</v>
      </c>
      <c r="M183" s="98">
        <f>M180*'Global Inputs'!L$83+Outputs!M181*CO2_emissions_gas_tons_per_therm</f>
        <v>50427.941337708959</v>
      </c>
      <c r="N183" s="98">
        <f>N180*'Global Inputs'!M$83+Outputs!N181*CO2_emissions_gas_tons_per_therm</f>
        <v>50427.941337708959</v>
      </c>
      <c r="O183" s="98">
        <f>O180*'Global Inputs'!N$83+Outputs!O181*CO2_emissions_gas_tons_per_therm</f>
        <v>49247.705783944533</v>
      </c>
      <c r="P183" s="98">
        <f>P180*'Global Inputs'!O$83+Outputs!P181*CO2_emissions_gas_tons_per_therm</f>
        <v>49247.705783944533</v>
      </c>
      <c r="Q183" s="98">
        <f>Q180*'Global Inputs'!P$83+Outputs!Q181*CO2_emissions_gas_tons_per_therm</f>
        <v>48989.48925391271</v>
      </c>
      <c r="R183" s="98">
        <f>R180*'Global Inputs'!Q$83+Outputs!R181*CO2_emissions_gas_tons_per_therm</f>
        <v>48989.48925391271</v>
      </c>
      <c r="S183" s="98">
        <f>S180*'Global Inputs'!R$83+Outputs!S181*CO2_emissions_gas_tons_per_therm</f>
        <v>52482.012402808534</v>
      </c>
      <c r="T183" s="98">
        <f>T180*'Global Inputs'!S$83+Outputs!T181*CO2_emissions_gas_tons_per_therm</f>
        <v>52482.012402808534</v>
      </c>
      <c r="U183" s="98">
        <f>U180*'Global Inputs'!T$83+Outputs!U181*CO2_emissions_gas_tons_per_therm</f>
        <v>52349.0241468483</v>
      </c>
      <c r="V183" s="98">
        <f>V180*'Global Inputs'!U$83+Outputs!V181*CO2_emissions_gas_tons_per_therm</f>
        <v>52349.0241468483</v>
      </c>
      <c r="W183" s="98">
        <f>W180*'Global Inputs'!V$83+Outputs!W181*CO2_emissions_gas_tons_per_therm</f>
        <v>52181.470420753474</v>
      </c>
      <c r="X183" s="98">
        <f>X180*'Global Inputs'!W$83+Outputs!X181*CO2_emissions_gas_tons_per_therm</f>
        <v>52181.470420753474</v>
      </c>
      <c r="Y183" s="98">
        <f>Y180*'Global Inputs'!X$83+Outputs!Y181*CO2_emissions_gas_tons_per_therm</f>
        <v>52181.470420753474</v>
      </c>
      <c r="Z183" s="98">
        <f>Z180*'Global Inputs'!Y$83+Outputs!Z181*CO2_emissions_gas_tons_per_therm</f>
        <v>52181.470420753474</v>
      </c>
      <c r="AA183" s="98">
        <f>AA180*'Global Inputs'!Z$83+Outputs!AA181*CO2_emissions_gas_tons_per_therm</f>
        <v>52181.470420753474</v>
      </c>
      <c r="AB183" s="98">
        <f>AB180*'Global Inputs'!AA$83+Outputs!AB181*CO2_emissions_gas_tons_per_therm</f>
        <v>52181.470420753474</v>
      </c>
      <c r="AC183" s="98">
        <f>AC180*'Global Inputs'!AB$83+Outputs!AC181*CO2_emissions_gas_tons_per_therm</f>
        <v>52013.510202190912</v>
      </c>
      <c r="AD183" s="98">
        <f>AD180*'Global Inputs'!AC$83+Outputs!AD181*CO2_emissions_gas_tons_per_therm</f>
        <v>52013.510202190912</v>
      </c>
      <c r="AE183" s="98">
        <f>AE180*'Global Inputs'!AD$83+Outputs!AE181*CO2_emissions_gas_tons_per_therm</f>
        <v>52013.510202190912</v>
      </c>
      <c r="AF183" s="98">
        <f>AF180*'Global Inputs'!AE$83+Outputs!AF181*CO2_emissions_gas_tons_per_therm</f>
        <v>52013.510202190912</v>
      </c>
      <c r="AG183" s="98">
        <f>AG180*'Global Inputs'!AF$83+Outputs!AG181*CO2_emissions_gas_tons_per_therm</f>
        <v>52013.510202190912</v>
      </c>
      <c r="AH183" s="53">
        <f t="shared" ref="AH183" si="39">SUM(D183:AG183)</f>
        <v>1875966.9560955763</v>
      </c>
      <c r="AI183"/>
      <c r="AJ183" s="2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row>
    <row r="184" spans="2:135" outlineLevel="1" x14ac:dyDescent="0.25">
      <c r="B184" t="s">
        <v>314</v>
      </c>
      <c r="C184" t="s">
        <v>315</v>
      </c>
      <c r="AG184" s="51">
        <f>AG180*Btuh_per_W/'Global Inputs'!$D$17+AG181*'Global Inputs'!$D$16/'Global Inputs'!$D$17/'Global Inputs'!$D$17</f>
        <v>1666933.562238873</v>
      </c>
      <c r="AH184" s="53">
        <f>AH180*Btuh_per_W/'Global Inputs'!$D$17+AH181*'Global Inputs'!$D$16/'Global Inputs'!$D$17/'Global Inputs'!$D$17</f>
        <v>51314914.583973996</v>
      </c>
      <c r="AM184" s="1"/>
      <c r="AN184" s="1"/>
      <c r="AO184" s="1"/>
      <c r="AP184" s="1"/>
      <c r="AQ184" s="1"/>
      <c r="AR184" s="1"/>
      <c r="AS184" s="1"/>
      <c r="AT184" s="1"/>
      <c r="AU184" s="1"/>
      <c r="AV184" s="1"/>
      <c r="AW184" s="1"/>
      <c r="AX184" s="1"/>
      <c r="AZ184" s="1"/>
      <c r="BA184" s="1"/>
      <c r="BB184" s="1"/>
      <c r="BC184" s="1"/>
      <c r="BD184" s="1"/>
      <c r="BE184" s="1"/>
      <c r="BF184" s="1"/>
      <c r="BG184" s="1"/>
      <c r="BH184" s="1"/>
      <c r="BI184" s="1"/>
      <c r="BJ184" s="1"/>
      <c r="BK184" s="1"/>
    </row>
    <row r="185" spans="2:135" outlineLevel="1" x14ac:dyDescent="0.25">
      <c r="AH185" s="54"/>
      <c r="AM185" s="1"/>
      <c r="AN185" s="1"/>
      <c r="AO185" s="1"/>
      <c r="AP185" s="1"/>
      <c r="AQ185" s="1"/>
      <c r="AR185" s="1"/>
      <c r="AS185" s="1"/>
      <c r="AT185" s="1"/>
      <c r="AU185" s="1"/>
      <c r="AV185" s="1"/>
      <c r="AW185" s="1"/>
      <c r="AX185" s="1"/>
      <c r="AZ185" s="1"/>
      <c r="BA185" s="1"/>
      <c r="BB185" s="1"/>
      <c r="BC185" s="1"/>
      <c r="BD185" s="1"/>
      <c r="BE185" s="1"/>
      <c r="BF185" s="1"/>
      <c r="BG185" s="1"/>
      <c r="BH185" s="1"/>
      <c r="BI185" s="1"/>
      <c r="BJ185" s="1"/>
      <c r="BK185" s="1"/>
    </row>
    <row r="186" spans="2:135" s="1" customFormat="1" ht="17.25" outlineLevel="1" thickBot="1" x14ac:dyDescent="0.3">
      <c r="B186" s="19" t="s">
        <v>298</v>
      </c>
      <c r="C186" s="19"/>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c r="AD186" s="96"/>
      <c r="AE186" s="96"/>
      <c r="AF186" s="96"/>
      <c r="AG186" s="96"/>
      <c r="AH186" s="55"/>
      <c r="AI186" s="19"/>
      <c r="AJ186" s="19"/>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row>
    <row r="187" spans="2:135" s="1" customFormat="1" ht="16.5" outlineLevel="1" thickTop="1" thickBot="1" x14ac:dyDescent="0.3">
      <c r="B187" s="20" t="s">
        <v>310</v>
      </c>
      <c r="C187" s="20" t="s">
        <v>13</v>
      </c>
      <c r="D187" s="97" t="s">
        <v>17</v>
      </c>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56" t="s">
        <v>224</v>
      </c>
      <c r="AI187" s="20"/>
      <c r="AJ187" s="20" t="s">
        <v>15</v>
      </c>
      <c r="AM187"/>
      <c r="AN187"/>
      <c r="AO187"/>
      <c r="AP187"/>
      <c r="AQ187"/>
      <c r="AR187"/>
      <c r="AS187"/>
      <c r="AT187"/>
      <c r="AU187"/>
      <c r="AV187"/>
      <c r="AW187"/>
      <c r="AX187"/>
      <c r="AZ187"/>
      <c r="BA187"/>
      <c r="BB187"/>
      <c r="BC187"/>
      <c r="BD187"/>
      <c r="BE187"/>
      <c r="BF187"/>
      <c r="BG187"/>
      <c r="BH187"/>
      <c r="BI187"/>
      <c r="BJ187"/>
      <c r="BK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row>
    <row r="188" spans="2:135" outlineLevel="1" x14ac:dyDescent="0.25">
      <c r="D188" s="100">
        <f>'Core Loads'!$C$14</f>
        <v>2025</v>
      </c>
      <c r="E188" s="100">
        <f>'Core Loads'!$D$14</f>
        <v>2026</v>
      </c>
      <c r="F188" s="100">
        <f>'Core Loads'!$E$14</f>
        <v>2027</v>
      </c>
      <c r="G188" s="100">
        <f>'Core Loads'!$F$14</f>
        <v>2028</v>
      </c>
      <c r="H188" s="100">
        <f>'Core Loads'!$G$14</f>
        <v>2029</v>
      </c>
      <c r="I188" s="100">
        <f>'Core Loads'!$H$14</f>
        <v>2030</v>
      </c>
      <c r="J188" s="100">
        <f>'Core Loads'!$I$14</f>
        <v>2031</v>
      </c>
      <c r="K188" s="100">
        <f>'Core Loads'!$J$14</f>
        <v>2032</v>
      </c>
      <c r="L188" s="100">
        <f>'Core Loads'!$K$14</f>
        <v>2033</v>
      </c>
      <c r="M188" s="100">
        <f>'Core Loads'!$L$14</f>
        <v>2034</v>
      </c>
      <c r="N188" s="100">
        <f>'Core Loads'!$M$14</f>
        <v>2035</v>
      </c>
      <c r="O188" s="100">
        <f>'Core Loads'!$N$14</f>
        <v>2036</v>
      </c>
      <c r="P188" s="100">
        <f>'Core Loads'!$O$14</f>
        <v>2037</v>
      </c>
      <c r="Q188" s="100">
        <f>'Core Loads'!$P$14</f>
        <v>2038</v>
      </c>
      <c r="R188" s="100">
        <f>'Core Loads'!$Q$14</f>
        <v>2039</v>
      </c>
      <c r="S188" s="100">
        <f>'Core Loads'!$R$14</f>
        <v>2040</v>
      </c>
      <c r="T188" s="100">
        <f>'Core Loads'!$S$14</f>
        <v>2041</v>
      </c>
      <c r="U188" s="100">
        <f>'Core Loads'!$T$14</f>
        <v>2042</v>
      </c>
      <c r="V188" s="100">
        <f>'Core Loads'!$U$14</f>
        <v>2043</v>
      </c>
      <c r="W188" s="100">
        <f>'Core Loads'!$V$14</f>
        <v>2044</v>
      </c>
      <c r="X188" s="100">
        <f>'Core Loads'!$W$14</f>
        <v>2045</v>
      </c>
      <c r="Y188" s="100">
        <f>'Core Loads'!$X$14</f>
        <v>2046</v>
      </c>
      <c r="Z188" s="100">
        <f>'Core Loads'!$Y$14</f>
        <v>2047</v>
      </c>
      <c r="AA188" s="100">
        <f>'Core Loads'!$Z$14</f>
        <v>2048</v>
      </c>
      <c r="AB188" s="100">
        <f>'Core Loads'!$AA$14</f>
        <v>2049</v>
      </c>
      <c r="AC188" s="100">
        <f>'Core Loads'!$AB$14</f>
        <v>2050</v>
      </c>
      <c r="AD188" s="100">
        <f>'Core Loads'!$AC$14</f>
        <v>2051</v>
      </c>
      <c r="AE188" s="100">
        <f>'Core Loads'!$AD$14</f>
        <v>2052</v>
      </c>
      <c r="AF188" s="100">
        <f>'Core Loads'!$AE$14</f>
        <v>2053</v>
      </c>
      <c r="AG188" s="100">
        <f>'Core Loads'!$AF$14</f>
        <v>2054</v>
      </c>
      <c r="AH188" s="8"/>
    </row>
    <row r="189" spans="2:135" s="1" customFormat="1" outlineLevel="1" x14ac:dyDescent="0.25">
      <c r="B189" t="s">
        <v>141</v>
      </c>
      <c r="C189" t="s">
        <v>109</v>
      </c>
      <c r="D189" s="98">
        <f>D69-'Enhancement Inputs'!D$143</f>
        <v>0</v>
      </c>
      <c r="E189" s="98">
        <f>E69-'Enhancement Inputs'!E$143</f>
        <v>2865758.5345967412</v>
      </c>
      <c r="F189" s="98">
        <f>F69-'Enhancement Inputs'!F$143</f>
        <v>2865758.5345967412</v>
      </c>
      <c r="G189" s="98">
        <f>G69-'Enhancement Inputs'!G$143</f>
        <v>20224353.799504697</v>
      </c>
      <c r="H189" s="98">
        <f>H69-'Enhancement Inputs'!H$143</f>
        <v>20224353.799504697</v>
      </c>
      <c r="I189" s="98">
        <f>I69-'Enhancement Inputs'!I$143</f>
        <v>111765402.88531494</v>
      </c>
      <c r="J189" s="98">
        <f>J69-'Enhancement Inputs'!J$143</f>
        <v>111765402.88531494</v>
      </c>
      <c r="K189" s="98">
        <f>K69-'Enhancement Inputs'!K$143</f>
        <v>104086948.93205152</v>
      </c>
      <c r="L189" s="98">
        <f>L69-'Enhancement Inputs'!L$143</f>
        <v>104086948.93205152</v>
      </c>
      <c r="M189" s="98">
        <f>M69-'Enhancement Inputs'!M$143</f>
        <v>104086948.93205152</v>
      </c>
      <c r="N189" s="98">
        <f>N69-'Enhancement Inputs'!N$143</f>
        <v>234810349.11198238</v>
      </c>
      <c r="O189" s="98">
        <f>O69-'Enhancement Inputs'!O$143</f>
        <v>229501819.84741306</v>
      </c>
      <c r="P189" s="98">
        <f>P69-'Enhancement Inputs'!P$143</f>
        <v>229501819.84741306</v>
      </c>
      <c r="Q189" s="98">
        <f>Q69-'Enhancement Inputs'!Q$143</f>
        <v>228289943.04577079</v>
      </c>
      <c r="R189" s="98">
        <f>R69-'Enhancement Inputs'!R$143</f>
        <v>419973326.82016635</v>
      </c>
      <c r="S189" s="98">
        <f>S69-'Enhancement Inputs'!S$143</f>
        <v>475809134.20232391</v>
      </c>
      <c r="T189" s="98">
        <f>T69-'Enhancement Inputs'!T$143</f>
        <v>475809134.20232391</v>
      </c>
      <c r="U189" s="98">
        <f>U69-'Enhancement Inputs'!U$143</f>
        <v>475157337.79308224</v>
      </c>
      <c r="V189" s="98">
        <f>V69-'Enhancement Inputs'!V$143</f>
        <v>475157337.79308224</v>
      </c>
      <c r="W189" s="98">
        <f>W69-'Enhancement Inputs'!W$143</f>
        <v>473904820.31435812</v>
      </c>
      <c r="X189" s="98">
        <f>X69-'Enhancement Inputs'!X$143</f>
        <v>473904820.31435812</v>
      </c>
      <c r="Y189" s="98">
        <f>Y69-'Enhancement Inputs'!Y$143</f>
        <v>473904820.31435812</v>
      </c>
      <c r="Z189" s="98">
        <f>Z69-'Enhancement Inputs'!Z$143</f>
        <v>473904820.31435812</v>
      </c>
      <c r="AA189" s="98">
        <f>AA69-'Enhancement Inputs'!AA$143</f>
        <v>473904820.31435812</v>
      </c>
      <c r="AB189" s="98">
        <f>AB69-'Enhancement Inputs'!AB$143</f>
        <v>473904820.31435812</v>
      </c>
      <c r="AC189" s="98">
        <f>AC69-'Enhancement Inputs'!AC$143</f>
        <v>472517574.29496628</v>
      </c>
      <c r="AD189" s="98">
        <f>AD69-'Enhancement Inputs'!AD$143</f>
        <v>472517574.29496628</v>
      </c>
      <c r="AE189" s="98">
        <f>AE69-'Enhancement Inputs'!AE$143</f>
        <v>472517574.29496628</v>
      </c>
      <c r="AF189" s="98">
        <f>AF69-'Enhancement Inputs'!AF$143</f>
        <v>472517574.29496628</v>
      </c>
      <c r="AG189" s="98">
        <f>AG69-'Enhancement Inputs'!AG$143</f>
        <v>472517574.29496628</v>
      </c>
      <c r="AH189" s="53">
        <f>SUM(D189:AG189)</f>
        <v>9031998873.2595253</v>
      </c>
      <c r="AI189"/>
      <c r="AJ189" s="23" t="s">
        <v>317</v>
      </c>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row>
    <row r="190" spans="2:135" s="1" customFormat="1" outlineLevel="1" x14ac:dyDescent="0.25">
      <c r="B190" t="s">
        <v>136</v>
      </c>
      <c r="C190" t="s">
        <v>169</v>
      </c>
      <c r="D190" s="98">
        <f t="shared" ref="D190:AG190" si="40">D70</f>
        <v>31258877.283118241</v>
      </c>
      <c r="E190" s="98">
        <f t="shared" si="40"/>
        <v>31258877.283118241</v>
      </c>
      <c r="F190" s="98">
        <f t="shared" si="40"/>
        <v>31258877.283118241</v>
      </c>
      <c r="G190" s="98">
        <f t="shared" si="40"/>
        <v>30779136.751878824</v>
      </c>
      <c r="H190" s="98">
        <f t="shared" si="40"/>
        <v>30779136.751878824</v>
      </c>
      <c r="I190" s="98">
        <f t="shared" si="40"/>
        <v>26715362.436630234</v>
      </c>
      <c r="J190" s="98">
        <f t="shared" si="40"/>
        <v>26715362.436630234</v>
      </c>
      <c r="K190" s="98">
        <f t="shared" si="40"/>
        <v>26000353.613023683</v>
      </c>
      <c r="L190" s="98">
        <f t="shared" si="40"/>
        <v>26000353.613023683</v>
      </c>
      <c r="M190" s="98">
        <f t="shared" si="40"/>
        <v>25689816.405707758</v>
      </c>
      <c r="N190" s="98">
        <f t="shared" si="40"/>
        <v>17369500.84125939</v>
      </c>
      <c r="O190" s="98">
        <f t="shared" si="40"/>
        <v>17280686.43057394</v>
      </c>
      <c r="P190" s="98">
        <f t="shared" si="40"/>
        <v>17280686.43057394</v>
      </c>
      <c r="Q190" s="98">
        <f t="shared" si="40"/>
        <v>17265421.55075188</v>
      </c>
      <c r="R190" s="98">
        <f t="shared" si="40"/>
        <v>0</v>
      </c>
      <c r="S190" s="98">
        <f t="shared" si="40"/>
        <v>0</v>
      </c>
      <c r="T190" s="98">
        <f t="shared" si="40"/>
        <v>0</v>
      </c>
      <c r="U190" s="98">
        <f t="shared" si="40"/>
        <v>0</v>
      </c>
      <c r="V190" s="98">
        <f t="shared" si="40"/>
        <v>0</v>
      </c>
      <c r="W190" s="98">
        <f t="shared" si="40"/>
        <v>0</v>
      </c>
      <c r="X190" s="98">
        <f t="shared" si="40"/>
        <v>0</v>
      </c>
      <c r="Y190" s="98">
        <f t="shared" si="40"/>
        <v>0</v>
      </c>
      <c r="Z190" s="98">
        <f t="shared" si="40"/>
        <v>0</v>
      </c>
      <c r="AA190" s="98">
        <f t="shared" si="40"/>
        <v>0</v>
      </c>
      <c r="AB190" s="98">
        <f t="shared" si="40"/>
        <v>0</v>
      </c>
      <c r="AC190" s="98">
        <f t="shared" si="40"/>
        <v>0</v>
      </c>
      <c r="AD190" s="98">
        <f t="shared" si="40"/>
        <v>0</v>
      </c>
      <c r="AE190" s="98">
        <f t="shared" si="40"/>
        <v>0</v>
      </c>
      <c r="AF190" s="98">
        <f t="shared" si="40"/>
        <v>0</v>
      </c>
      <c r="AG190" s="98">
        <f t="shared" si="40"/>
        <v>0</v>
      </c>
      <c r="AH190" s="53">
        <f t="shared" ref="AH190:AH191" si="41">SUM(D190:AG190)</f>
        <v>355652449.11128718</v>
      </c>
      <c r="AI190"/>
      <c r="AJ190" s="23" t="s">
        <v>317</v>
      </c>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row>
    <row r="191" spans="2:135" s="1" customFormat="1" outlineLevel="1" x14ac:dyDescent="0.25">
      <c r="B191" t="s">
        <v>154</v>
      </c>
      <c r="C191" t="s">
        <v>170</v>
      </c>
      <c r="D191" s="98">
        <f t="shared" ref="D191:AG191" si="42">D71</f>
        <v>278436.87957137165</v>
      </c>
      <c r="E191" s="98">
        <f t="shared" si="42"/>
        <v>297204.70349500491</v>
      </c>
      <c r="F191" s="98">
        <f t="shared" si="42"/>
        <v>297204.70349500491</v>
      </c>
      <c r="G191" s="98">
        <f t="shared" si="42"/>
        <v>315431.18617302546</v>
      </c>
      <c r="H191" s="98">
        <f t="shared" si="42"/>
        <v>315431.18617302546</v>
      </c>
      <c r="I191" s="98">
        <f t="shared" si="42"/>
        <v>313904.4007714967</v>
      </c>
      <c r="J191" s="98">
        <f t="shared" si="42"/>
        <v>313904.4007714967</v>
      </c>
      <c r="K191" s="98">
        <f t="shared" si="42"/>
        <v>303318.1023746687</v>
      </c>
      <c r="L191" s="98">
        <f t="shared" si="42"/>
        <v>303318.1023746687</v>
      </c>
      <c r="M191" s="98">
        <f t="shared" si="42"/>
        <v>303961.47031906317</v>
      </c>
      <c r="N191" s="98">
        <f t="shared" si="42"/>
        <v>261875.29834903718</v>
      </c>
      <c r="O191" s="98">
        <f t="shared" si="42"/>
        <v>259512.37517345324</v>
      </c>
      <c r="P191" s="98">
        <f t="shared" si="42"/>
        <v>259512.37517345324</v>
      </c>
      <c r="Q191" s="98">
        <f t="shared" si="42"/>
        <v>259003.18643594004</v>
      </c>
      <c r="R191" s="98">
        <f t="shared" si="42"/>
        <v>204633.07936726013</v>
      </c>
      <c r="S191" s="98">
        <f t="shared" si="42"/>
        <v>235413.66560315649</v>
      </c>
      <c r="T191" s="98">
        <f t="shared" si="42"/>
        <v>235413.66560315649</v>
      </c>
      <c r="U191" s="98">
        <f t="shared" si="42"/>
        <v>235347.17748572759</v>
      </c>
      <c r="V191" s="98">
        <f t="shared" si="42"/>
        <v>235347.17748572759</v>
      </c>
      <c r="W191" s="98">
        <f t="shared" si="42"/>
        <v>234792.7286685353</v>
      </c>
      <c r="X191" s="98">
        <f t="shared" si="42"/>
        <v>234792.7286685353</v>
      </c>
      <c r="Y191" s="98">
        <f t="shared" si="42"/>
        <v>234792.7286685353</v>
      </c>
      <c r="Z191" s="98">
        <f t="shared" si="42"/>
        <v>234792.7286685353</v>
      </c>
      <c r="AA191" s="98">
        <f t="shared" si="42"/>
        <v>234792.7286685353</v>
      </c>
      <c r="AB191" s="98">
        <f t="shared" si="42"/>
        <v>234792.7286685353</v>
      </c>
      <c r="AC191" s="98">
        <f t="shared" si="42"/>
        <v>234058.0807872047</v>
      </c>
      <c r="AD191" s="98">
        <f t="shared" si="42"/>
        <v>234058.0807872047</v>
      </c>
      <c r="AE191" s="98">
        <f t="shared" si="42"/>
        <v>234058.0807872047</v>
      </c>
      <c r="AF191" s="98">
        <f t="shared" si="42"/>
        <v>234058.0807872047</v>
      </c>
      <c r="AG191" s="98">
        <f t="shared" si="42"/>
        <v>234058.0807872047</v>
      </c>
      <c r="AH191" s="53">
        <f t="shared" si="41"/>
        <v>7807219.9121429753</v>
      </c>
      <c r="AI191"/>
      <c r="AJ191" s="23" t="s">
        <v>317</v>
      </c>
      <c r="AM191"/>
      <c r="AN191"/>
      <c r="AO191"/>
      <c r="AP191"/>
      <c r="AQ191"/>
      <c r="AR191"/>
      <c r="AS191"/>
      <c r="AT191"/>
      <c r="AU191"/>
      <c r="AV191"/>
      <c r="AW191"/>
      <c r="AX191"/>
      <c r="AZ191"/>
      <c r="BA191"/>
      <c r="BB191"/>
      <c r="BC191"/>
      <c r="BD191"/>
      <c r="BE191"/>
      <c r="BF191"/>
      <c r="BG191"/>
      <c r="BH191"/>
      <c r="BI191"/>
      <c r="BJ191"/>
      <c r="BK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row>
    <row r="192" spans="2:135" s="1" customFormat="1" outlineLevel="1" x14ac:dyDescent="0.25">
      <c r="B192" t="s">
        <v>312</v>
      </c>
      <c r="C192" t="s">
        <v>313</v>
      </c>
      <c r="D192" s="98">
        <f>D189*'Global Inputs'!C$83+Outputs!D190*CO2_emissions_gas_tons_per_therm</f>
        <v>210153.43197440394</v>
      </c>
      <c r="E192" s="98">
        <f>E189*'Global Inputs'!D$83+Outputs!E190*CO2_emissions_gas_tons_per_therm</f>
        <v>210153.43197440394</v>
      </c>
      <c r="F192" s="98">
        <f>F189*'Global Inputs'!E$83+Outputs!F190*CO2_emissions_gas_tons_per_therm</f>
        <v>210153.43197440394</v>
      </c>
      <c r="G192" s="98">
        <f>G189*'Global Inputs'!F$83+Outputs!G190*CO2_emissions_gas_tons_per_therm</f>
        <v>206928.13638288132</v>
      </c>
      <c r="H192" s="98">
        <f>H189*'Global Inputs'!G$83+Outputs!H190*CO2_emissions_gas_tons_per_therm</f>
        <v>206928.13638288132</v>
      </c>
      <c r="I192" s="98">
        <f>I189*'Global Inputs'!H$83+Outputs!I190*CO2_emissions_gas_tons_per_therm</f>
        <v>179607.38166146507</v>
      </c>
      <c r="J192" s="98">
        <f>J189*'Global Inputs'!I$83+Outputs!J190*CO2_emissions_gas_tons_per_therm</f>
        <v>179607.38166146507</v>
      </c>
      <c r="K192" s="98">
        <f>K189*'Global Inputs'!J$83+Outputs!K190*CO2_emissions_gas_tons_per_therm</f>
        <v>174800.37734035822</v>
      </c>
      <c r="L192" s="98">
        <f>L189*'Global Inputs'!K$83+Outputs!L190*CO2_emissions_gas_tons_per_therm</f>
        <v>174800.37734035822</v>
      </c>
      <c r="M192" s="98">
        <f>M189*'Global Inputs'!L$83+Outputs!M190*CO2_emissions_gas_tons_per_therm</f>
        <v>172712.63569557326</v>
      </c>
      <c r="N192" s="98">
        <f>N189*'Global Inputs'!M$83+Outputs!N190*CO2_emissions_gas_tons_per_therm</f>
        <v>116775.15415578688</v>
      </c>
      <c r="O192" s="98">
        <f>O189*'Global Inputs'!N$83+Outputs!O190*CO2_emissions_gas_tons_per_therm</f>
        <v>116178.0548727486</v>
      </c>
      <c r="P192" s="98">
        <f>P189*'Global Inputs'!O$83+Outputs!P190*CO2_emissions_gas_tons_per_therm</f>
        <v>116178.0548727486</v>
      </c>
      <c r="Q192" s="98">
        <f>Q189*'Global Inputs'!P$83+Outputs!Q190*CO2_emissions_gas_tons_per_therm</f>
        <v>116075.42908570489</v>
      </c>
      <c r="R192" s="98">
        <f>R189*'Global Inputs'!Q$83+Outputs!R190*CO2_emissions_gas_tons_per_therm</f>
        <v>0</v>
      </c>
      <c r="S192" s="98">
        <f>S189*'Global Inputs'!R$83+Outputs!S190*CO2_emissions_gas_tons_per_therm</f>
        <v>0</v>
      </c>
      <c r="T192" s="98">
        <f>T189*'Global Inputs'!S$83+Outputs!T190*CO2_emissions_gas_tons_per_therm</f>
        <v>0</v>
      </c>
      <c r="U192" s="98">
        <f>U189*'Global Inputs'!T$83+Outputs!U190*CO2_emissions_gas_tons_per_therm</f>
        <v>0</v>
      </c>
      <c r="V192" s="98">
        <f>V189*'Global Inputs'!U$83+Outputs!V190*CO2_emissions_gas_tons_per_therm</f>
        <v>0</v>
      </c>
      <c r="W192" s="98">
        <f>W189*'Global Inputs'!V$83+Outputs!W190*CO2_emissions_gas_tons_per_therm</f>
        <v>0</v>
      </c>
      <c r="X192" s="98">
        <f>X189*'Global Inputs'!W$83+Outputs!X190*CO2_emissions_gas_tons_per_therm</f>
        <v>0</v>
      </c>
      <c r="Y192" s="98">
        <f>Y189*'Global Inputs'!X$83+Outputs!Y190*CO2_emissions_gas_tons_per_therm</f>
        <v>0</v>
      </c>
      <c r="Z192" s="98">
        <f>Z189*'Global Inputs'!Y$83+Outputs!Z190*CO2_emissions_gas_tons_per_therm</f>
        <v>0</v>
      </c>
      <c r="AA192" s="98">
        <f>AA189*'Global Inputs'!Z$83+Outputs!AA190*CO2_emissions_gas_tons_per_therm</f>
        <v>0</v>
      </c>
      <c r="AB192" s="98">
        <f>AB189*'Global Inputs'!AA$83+Outputs!AB190*CO2_emissions_gas_tons_per_therm</f>
        <v>0</v>
      </c>
      <c r="AC192" s="98">
        <f>AC189*'Global Inputs'!AB$83+Outputs!AC190*CO2_emissions_gas_tons_per_therm</f>
        <v>0</v>
      </c>
      <c r="AD192" s="98">
        <f>AD189*'Global Inputs'!AC$83+Outputs!AD190*CO2_emissions_gas_tons_per_therm</f>
        <v>0</v>
      </c>
      <c r="AE192" s="98">
        <f>AE189*'Global Inputs'!AD$83+Outputs!AE190*CO2_emissions_gas_tons_per_therm</f>
        <v>0</v>
      </c>
      <c r="AF192" s="98">
        <f>AF189*'Global Inputs'!AE$83+Outputs!AF190*CO2_emissions_gas_tons_per_therm</f>
        <v>0</v>
      </c>
      <c r="AG192" s="98">
        <f>AG189*'Global Inputs'!AF$83+Outputs!AG190*CO2_emissions_gas_tons_per_therm</f>
        <v>0</v>
      </c>
      <c r="AH192" s="53">
        <f t="shared" ref="AH192" si="43">SUM(D192:AG192)</f>
        <v>2391051.4153751833</v>
      </c>
      <c r="AI192"/>
      <c r="AJ192" s="23"/>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row>
    <row r="193" spans="2:135" outlineLevel="1" x14ac:dyDescent="0.25">
      <c r="B193" t="s">
        <v>314</v>
      </c>
      <c r="C193" t="s">
        <v>315</v>
      </c>
      <c r="AG193" s="51">
        <f>AG189*Btuh_per_W/'Global Inputs'!$D$17+AG190*'Global Inputs'!$D$16/'Global Inputs'!$D$17/'Global Inputs'!$D$17</f>
        <v>1612229.9634944247</v>
      </c>
      <c r="AH193" s="53">
        <f>AH189*Btuh_per_W/'Global Inputs'!$D$17+AH190*'Global Inputs'!$D$16/'Global Inputs'!$D$17/'Global Inputs'!$D$17</f>
        <v>66382425.066690214</v>
      </c>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row>
    <row r="194" spans="2:135" outlineLevel="1" x14ac:dyDescent="0.25">
      <c r="AH194" s="54"/>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row>
    <row r="195" spans="2:135" s="1" customFormat="1" ht="17.25" outlineLevel="1" thickBot="1" x14ac:dyDescent="0.3">
      <c r="B195" s="19" t="s">
        <v>299</v>
      </c>
      <c r="C195" s="19"/>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6"/>
      <c r="AF195" s="96"/>
      <c r="AG195" s="96"/>
      <c r="AH195" s="55"/>
      <c r="AI195" s="19"/>
      <c r="AJ195" s="19"/>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row>
    <row r="196" spans="2:135" s="1" customFormat="1" ht="16.5" outlineLevel="1" thickTop="1" thickBot="1" x14ac:dyDescent="0.3">
      <c r="B196" s="20" t="s">
        <v>310</v>
      </c>
      <c r="C196" s="20" t="s">
        <v>13</v>
      </c>
      <c r="D196" s="97" t="s">
        <v>17</v>
      </c>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56" t="s">
        <v>224</v>
      </c>
      <c r="AI196" s="20"/>
      <c r="AJ196" s="20" t="s">
        <v>15</v>
      </c>
      <c r="AM196"/>
      <c r="AN196"/>
      <c r="AO196"/>
      <c r="AP196"/>
      <c r="AQ196"/>
      <c r="AR196"/>
      <c r="AS196"/>
      <c r="AT196"/>
      <c r="AU196"/>
      <c r="AV196"/>
      <c r="AW196"/>
      <c r="AX196"/>
      <c r="AZ196"/>
      <c r="BA196"/>
      <c r="BB196"/>
      <c r="BC196"/>
      <c r="BD196"/>
      <c r="BE196"/>
      <c r="BF196"/>
      <c r="BG196"/>
      <c r="BH196"/>
      <c r="BI196"/>
      <c r="BJ196"/>
      <c r="BK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row>
    <row r="197" spans="2:135" outlineLevel="1" x14ac:dyDescent="0.25">
      <c r="D197" s="100">
        <f>'Core Loads'!$C$14</f>
        <v>2025</v>
      </c>
      <c r="E197" s="100">
        <f>'Core Loads'!$D$14</f>
        <v>2026</v>
      </c>
      <c r="F197" s="100">
        <f>'Core Loads'!$E$14</f>
        <v>2027</v>
      </c>
      <c r="G197" s="100">
        <f>'Core Loads'!$F$14</f>
        <v>2028</v>
      </c>
      <c r="H197" s="100">
        <f>'Core Loads'!$G$14</f>
        <v>2029</v>
      </c>
      <c r="I197" s="100">
        <f>'Core Loads'!$H$14</f>
        <v>2030</v>
      </c>
      <c r="J197" s="100">
        <f>'Core Loads'!$I$14</f>
        <v>2031</v>
      </c>
      <c r="K197" s="100">
        <f>'Core Loads'!$J$14</f>
        <v>2032</v>
      </c>
      <c r="L197" s="100">
        <f>'Core Loads'!$K$14</f>
        <v>2033</v>
      </c>
      <c r="M197" s="100">
        <f>'Core Loads'!$L$14</f>
        <v>2034</v>
      </c>
      <c r="N197" s="100">
        <f>'Core Loads'!$M$14</f>
        <v>2035</v>
      </c>
      <c r="O197" s="100">
        <f>'Core Loads'!$N$14</f>
        <v>2036</v>
      </c>
      <c r="P197" s="100">
        <f>'Core Loads'!$O$14</f>
        <v>2037</v>
      </c>
      <c r="Q197" s="100">
        <f>'Core Loads'!$P$14</f>
        <v>2038</v>
      </c>
      <c r="R197" s="100">
        <f>'Core Loads'!$Q$14</f>
        <v>2039</v>
      </c>
      <c r="S197" s="100">
        <f>'Core Loads'!$R$14</f>
        <v>2040</v>
      </c>
      <c r="T197" s="100">
        <f>'Core Loads'!$S$14</f>
        <v>2041</v>
      </c>
      <c r="U197" s="100">
        <f>'Core Loads'!$T$14</f>
        <v>2042</v>
      </c>
      <c r="V197" s="100">
        <f>'Core Loads'!$U$14</f>
        <v>2043</v>
      </c>
      <c r="W197" s="100">
        <f>'Core Loads'!$V$14</f>
        <v>2044</v>
      </c>
      <c r="X197" s="100">
        <f>'Core Loads'!$W$14</f>
        <v>2045</v>
      </c>
      <c r="Y197" s="100">
        <f>'Core Loads'!$X$14</f>
        <v>2046</v>
      </c>
      <c r="Z197" s="100">
        <f>'Core Loads'!$Y$14</f>
        <v>2047</v>
      </c>
      <c r="AA197" s="100">
        <f>'Core Loads'!$Z$14</f>
        <v>2048</v>
      </c>
      <c r="AB197" s="100">
        <f>'Core Loads'!$AA$14</f>
        <v>2049</v>
      </c>
      <c r="AC197" s="100">
        <f>'Core Loads'!$AB$14</f>
        <v>2050</v>
      </c>
      <c r="AD197" s="100">
        <f>'Core Loads'!$AC$14</f>
        <v>2051</v>
      </c>
      <c r="AE197" s="100">
        <f>'Core Loads'!$AD$14</f>
        <v>2052</v>
      </c>
      <c r="AF197" s="100">
        <f>'Core Loads'!$AE$14</f>
        <v>2053</v>
      </c>
      <c r="AG197" s="100">
        <f>'Core Loads'!$AF$14</f>
        <v>2054</v>
      </c>
      <c r="AH197" s="8"/>
      <c r="AY197" s="1"/>
      <c r="BL197" s="1"/>
      <c r="BM197" s="1"/>
      <c r="BN197" s="1"/>
      <c r="BO197" s="1"/>
    </row>
    <row r="198" spans="2:135" s="1" customFormat="1" outlineLevel="1" x14ac:dyDescent="0.25">
      <c r="B198" t="s">
        <v>141</v>
      </c>
      <c r="C198" t="s">
        <v>109</v>
      </c>
      <c r="D198" s="98">
        <f>MAX(D78-'Enhancement Inputs'!D$144,0)</f>
        <v>0</v>
      </c>
      <c r="E198" s="98">
        <f>MAX(E78-'Enhancement Inputs'!E$144,0)</f>
        <v>0</v>
      </c>
      <c r="F198" s="98">
        <f>MAX(F78-'Enhancement Inputs'!F$144,0)</f>
        <v>0</v>
      </c>
      <c r="G198" s="98">
        <f>MAX(G78-'Enhancement Inputs'!G$144,0)</f>
        <v>8385065.6061556414</v>
      </c>
      <c r="H198" s="98">
        <f>MAX(H78-'Enhancement Inputs'!H$144,0)</f>
        <v>8385065.6061556414</v>
      </c>
      <c r="I198" s="98">
        <f>MAX(I78-'Enhancement Inputs'!I$144,0)</f>
        <v>73500800.169956744</v>
      </c>
      <c r="J198" s="98">
        <f>MAX(J78-'Enhancement Inputs'!J$144,0)</f>
        <v>73500800.169956744</v>
      </c>
      <c r="K198" s="98">
        <f>MAX(K78-'Enhancement Inputs'!K$144,0)</f>
        <v>67497954.153766885</v>
      </c>
      <c r="L198" s="98">
        <f>MAX(L78-'Enhancement Inputs'!L$144,0)</f>
        <v>67497954.153766885</v>
      </c>
      <c r="M198" s="98">
        <f>MAX(M78-'Enhancement Inputs'!M$144,0)</f>
        <v>67497954.153766885</v>
      </c>
      <c r="N198" s="98">
        <f>MAX(N78-'Enhancement Inputs'!N$144,0)</f>
        <v>150522086.15353557</v>
      </c>
      <c r="O198" s="98">
        <f>MAX(O78-'Enhancement Inputs'!O$144,0)</f>
        <v>147732911.5786992</v>
      </c>
      <c r="P198" s="98">
        <f>MAX(P78-'Enhancement Inputs'!P$144,0)</f>
        <v>147732911.5786992</v>
      </c>
      <c r="Q198" s="98">
        <f>MAX(Q78-'Enhancement Inputs'!Q$144,0)</f>
        <v>147102575.21018684</v>
      </c>
      <c r="R198" s="98">
        <f>MAX(R78-'Enhancement Inputs'!R$144,0)</f>
        <v>275939051.7016111</v>
      </c>
      <c r="S198" s="98">
        <f>MAX(S78-'Enhancement Inputs'!S$144,0)</f>
        <v>320894511.19102746</v>
      </c>
      <c r="T198" s="98">
        <f>MAX(T78-'Enhancement Inputs'!T$144,0)</f>
        <v>320894511.19102746</v>
      </c>
      <c r="U198" s="98">
        <f>MAX(U78-'Enhancement Inputs'!U$144,0)</f>
        <v>320599486.84177649</v>
      </c>
      <c r="V198" s="98">
        <f>MAX(V78-'Enhancement Inputs'!V$144,0)</f>
        <v>320599486.84177649</v>
      </c>
      <c r="W198" s="98">
        <f>MAX(W78-'Enhancement Inputs'!W$144,0)</f>
        <v>319796471.3704766</v>
      </c>
      <c r="X198" s="98">
        <f>MAX(X78-'Enhancement Inputs'!X$144,0)</f>
        <v>319796471.3704766</v>
      </c>
      <c r="Y198" s="98">
        <f>MAX(Y78-'Enhancement Inputs'!Y$144,0)</f>
        <v>319796471.3704766</v>
      </c>
      <c r="Z198" s="98">
        <f>MAX(Z78-'Enhancement Inputs'!Z$144,0)</f>
        <v>319796471.3704766</v>
      </c>
      <c r="AA198" s="98">
        <f>MAX(AA78-'Enhancement Inputs'!AA$144,0)</f>
        <v>319796471.3704766</v>
      </c>
      <c r="AB198" s="98">
        <f>MAX(AB78-'Enhancement Inputs'!AB$144,0)</f>
        <v>319796471.3704766</v>
      </c>
      <c r="AC198" s="98">
        <f>MAX(AC78-'Enhancement Inputs'!AC$144,0)</f>
        <v>318859817.86950195</v>
      </c>
      <c r="AD198" s="98">
        <f>MAX(AD78-'Enhancement Inputs'!AD$144,0)</f>
        <v>318859817.86950195</v>
      </c>
      <c r="AE198" s="98">
        <f>MAX(AE78-'Enhancement Inputs'!AE$144,0)</f>
        <v>318859817.86950195</v>
      </c>
      <c r="AF198" s="98">
        <f>MAX(AF78-'Enhancement Inputs'!AF$144,0)</f>
        <v>318859817.86950195</v>
      </c>
      <c r="AG198" s="98">
        <f>MAX(AG78-'Enhancement Inputs'!AG$144,0)</f>
        <v>318859817.86950195</v>
      </c>
      <c r="AH198" s="53">
        <f>SUM(D198:AG198)</f>
        <v>6031361043.8722353</v>
      </c>
      <c r="AI198" s="54"/>
      <c r="AJ198" s="23" t="s">
        <v>317</v>
      </c>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row>
    <row r="199" spans="2:135" s="1" customFormat="1" outlineLevel="1" x14ac:dyDescent="0.25">
      <c r="B199" t="s">
        <v>136</v>
      </c>
      <c r="C199" t="s">
        <v>169</v>
      </c>
      <c r="D199" s="98">
        <f t="shared" ref="D199:AG199" si="44">D79</f>
        <v>31258877.283118241</v>
      </c>
      <c r="E199" s="98">
        <f t="shared" si="44"/>
        <v>31258877.283118241</v>
      </c>
      <c r="F199" s="98">
        <f t="shared" si="44"/>
        <v>31258877.283118241</v>
      </c>
      <c r="G199" s="98">
        <f t="shared" si="44"/>
        <v>30779136.751878824</v>
      </c>
      <c r="H199" s="98">
        <f t="shared" si="44"/>
        <v>30779136.751878824</v>
      </c>
      <c r="I199" s="98">
        <f t="shared" si="44"/>
        <v>26715362.436630234</v>
      </c>
      <c r="J199" s="98">
        <f t="shared" si="44"/>
        <v>26715362.436630234</v>
      </c>
      <c r="K199" s="98">
        <f t="shared" si="44"/>
        <v>26000353.613023683</v>
      </c>
      <c r="L199" s="98">
        <f t="shared" si="44"/>
        <v>26000353.613023683</v>
      </c>
      <c r="M199" s="98">
        <f t="shared" si="44"/>
        <v>25689816.405707758</v>
      </c>
      <c r="N199" s="98">
        <f t="shared" si="44"/>
        <v>17369500.84125939</v>
      </c>
      <c r="O199" s="98">
        <f t="shared" si="44"/>
        <v>17280686.43057394</v>
      </c>
      <c r="P199" s="98">
        <f t="shared" si="44"/>
        <v>17280686.43057394</v>
      </c>
      <c r="Q199" s="98">
        <f t="shared" si="44"/>
        <v>17265421.55075188</v>
      </c>
      <c r="R199" s="98">
        <f t="shared" si="44"/>
        <v>0</v>
      </c>
      <c r="S199" s="98">
        <f t="shared" si="44"/>
        <v>0</v>
      </c>
      <c r="T199" s="98">
        <f t="shared" si="44"/>
        <v>0</v>
      </c>
      <c r="U199" s="98">
        <f t="shared" si="44"/>
        <v>0</v>
      </c>
      <c r="V199" s="98">
        <f t="shared" si="44"/>
        <v>0</v>
      </c>
      <c r="W199" s="98">
        <f t="shared" si="44"/>
        <v>0</v>
      </c>
      <c r="X199" s="98">
        <f t="shared" si="44"/>
        <v>0</v>
      </c>
      <c r="Y199" s="98">
        <f t="shared" si="44"/>
        <v>0</v>
      </c>
      <c r="Z199" s="98">
        <f t="shared" si="44"/>
        <v>0</v>
      </c>
      <c r="AA199" s="98">
        <f t="shared" si="44"/>
        <v>0</v>
      </c>
      <c r="AB199" s="98">
        <f t="shared" si="44"/>
        <v>0</v>
      </c>
      <c r="AC199" s="98">
        <f t="shared" si="44"/>
        <v>0</v>
      </c>
      <c r="AD199" s="98">
        <f t="shared" si="44"/>
        <v>0</v>
      </c>
      <c r="AE199" s="98">
        <f t="shared" si="44"/>
        <v>0</v>
      </c>
      <c r="AF199" s="98">
        <f t="shared" si="44"/>
        <v>0</v>
      </c>
      <c r="AG199" s="98">
        <f t="shared" si="44"/>
        <v>0</v>
      </c>
      <c r="AH199" s="53">
        <f t="shared" ref="AH199:AH200" si="45">SUM(D199:AG199)</f>
        <v>355652449.11128718</v>
      </c>
      <c r="AI199"/>
      <c r="AJ199" s="23" t="s">
        <v>317</v>
      </c>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row>
    <row r="200" spans="2:135" s="1" customFormat="1" outlineLevel="1" x14ac:dyDescent="0.25">
      <c r="B200" t="s">
        <v>154</v>
      </c>
      <c r="C200" t="s">
        <v>170</v>
      </c>
      <c r="D200" s="98">
        <f t="shared" ref="D200:AG200" si="46">D80</f>
        <v>278436.87957137165</v>
      </c>
      <c r="E200" s="98">
        <f t="shared" si="46"/>
        <v>297204.70349500491</v>
      </c>
      <c r="F200" s="98">
        <f t="shared" si="46"/>
        <v>297204.70349500491</v>
      </c>
      <c r="G200" s="98">
        <f t="shared" si="46"/>
        <v>315431.18617302546</v>
      </c>
      <c r="H200" s="98">
        <f t="shared" si="46"/>
        <v>315431.18617302546</v>
      </c>
      <c r="I200" s="98">
        <f t="shared" si="46"/>
        <v>313904.4007714967</v>
      </c>
      <c r="J200" s="98">
        <f t="shared" si="46"/>
        <v>313904.4007714967</v>
      </c>
      <c r="K200" s="98">
        <f t="shared" si="46"/>
        <v>303318.1023746687</v>
      </c>
      <c r="L200" s="98">
        <f t="shared" si="46"/>
        <v>303318.1023746687</v>
      </c>
      <c r="M200" s="98">
        <f t="shared" si="46"/>
        <v>303961.47031906317</v>
      </c>
      <c r="N200" s="98">
        <f t="shared" si="46"/>
        <v>261875.29834903718</v>
      </c>
      <c r="O200" s="98">
        <f t="shared" si="46"/>
        <v>259512.37517345324</v>
      </c>
      <c r="P200" s="98">
        <f t="shared" si="46"/>
        <v>259512.37517345324</v>
      </c>
      <c r="Q200" s="98">
        <f t="shared" si="46"/>
        <v>259003.18643594004</v>
      </c>
      <c r="R200" s="98">
        <f t="shared" si="46"/>
        <v>204633.07936726013</v>
      </c>
      <c r="S200" s="98">
        <f t="shared" si="46"/>
        <v>235413.66560315649</v>
      </c>
      <c r="T200" s="98">
        <f t="shared" si="46"/>
        <v>235413.66560315649</v>
      </c>
      <c r="U200" s="98">
        <f t="shared" si="46"/>
        <v>235347.17748572759</v>
      </c>
      <c r="V200" s="98">
        <f t="shared" si="46"/>
        <v>235347.17748572759</v>
      </c>
      <c r="W200" s="98">
        <f t="shared" si="46"/>
        <v>234792.7286685353</v>
      </c>
      <c r="X200" s="98">
        <f t="shared" si="46"/>
        <v>234792.7286685353</v>
      </c>
      <c r="Y200" s="98">
        <f t="shared" si="46"/>
        <v>234792.7286685353</v>
      </c>
      <c r="Z200" s="98">
        <f t="shared" si="46"/>
        <v>234792.7286685353</v>
      </c>
      <c r="AA200" s="98">
        <f t="shared" si="46"/>
        <v>234792.7286685353</v>
      </c>
      <c r="AB200" s="98">
        <f t="shared" si="46"/>
        <v>234792.7286685353</v>
      </c>
      <c r="AC200" s="98">
        <f t="shared" si="46"/>
        <v>234058.0807872047</v>
      </c>
      <c r="AD200" s="98">
        <f t="shared" si="46"/>
        <v>234058.0807872047</v>
      </c>
      <c r="AE200" s="98">
        <f t="shared" si="46"/>
        <v>234058.0807872047</v>
      </c>
      <c r="AF200" s="98">
        <f t="shared" si="46"/>
        <v>234058.0807872047</v>
      </c>
      <c r="AG200" s="98">
        <f t="shared" si="46"/>
        <v>234058.0807872047</v>
      </c>
      <c r="AH200" s="53">
        <f t="shared" si="45"/>
        <v>7807219.9121429753</v>
      </c>
      <c r="AI200"/>
      <c r="AJ200" s="23" t="s">
        <v>317</v>
      </c>
      <c r="AM200"/>
      <c r="AN200"/>
      <c r="AO200"/>
      <c r="AP200"/>
      <c r="AQ200"/>
      <c r="AR200"/>
      <c r="AS200"/>
      <c r="AT200"/>
      <c r="AU200"/>
      <c r="AV200"/>
      <c r="AW200"/>
      <c r="AX200"/>
      <c r="AZ200"/>
      <c r="BA200"/>
      <c r="BB200"/>
      <c r="BC200"/>
      <c r="BD200"/>
      <c r="BE200"/>
      <c r="BF200"/>
      <c r="BG200"/>
      <c r="BH200"/>
      <c r="BI200"/>
      <c r="BJ200"/>
      <c r="BK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row>
    <row r="201" spans="2:135" s="1" customFormat="1" outlineLevel="1" x14ac:dyDescent="0.25">
      <c r="B201" t="s">
        <v>312</v>
      </c>
      <c r="C201" t="s">
        <v>313</v>
      </c>
      <c r="D201" s="98">
        <f>D198*'Global Inputs'!C$83+Outputs!D199*CO2_emissions_gas_tons_per_therm</f>
        <v>210153.43197440394</v>
      </c>
      <c r="E201" s="98">
        <f>E198*'Global Inputs'!D$83+Outputs!E199*CO2_emissions_gas_tons_per_therm</f>
        <v>210153.43197440394</v>
      </c>
      <c r="F201" s="98">
        <f>F198*'Global Inputs'!E$83+Outputs!F199*CO2_emissions_gas_tons_per_therm</f>
        <v>210153.43197440394</v>
      </c>
      <c r="G201" s="98">
        <f>G198*'Global Inputs'!F$83+Outputs!G199*CO2_emissions_gas_tons_per_therm</f>
        <v>206928.13638288132</v>
      </c>
      <c r="H201" s="98">
        <f>H198*'Global Inputs'!G$83+Outputs!H199*CO2_emissions_gas_tons_per_therm</f>
        <v>206928.13638288132</v>
      </c>
      <c r="I201" s="98">
        <f>I198*'Global Inputs'!H$83+Outputs!I199*CO2_emissions_gas_tons_per_therm</f>
        <v>179607.38166146507</v>
      </c>
      <c r="J201" s="98">
        <f>J198*'Global Inputs'!I$83+Outputs!J199*CO2_emissions_gas_tons_per_therm</f>
        <v>179607.38166146507</v>
      </c>
      <c r="K201" s="98">
        <f>K198*'Global Inputs'!J$83+Outputs!K199*CO2_emissions_gas_tons_per_therm</f>
        <v>174800.37734035822</v>
      </c>
      <c r="L201" s="98">
        <f>L198*'Global Inputs'!K$83+Outputs!L199*CO2_emissions_gas_tons_per_therm</f>
        <v>174800.37734035822</v>
      </c>
      <c r="M201" s="98">
        <f>M198*'Global Inputs'!L$83+Outputs!M199*CO2_emissions_gas_tons_per_therm</f>
        <v>172712.63569557326</v>
      </c>
      <c r="N201" s="98">
        <f>N198*'Global Inputs'!M$83+Outputs!N199*CO2_emissions_gas_tons_per_therm</f>
        <v>116775.15415578688</v>
      </c>
      <c r="O201" s="98">
        <f>O198*'Global Inputs'!N$83+Outputs!O199*CO2_emissions_gas_tons_per_therm</f>
        <v>116178.0548727486</v>
      </c>
      <c r="P201" s="98">
        <f>P198*'Global Inputs'!O$83+Outputs!P199*CO2_emissions_gas_tons_per_therm</f>
        <v>116178.0548727486</v>
      </c>
      <c r="Q201" s="98">
        <f>Q198*'Global Inputs'!P$83+Outputs!Q199*CO2_emissions_gas_tons_per_therm</f>
        <v>116075.42908570489</v>
      </c>
      <c r="R201" s="98">
        <f>R198*'Global Inputs'!Q$83+Outputs!R199*CO2_emissions_gas_tons_per_therm</f>
        <v>0</v>
      </c>
      <c r="S201" s="98">
        <f>S198*'Global Inputs'!R$83+Outputs!S199*CO2_emissions_gas_tons_per_therm</f>
        <v>0</v>
      </c>
      <c r="T201" s="98">
        <f>T198*'Global Inputs'!S$83+Outputs!T199*CO2_emissions_gas_tons_per_therm</f>
        <v>0</v>
      </c>
      <c r="U201" s="98">
        <f>U198*'Global Inputs'!T$83+Outputs!U199*CO2_emissions_gas_tons_per_therm</f>
        <v>0</v>
      </c>
      <c r="V201" s="98">
        <f>V198*'Global Inputs'!U$83+Outputs!V199*CO2_emissions_gas_tons_per_therm</f>
        <v>0</v>
      </c>
      <c r="W201" s="98">
        <f>W198*'Global Inputs'!V$83+Outputs!W199*CO2_emissions_gas_tons_per_therm</f>
        <v>0</v>
      </c>
      <c r="X201" s="98">
        <f>X198*'Global Inputs'!W$83+Outputs!X199*CO2_emissions_gas_tons_per_therm</f>
        <v>0</v>
      </c>
      <c r="Y201" s="98">
        <f>Y198*'Global Inputs'!X$83+Outputs!Y199*CO2_emissions_gas_tons_per_therm</f>
        <v>0</v>
      </c>
      <c r="Z201" s="98">
        <f>Z198*'Global Inputs'!Y$83+Outputs!Z199*CO2_emissions_gas_tons_per_therm</f>
        <v>0</v>
      </c>
      <c r="AA201" s="98">
        <f>AA198*'Global Inputs'!Z$83+Outputs!AA199*CO2_emissions_gas_tons_per_therm</f>
        <v>0</v>
      </c>
      <c r="AB201" s="98">
        <f>AB198*'Global Inputs'!AA$83+Outputs!AB199*CO2_emissions_gas_tons_per_therm</f>
        <v>0</v>
      </c>
      <c r="AC201" s="98">
        <f>AC198*'Global Inputs'!AB$83+Outputs!AC199*CO2_emissions_gas_tons_per_therm</f>
        <v>0</v>
      </c>
      <c r="AD201" s="98">
        <f>AD198*'Global Inputs'!AC$83+Outputs!AD199*CO2_emissions_gas_tons_per_therm</f>
        <v>0</v>
      </c>
      <c r="AE201" s="98">
        <f>AE198*'Global Inputs'!AD$83+Outputs!AE199*CO2_emissions_gas_tons_per_therm</f>
        <v>0</v>
      </c>
      <c r="AF201" s="98">
        <f>AF198*'Global Inputs'!AE$83+Outputs!AF199*CO2_emissions_gas_tons_per_therm</f>
        <v>0</v>
      </c>
      <c r="AG201" s="98">
        <f>AG198*'Global Inputs'!AF$83+Outputs!AG199*CO2_emissions_gas_tons_per_therm</f>
        <v>0</v>
      </c>
      <c r="AH201" s="53">
        <f t="shared" ref="AH201" si="47">SUM(D201:AG201)</f>
        <v>2391051.4153751833</v>
      </c>
      <c r="AI201"/>
      <c r="AJ201" s="23"/>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row>
    <row r="202" spans="2:135" outlineLevel="1" x14ac:dyDescent="0.25">
      <c r="B202" t="s">
        <v>314</v>
      </c>
      <c r="C202" t="s">
        <v>315</v>
      </c>
      <c r="AG202" s="51">
        <f>AG198*Btuh_per_W/'Global Inputs'!$D$17+AG199*'Global Inputs'!$D$16/'Global Inputs'!$D$17/'Global Inputs'!$D$17</f>
        <v>1087949.6985707406</v>
      </c>
      <c r="AH202" s="53">
        <f>AH198*Btuh_per_W/'Global Inputs'!$D$17+AH199*'Global Inputs'!$D$16/'Global Inputs'!$D$17/'Global Inputs'!$D$17</f>
        <v>56144248.792820781</v>
      </c>
      <c r="AM202" s="1"/>
      <c r="AN202" s="1"/>
      <c r="AO202" s="1"/>
      <c r="AP202" s="1"/>
      <c r="AQ202" s="1"/>
      <c r="AR202" s="1"/>
      <c r="AS202" s="1"/>
      <c r="AT202" s="1"/>
      <c r="AU202" s="1"/>
      <c r="AV202" s="1"/>
      <c r="AW202" s="1"/>
      <c r="AX202" s="1"/>
      <c r="AZ202" s="1"/>
      <c r="BA202" s="1"/>
      <c r="BB202" s="1"/>
      <c r="BC202" s="1"/>
      <c r="BD202" s="1"/>
      <c r="BE202" s="1"/>
      <c r="BF202" s="1"/>
      <c r="BG202" s="1"/>
      <c r="BH202" s="1"/>
      <c r="BI202" s="1"/>
      <c r="BJ202" s="1"/>
      <c r="BK202" s="1"/>
    </row>
    <row r="203" spans="2:135" outlineLevel="1" x14ac:dyDescent="0.25">
      <c r="AH203" s="54"/>
    </row>
    <row r="204" spans="2:135" s="1" customFormat="1" ht="17.25" outlineLevel="1" thickBot="1" x14ac:dyDescent="0.3">
      <c r="B204" s="19" t="s">
        <v>288</v>
      </c>
      <c r="C204" s="19"/>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c r="AB204" s="96"/>
      <c r="AC204" s="96"/>
      <c r="AD204" s="96"/>
      <c r="AE204" s="96"/>
      <c r="AF204" s="96"/>
      <c r="AG204" s="96"/>
      <c r="AH204" s="55"/>
      <c r="AI204" s="19"/>
      <c r="AJ204" s="19"/>
      <c r="AM204" s="19" t="s">
        <v>135</v>
      </c>
      <c r="AN204" s="19"/>
      <c r="AO204" s="19"/>
      <c r="AP204" s="19"/>
      <c r="AQ204" s="19"/>
      <c r="AR204" s="19"/>
      <c r="AS204" s="19"/>
      <c r="AT204" s="19"/>
      <c r="AU204" s="19"/>
      <c r="AV204" s="19"/>
      <c r="AW204" s="19"/>
      <c r="AX204" s="19"/>
      <c r="AZ204" s="19" t="s">
        <v>135</v>
      </c>
      <c r="BA204" s="19"/>
      <c r="BB204" s="19"/>
      <c r="BC204" s="19"/>
      <c r="BD204" s="19"/>
      <c r="BE204" s="19"/>
      <c r="BF204" s="19"/>
      <c r="BG204" s="19"/>
      <c r="BH204" s="19"/>
      <c r="BI204" s="19"/>
      <c r="BJ204" s="19"/>
      <c r="BK204" s="19"/>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row>
    <row r="205" spans="2:135" s="1" customFormat="1" ht="16.5" outlineLevel="1" thickTop="1" thickBot="1" x14ac:dyDescent="0.3">
      <c r="B205" s="20" t="s">
        <v>310</v>
      </c>
      <c r="C205" s="20" t="s">
        <v>13</v>
      </c>
      <c r="D205" s="97" t="s">
        <v>17</v>
      </c>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56" t="s">
        <v>224</v>
      </c>
      <c r="AI205" s="20"/>
      <c r="AJ205" s="20" t="s">
        <v>15</v>
      </c>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row>
    <row r="206" spans="2:135" outlineLevel="1" x14ac:dyDescent="0.25">
      <c r="D206" s="100">
        <f>'Core Loads'!$C$14</f>
        <v>2025</v>
      </c>
      <c r="E206" s="100">
        <f>'Core Loads'!$D$14</f>
        <v>2026</v>
      </c>
      <c r="F206" s="100">
        <f>'Core Loads'!$E$14</f>
        <v>2027</v>
      </c>
      <c r="G206" s="100">
        <f>'Core Loads'!$F$14</f>
        <v>2028</v>
      </c>
      <c r="H206" s="100">
        <f>'Core Loads'!$G$14</f>
        <v>2029</v>
      </c>
      <c r="I206" s="100">
        <f>'Core Loads'!$H$14</f>
        <v>2030</v>
      </c>
      <c r="J206" s="100">
        <f>'Core Loads'!$I$14</f>
        <v>2031</v>
      </c>
      <c r="K206" s="100">
        <f>'Core Loads'!$J$14</f>
        <v>2032</v>
      </c>
      <c r="L206" s="100">
        <f>'Core Loads'!$K$14</f>
        <v>2033</v>
      </c>
      <c r="M206" s="100">
        <f>'Core Loads'!$L$14</f>
        <v>2034</v>
      </c>
      <c r="N206" s="100">
        <f>'Core Loads'!$M$14</f>
        <v>2035</v>
      </c>
      <c r="O206" s="100">
        <f>'Core Loads'!$N$14</f>
        <v>2036</v>
      </c>
      <c r="P206" s="100">
        <f>'Core Loads'!$O$14</f>
        <v>2037</v>
      </c>
      <c r="Q206" s="100">
        <f>'Core Loads'!$P$14</f>
        <v>2038</v>
      </c>
      <c r="R206" s="100">
        <f>'Core Loads'!$Q$14</f>
        <v>2039</v>
      </c>
      <c r="S206" s="100">
        <f>'Core Loads'!$R$14</f>
        <v>2040</v>
      </c>
      <c r="T206" s="100">
        <f>'Core Loads'!$S$14</f>
        <v>2041</v>
      </c>
      <c r="U206" s="100">
        <f>'Core Loads'!$T$14</f>
        <v>2042</v>
      </c>
      <c r="V206" s="100">
        <f>'Core Loads'!$U$14</f>
        <v>2043</v>
      </c>
      <c r="W206" s="100">
        <f>'Core Loads'!$V$14</f>
        <v>2044</v>
      </c>
      <c r="X206" s="100">
        <f>'Core Loads'!$W$14</f>
        <v>2045</v>
      </c>
      <c r="Y206" s="100">
        <f>'Core Loads'!$X$14</f>
        <v>2046</v>
      </c>
      <c r="Z206" s="100">
        <f>'Core Loads'!$Y$14</f>
        <v>2047</v>
      </c>
      <c r="AA206" s="100">
        <f>'Core Loads'!$Z$14</f>
        <v>2048</v>
      </c>
      <c r="AB206" s="100">
        <f>'Core Loads'!$AA$14</f>
        <v>2049</v>
      </c>
      <c r="AC206" s="100">
        <f>'Core Loads'!$AB$14</f>
        <v>2050</v>
      </c>
      <c r="AD206" s="100">
        <f>'Core Loads'!$AC$14</f>
        <v>2051</v>
      </c>
      <c r="AE206" s="100">
        <f>'Core Loads'!$AD$14</f>
        <v>2052</v>
      </c>
      <c r="AF206" s="100">
        <f>'Core Loads'!$AE$14</f>
        <v>2053</v>
      </c>
      <c r="AG206" s="100">
        <f>'Core Loads'!$AF$14</f>
        <v>2054</v>
      </c>
      <c r="AH206" s="8"/>
      <c r="BN206" s="1"/>
    </row>
    <row r="207" spans="2:135" s="1" customFormat="1" outlineLevel="1" x14ac:dyDescent="0.25">
      <c r="B207" t="s">
        <v>141</v>
      </c>
      <c r="C207" t="s">
        <v>109</v>
      </c>
      <c r="D207" s="98">
        <f>D87-'Enhancement Inputs'!D$145</f>
        <v>0</v>
      </c>
      <c r="E207" s="98">
        <f>E87-'Enhancement Inputs'!E$145</f>
        <v>47837563.678282395</v>
      </c>
      <c r="F207" s="98">
        <f>F87-'Enhancement Inputs'!F$145</f>
        <v>168997147.24434036</v>
      </c>
      <c r="G207" s="98">
        <f>G87-'Enhancement Inputs'!G$145</f>
        <v>186004902.54178959</v>
      </c>
      <c r="H207" s="98">
        <f>H87-'Enhancement Inputs'!H$145</f>
        <v>186004902.54178959</v>
      </c>
      <c r="I207" s="98">
        <f>I87-'Enhancement Inputs'!I$145</f>
        <v>192394342.89682317</v>
      </c>
      <c r="J207" s="98">
        <f>J87-'Enhancement Inputs'!J$145</f>
        <v>192394342.89682317</v>
      </c>
      <c r="K207" s="98">
        <f>K87-'Enhancement Inputs'!K$145</f>
        <v>181395211.20034271</v>
      </c>
      <c r="L207" s="98">
        <f>L87-'Enhancement Inputs'!L$145</f>
        <v>181395211.20034271</v>
      </c>
      <c r="M207" s="98">
        <f>M87-'Enhancement Inputs'!M$145</f>
        <v>181654503.7405248</v>
      </c>
      <c r="N207" s="98">
        <f>N87-'Enhancement Inputs'!N$145</f>
        <v>181654503.7405248</v>
      </c>
      <c r="O207" s="98">
        <f>O87-'Enhancement Inputs'!O$145</f>
        <v>180550748.01953286</v>
      </c>
      <c r="P207" s="98">
        <f>P87-'Enhancement Inputs'!P$145</f>
        <v>180550748.01953286</v>
      </c>
      <c r="Q207" s="98">
        <f>Q87-'Enhancement Inputs'!Q$145</f>
        <v>180464890.10379493</v>
      </c>
      <c r="R207" s="98">
        <f>R87-'Enhancement Inputs'!R$145</f>
        <v>180464890.10379493</v>
      </c>
      <c r="S207" s="98">
        <f>S87-'Enhancement Inputs'!S$145</f>
        <v>221514950.29348302</v>
      </c>
      <c r="T207" s="98">
        <f>T87-'Enhancement Inputs'!T$145</f>
        <v>221514950.29348302</v>
      </c>
      <c r="U207" s="98">
        <f>U87-'Enhancement Inputs'!U$145</f>
        <v>221514950.29348302</v>
      </c>
      <c r="V207" s="98">
        <f>V87-'Enhancement Inputs'!V$145</f>
        <v>221514950.29348302</v>
      </c>
      <c r="W207" s="98">
        <f>W87-'Enhancement Inputs'!W$145</f>
        <v>220926206.14733073</v>
      </c>
      <c r="X207" s="98">
        <f>X87-'Enhancement Inputs'!X$145</f>
        <v>220926206.14733073</v>
      </c>
      <c r="Y207" s="98">
        <f>Y87-'Enhancement Inputs'!Y$145</f>
        <v>220926206.14733073</v>
      </c>
      <c r="Z207" s="98">
        <f>Z87-'Enhancement Inputs'!Z$145</f>
        <v>220926206.14733073</v>
      </c>
      <c r="AA207" s="98">
        <f>AA87-'Enhancement Inputs'!AA$145</f>
        <v>220926206.14733073</v>
      </c>
      <c r="AB207" s="98">
        <f>AB87-'Enhancement Inputs'!AB$145</f>
        <v>220926206.14733073</v>
      </c>
      <c r="AC207" s="98">
        <f>AC87-'Enhancement Inputs'!AC$145</f>
        <v>220199433.46492535</v>
      </c>
      <c r="AD207" s="98">
        <f>AD87-'Enhancement Inputs'!AD$145</f>
        <v>220199433.46492535</v>
      </c>
      <c r="AE207" s="98">
        <f>AE87-'Enhancement Inputs'!AE$145</f>
        <v>220199433.46492535</v>
      </c>
      <c r="AF207" s="98">
        <f>AF87-'Enhancement Inputs'!AF$145</f>
        <v>220199433.46492535</v>
      </c>
      <c r="AG207" s="98">
        <f>AG87-'Enhancement Inputs'!AG$145</f>
        <v>220199433.46492535</v>
      </c>
      <c r="AH207" s="53">
        <f>SUM(D207:AG207)</f>
        <v>5734378113.3107824</v>
      </c>
      <c r="AI207"/>
      <c r="AJ207" s="23" t="s">
        <v>317</v>
      </c>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row>
    <row r="208" spans="2:135" s="1" customFormat="1" outlineLevel="1" x14ac:dyDescent="0.25">
      <c r="B208" t="s">
        <v>136</v>
      </c>
      <c r="C208" t="s">
        <v>169</v>
      </c>
      <c r="D208" s="98">
        <f>D88</f>
        <v>31258877.283118241</v>
      </c>
      <c r="E208" s="98">
        <f t="shared" ref="E208:AG208" si="48">E88</f>
        <v>30649221.067447647</v>
      </c>
      <c r="F208" s="98">
        <f t="shared" si="48"/>
        <v>18613368.200255442</v>
      </c>
      <c r="G208" s="98">
        <f t="shared" si="48"/>
        <v>18347752.43999923</v>
      </c>
      <c r="H208" s="98">
        <f t="shared" si="48"/>
        <v>18347752.43999923</v>
      </c>
      <c r="I208" s="98">
        <f t="shared" si="48"/>
        <v>18113313.827005364</v>
      </c>
      <c r="J208" s="98">
        <f t="shared" si="48"/>
        <v>18113313.827005364</v>
      </c>
      <c r="K208" s="98">
        <f t="shared" si="48"/>
        <v>17604058.258664448</v>
      </c>
      <c r="L208" s="98">
        <f t="shared" si="48"/>
        <v>17604058.258664448</v>
      </c>
      <c r="M208" s="98">
        <f t="shared" si="48"/>
        <v>17436721.282063976</v>
      </c>
      <c r="N208" s="98">
        <f t="shared" si="48"/>
        <v>17436721.282063976</v>
      </c>
      <c r="O208" s="98">
        <f t="shared" si="48"/>
        <v>17159265.977142181</v>
      </c>
      <c r="P208" s="98">
        <f t="shared" si="48"/>
        <v>17159265.977142181</v>
      </c>
      <c r="Q208" s="98">
        <f t="shared" si="48"/>
        <v>17088878.844462093</v>
      </c>
      <c r="R208" s="98">
        <f t="shared" si="48"/>
        <v>17088878.844462093</v>
      </c>
      <c r="S208" s="98">
        <f t="shared" si="48"/>
        <v>17874338.002593145</v>
      </c>
      <c r="T208" s="98">
        <f t="shared" si="48"/>
        <v>17874338.002593145</v>
      </c>
      <c r="U208" s="98">
        <f t="shared" si="48"/>
        <v>17840779.92662558</v>
      </c>
      <c r="V208" s="98">
        <f t="shared" si="48"/>
        <v>17840779.92662558</v>
      </c>
      <c r="W208" s="98">
        <f t="shared" si="48"/>
        <v>17807525.131535459</v>
      </c>
      <c r="X208" s="98">
        <f t="shared" si="48"/>
        <v>17807525.131535459</v>
      </c>
      <c r="Y208" s="98">
        <f t="shared" si="48"/>
        <v>17807525.131535459</v>
      </c>
      <c r="Z208" s="98">
        <f t="shared" si="48"/>
        <v>17807525.131535459</v>
      </c>
      <c r="AA208" s="98">
        <f t="shared" si="48"/>
        <v>17807525.131535459</v>
      </c>
      <c r="AB208" s="98">
        <f t="shared" si="48"/>
        <v>17807525.131535459</v>
      </c>
      <c r="AC208" s="98">
        <f t="shared" si="48"/>
        <v>17774189.658897694</v>
      </c>
      <c r="AD208" s="98">
        <f t="shared" si="48"/>
        <v>17774189.658897694</v>
      </c>
      <c r="AE208" s="98">
        <f t="shared" si="48"/>
        <v>17774189.658897694</v>
      </c>
      <c r="AF208" s="98">
        <f t="shared" si="48"/>
        <v>17774189.658897694</v>
      </c>
      <c r="AG208" s="98">
        <f t="shared" si="48"/>
        <v>17774189.658897694</v>
      </c>
      <c r="AH208" s="53">
        <f t="shared" ref="AH208:AH209" si="49">SUM(D208:AG208)</f>
        <v>559167782.75163472</v>
      </c>
      <c r="AI208"/>
      <c r="AJ208" s="23" t="s">
        <v>317</v>
      </c>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row>
    <row r="209" spans="2:135" s="1" customFormat="1" outlineLevel="1" x14ac:dyDescent="0.25">
      <c r="B209" t="s">
        <v>154</v>
      </c>
      <c r="C209" t="s">
        <v>170</v>
      </c>
      <c r="D209" s="98">
        <f>D89</f>
        <v>278436.87957137165</v>
      </c>
      <c r="E209" s="98">
        <f t="shared" ref="E209:AG209" si="50">E89</f>
        <v>263270.76555360644</v>
      </c>
      <c r="F209" s="98">
        <f t="shared" si="50"/>
        <v>229722.39862835626</v>
      </c>
      <c r="G209" s="98">
        <f t="shared" si="50"/>
        <v>249312.68063645501</v>
      </c>
      <c r="H209" s="98">
        <f t="shared" si="50"/>
        <v>249312.68063645501</v>
      </c>
      <c r="I209" s="98">
        <f t="shared" si="50"/>
        <v>269580.38539741182</v>
      </c>
      <c r="J209" s="98">
        <f t="shared" si="50"/>
        <v>269580.38539741182</v>
      </c>
      <c r="K209" s="98">
        <f t="shared" si="50"/>
        <v>260455.06022020319</v>
      </c>
      <c r="L209" s="98">
        <f t="shared" si="50"/>
        <v>260455.06022020319</v>
      </c>
      <c r="M209" s="98">
        <f t="shared" si="50"/>
        <v>262015.96304573605</v>
      </c>
      <c r="N209" s="98">
        <f t="shared" si="50"/>
        <v>262015.96304573605</v>
      </c>
      <c r="O209" s="98">
        <f t="shared" si="50"/>
        <v>258895.12716426712</v>
      </c>
      <c r="P209" s="98">
        <f t="shared" si="50"/>
        <v>258895.12716426712</v>
      </c>
      <c r="Q209" s="98">
        <f t="shared" si="50"/>
        <v>258186.918357205</v>
      </c>
      <c r="R209" s="98">
        <f t="shared" si="50"/>
        <v>258186.918357205</v>
      </c>
      <c r="S209" s="98">
        <f t="shared" si="50"/>
        <v>292697.91370478703</v>
      </c>
      <c r="T209" s="98">
        <f t="shared" si="50"/>
        <v>292697.91370478703</v>
      </c>
      <c r="U209" s="98">
        <f t="shared" si="50"/>
        <v>292485.95395244943</v>
      </c>
      <c r="V209" s="98">
        <f t="shared" si="50"/>
        <v>292485.95395244943</v>
      </c>
      <c r="W209" s="98">
        <f t="shared" si="50"/>
        <v>291756.69440303242</v>
      </c>
      <c r="X209" s="98">
        <f t="shared" si="50"/>
        <v>291756.69440303242</v>
      </c>
      <c r="Y209" s="98">
        <f t="shared" si="50"/>
        <v>291756.69440303242</v>
      </c>
      <c r="Z209" s="98">
        <f t="shared" si="50"/>
        <v>291756.69440303242</v>
      </c>
      <c r="AA209" s="98">
        <f t="shared" si="50"/>
        <v>291756.69440303242</v>
      </c>
      <c r="AB209" s="98">
        <f t="shared" si="50"/>
        <v>291756.69440303242</v>
      </c>
      <c r="AC209" s="98">
        <f t="shared" si="50"/>
        <v>290846.81169120385</v>
      </c>
      <c r="AD209" s="98">
        <f t="shared" si="50"/>
        <v>290846.81169120385</v>
      </c>
      <c r="AE209" s="98">
        <f t="shared" si="50"/>
        <v>290846.81169120385</v>
      </c>
      <c r="AF209" s="98">
        <f t="shared" si="50"/>
        <v>290846.81169120385</v>
      </c>
      <c r="AG209" s="98">
        <f t="shared" si="50"/>
        <v>290846.81169120385</v>
      </c>
      <c r="AH209" s="53">
        <f t="shared" si="49"/>
        <v>8263464.27358458</v>
      </c>
      <c r="AI209"/>
      <c r="AJ209" s="23" t="s">
        <v>317</v>
      </c>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row>
    <row r="210" spans="2:135" s="1" customFormat="1" outlineLevel="1" x14ac:dyDescent="0.25">
      <c r="B210" t="s">
        <v>312</v>
      </c>
      <c r="C210" t="s">
        <v>313</v>
      </c>
      <c r="D210" s="98">
        <f>D207*'Global Inputs'!C$83+Outputs!D208*CO2_emissions_gas_tons_per_therm</f>
        <v>210153.43197440394</v>
      </c>
      <c r="E210" s="98">
        <f>E207*'Global Inputs'!D$83+Outputs!E208*CO2_emissions_gas_tons_per_therm</f>
        <v>206054.71323645054</v>
      </c>
      <c r="F210" s="98">
        <f>F207*'Global Inputs'!E$83+Outputs!F208*CO2_emissions_gas_tons_per_therm</f>
        <v>125137.67441031734</v>
      </c>
      <c r="G210" s="98">
        <f>G207*'Global Inputs'!F$83+Outputs!G208*CO2_emissions_gas_tons_per_therm</f>
        <v>123351.93965411482</v>
      </c>
      <c r="H210" s="98">
        <f>H207*'Global Inputs'!G$83+Outputs!H208*CO2_emissions_gas_tons_per_therm</f>
        <v>123351.93965411482</v>
      </c>
      <c r="I210" s="98">
        <f>I207*'Global Inputs'!H$83+Outputs!I208*CO2_emissions_gas_tons_per_therm</f>
        <v>121775.80885895705</v>
      </c>
      <c r="J210" s="98">
        <f>J207*'Global Inputs'!I$83+Outputs!J208*CO2_emissions_gas_tons_per_therm</f>
        <v>121775.80885895705</v>
      </c>
      <c r="K210" s="98">
        <f>K207*'Global Inputs'!J$83+Outputs!K208*CO2_emissions_gas_tons_per_therm</f>
        <v>118352.08367300108</v>
      </c>
      <c r="L210" s="98">
        <f>L207*'Global Inputs'!K$83+Outputs!L208*CO2_emissions_gas_tons_per_therm</f>
        <v>118352.08367300108</v>
      </c>
      <c r="M210" s="98">
        <f>M207*'Global Inputs'!L$83+Outputs!M208*CO2_emissions_gas_tons_per_therm</f>
        <v>117227.07717931611</v>
      </c>
      <c r="N210" s="98">
        <f>N207*'Global Inputs'!M$83+Outputs!N208*CO2_emissions_gas_tons_per_therm</f>
        <v>117227.07717931611</v>
      </c>
      <c r="O210" s="98">
        <f>O207*'Global Inputs'!N$83+Outputs!O208*CO2_emissions_gas_tons_per_therm</f>
        <v>115361.74516432689</v>
      </c>
      <c r="P210" s="98">
        <f>P207*'Global Inputs'!O$83+Outputs!P208*CO2_emissions_gas_tons_per_therm</f>
        <v>115361.74516432689</v>
      </c>
      <c r="Q210" s="98">
        <f>Q207*'Global Inputs'!P$83+Outputs!Q208*CO2_emissions_gas_tons_per_therm</f>
        <v>114888.53247131864</v>
      </c>
      <c r="R210" s="98">
        <f>R207*'Global Inputs'!Q$83+Outputs!R208*CO2_emissions_gas_tons_per_therm</f>
        <v>114888.53247131864</v>
      </c>
      <c r="S210" s="98">
        <f>S207*'Global Inputs'!R$83+Outputs!S208*CO2_emissions_gas_tons_per_therm</f>
        <v>120169.17439143371</v>
      </c>
      <c r="T210" s="98">
        <f>T207*'Global Inputs'!S$83+Outputs!T208*CO2_emissions_gas_tons_per_therm</f>
        <v>120169.17439143371</v>
      </c>
      <c r="U210" s="98">
        <f>U207*'Global Inputs'!T$83+Outputs!U208*CO2_emissions_gas_tons_per_therm</f>
        <v>119943.56344670377</v>
      </c>
      <c r="V210" s="98">
        <f>V207*'Global Inputs'!U$83+Outputs!V208*CO2_emissions_gas_tons_per_therm</f>
        <v>119943.56344670377</v>
      </c>
      <c r="W210" s="98">
        <f>W207*'Global Inputs'!V$83+Outputs!W208*CO2_emissions_gas_tons_per_therm</f>
        <v>119719.99145931289</v>
      </c>
      <c r="X210" s="98">
        <f>X207*'Global Inputs'!W$83+Outputs!X208*CO2_emissions_gas_tons_per_therm</f>
        <v>119719.99145931289</v>
      </c>
      <c r="Y210" s="98">
        <f>Y207*'Global Inputs'!X$83+Outputs!Y208*CO2_emissions_gas_tons_per_therm</f>
        <v>119719.99145931289</v>
      </c>
      <c r="Z210" s="98">
        <f>Z207*'Global Inputs'!Y$83+Outputs!Z208*CO2_emissions_gas_tons_per_therm</f>
        <v>119719.99145931289</v>
      </c>
      <c r="AA210" s="98">
        <f>AA207*'Global Inputs'!Z$83+Outputs!AA208*CO2_emissions_gas_tons_per_therm</f>
        <v>119719.99145931289</v>
      </c>
      <c r="AB210" s="98">
        <f>AB207*'Global Inputs'!AA$83+Outputs!AB208*CO2_emissions_gas_tons_per_therm</f>
        <v>119719.99145931289</v>
      </c>
      <c r="AC210" s="98">
        <f>AC207*'Global Inputs'!AB$83+Outputs!AC208*CO2_emissions_gas_tons_per_therm</f>
        <v>119495.87707676919</v>
      </c>
      <c r="AD210" s="98">
        <f>AD207*'Global Inputs'!AC$83+Outputs!AD208*CO2_emissions_gas_tons_per_therm</f>
        <v>119495.87707676919</v>
      </c>
      <c r="AE210" s="98">
        <f>AE207*'Global Inputs'!AD$83+Outputs!AE208*CO2_emissions_gas_tons_per_therm</f>
        <v>119495.87707676919</v>
      </c>
      <c r="AF210" s="98">
        <f>AF207*'Global Inputs'!AE$83+Outputs!AF208*CO2_emissions_gas_tons_per_therm</f>
        <v>119495.87707676919</v>
      </c>
      <c r="AG210" s="98">
        <f>AG207*'Global Inputs'!AF$83+Outputs!AG208*CO2_emissions_gas_tons_per_therm</f>
        <v>119495.87707676919</v>
      </c>
      <c r="AH210" s="53">
        <f t="shared" ref="AH210" si="51">SUM(D210:AG210)</f>
        <v>3759285.0034392392</v>
      </c>
      <c r="AI210"/>
      <c r="AJ210" s="23"/>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row>
    <row r="211" spans="2:135" outlineLevel="1" x14ac:dyDescent="0.25">
      <c r="B211" t="s">
        <v>314</v>
      </c>
      <c r="C211" t="s">
        <v>315</v>
      </c>
      <c r="AG211" s="51">
        <f>AG207*Btuh_per_W/'Global Inputs'!$D$17+AG208*'Global Inputs'!$D$16/'Global Inputs'!$D$17/'Global Inputs'!$D$17</f>
        <v>2528739.4328720951</v>
      </c>
      <c r="AH211" s="53">
        <f>AH207*Btuh_per_W/'Global Inputs'!$D$17+AH208*'Global Inputs'!$D$16/'Global Inputs'!$D$17/'Global Inputs'!$D$17</f>
        <v>75482476.397779852</v>
      </c>
    </row>
    <row r="212" spans="2:135" outlineLevel="1" x14ac:dyDescent="0.25">
      <c r="AH212" s="54"/>
      <c r="AM212" s="1"/>
      <c r="AN212" s="1"/>
      <c r="AO212" s="1"/>
      <c r="AP212" s="1"/>
      <c r="AQ212" s="1"/>
      <c r="AR212" s="1"/>
      <c r="AS212" s="1"/>
      <c r="AT212" s="1"/>
      <c r="AU212" s="1"/>
      <c r="AV212" s="1"/>
      <c r="AW212" s="1"/>
      <c r="AX212" s="1"/>
      <c r="AZ212" s="1"/>
      <c r="BA212" s="1"/>
      <c r="BB212" s="1"/>
      <c r="BC212" s="1"/>
      <c r="BD212" s="1"/>
      <c r="BE212" s="1"/>
      <c r="BF212" s="1"/>
      <c r="BG212" s="1"/>
      <c r="BH212" s="1"/>
      <c r="BI212" s="1"/>
      <c r="BJ212" s="1"/>
      <c r="BK212" s="1"/>
    </row>
    <row r="213" spans="2:135" s="1" customFormat="1" ht="17.25" outlineLevel="1" thickBot="1" x14ac:dyDescent="0.3">
      <c r="B213" s="19" t="s">
        <v>300</v>
      </c>
      <c r="C213" s="19"/>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c r="AB213" s="96"/>
      <c r="AC213" s="96"/>
      <c r="AD213" s="96"/>
      <c r="AE213" s="96"/>
      <c r="AF213" s="96"/>
      <c r="AG213" s="96"/>
      <c r="AH213" s="55"/>
      <c r="AI213" s="19"/>
      <c r="AJ213" s="19"/>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row>
    <row r="214" spans="2:135" s="1" customFormat="1" ht="16.5" outlineLevel="1" thickTop="1" thickBot="1" x14ac:dyDescent="0.3">
      <c r="B214" s="20" t="s">
        <v>310</v>
      </c>
      <c r="C214" s="20" t="s">
        <v>13</v>
      </c>
      <c r="D214" s="97" t="s">
        <v>17</v>
      </c>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56" t="s">
        <v>224</v>
      </c>
      <c r="AI214" s="20"/>
      <c r="AJ214" s="20" t="s">
        <v>15</v>
      </c>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row>
    <row r="215" spans="2:135" outlineLevel="1" x14ac:dyDescent="0.25">
      <c r="D215" s="100">
        <f>'Core Loads'!$C$14</f>
        <v>2025</v>
      </c>
      <c r="E215" s="100">
        <f>'Core Loads'!$D$14</f>
        <v>2026</v>
      </c>
      <c r="F215" s="100">
        <f>'Core Loads'!$E$14</f>
        <v>2027</v>
      </c>
      <c r="G215" s="100">
        <f>'Core Loads'!$F$14</f>
        <v>2028</v>
      </c>
      <c r="H215" s="100">
        <f>'Core Loads'!$G$14</f>
        <v>2029</v>
      </c>
      <c r="I215" s="100">
        <f>'Core Loads'!$H$14</f>
        <v>2030</v>
      </c>
      <c r="J215" s="100">
        <f>'Core Loads'!$I$14</f>
        <v>2031</v>
      </c>
      <c r="K215" s="100">
        <f>'Core Loads'!$J$14</f>
        <v>2032</v>
      </c>
      <c r="L215" s="100">
        <f>'Core Loads'!$K$14</f>
        <v>2033</v>
      </c>
      <c r="M215" s="100">
        <f>'Core Loads'!$L$14</f>
        <v>2034</v>
      </c>
      <c r="N215" s="100">
        <f>'Core Loads'!$M$14</f>
        <v>2035</v>
      </c>
      <c r="O215" s="100">
        <f>'Core Loads'!$N$14</f>
        <v>2036</v>
      </c>
      <c r="P215" s="100">
        <f>'Core Loads'!$O$14</f>
        <v>2037</v>
      </c>
      <c r="Q215" s="100">
        <f>'Core Loads'!$P$14</f>
        <v>2038</v>
      </c>
      <c r="R215" s="100">
        <f>'Core Loads'!$Q$14</f>
        <v>2039</v>
      </c>
      <c r="S215" s="100">
        <f>'Core Loads'!$R$14</f>
        <v>2040</v>
      </c>
      <c r="T215" s="100">
        <f>'Core Loads'!$S$14</f>
        <v>2041</v>
      </c>
      <c r="U215" s="100">
        <f>'Core Loads'!$T$14</f>
        <v>2042</v>
      </c>
      <c r="V215" s="100">
        <f>'Core Loads'!$U$14</f>
        <v>2043</v>
      </c>
      <c r="W215" s="100">
        <f>'Core Loads'!$V$14</f>
        <v>2044</v>
      </c>
      <c r="X215" s="100">
        <f>'Core Loads'!$W$14</f>
        <v>2045</v>
      </c>
      <c r="Y215" s="100">
        <f>'Core Loads'!$X$14</f>
        <v>2046</v>
      </c>
      <c r="Z215" s="100">
        <f>'Core Loads'!$Y$14</f>
        <v>2047</v>
      </c>
      <c r="AA215" s="100">
        <f>'Core Loads'!$Z$14</f>
        <v>2048</v>
      </c>
      <c r="AB215" s="100">
        <f>'Core Loads'!$AA$14</f>
        <v>2049</v>
      </c>
      <c r="AC215" s="100">
        <f>'Core Loads'!$AB$14</f>
        <v>2050</v>
      </c>
      <c r="AD215" s="100">
        <f>'Core Loads'!$AC$14</f>
        <v>2051</v>
      </c>
      <c r="AE215" s="100">
        <f>'Core Loads'!$AD$14</f>
        <v>2052</v>
      </c>
      <c r="AF215" s="100">
        <f>'Core Loads'!$AE$14</f>
        <v>2053</v>
      </c>
      <c r="AG215" s="100">
        <f>'Core Loads'!$AF$14</f>
        <v>2054</v>
      </c>
      <c r="AH215" s="8"/>
    </row>
    <row r="216" spans="2:135" s="1" customFormat="1" outlineLevel="1" x14ac:dyDescent="0.25">
      <c r="B216" t="s">
        <v>141</v>
      </c>
      <c r="C216" t="s">
        <v>109</v>
      </c>
      <c r="D216" s="98">
        <f>D96-'Enhancement Inputs'!D$146</f>
        <v>1011886.434656</v>
      </c>
      <c r="E216" s="98">
        <f>E96-'Enhancement Inputs'!E$146</f>
        <v>3877644.969252741</v>
      </c>
      <c r="F216" s="98">
        <f>F96-'Enhancement Inputs'!F$146</f>
        <v>79202580.460640982</v>
      </c>
      <c r="G216" s="98">
        <f>G96-'Enhancement Inputs'!G$146</f>
        <v>155992314.02002826</v>
      </c>
      <c r="H216" s="98">
        <f>H96-'Enhancement Inputs'!H$146</f>
        <v>155992314.02002826</v>
      </c>
      <c r="I216" s="98">
        <f>I96-'Enhancement Inputs'!I$146</f>
        <v>157184785.36225882</v>
      </c>
      <c r="J216" s="98">
        <f>J96-'Enhancement Inputs'!J$146</f>
        <v>157184785.36225882</v>
      </c>
      <c r="K216" s="98">
        <f>K96-'Enhancement Inputs'!K$146</f>
        <v>147426684.6333445</v>
      </c>
      <c r="L216" s="98">
        <f>L96-'Enhancement Inputs'!L$146</f>
        <v>147426684.6333445</v>
      </c>
      <c r="M216" s="98">
        <f>M96-'Enhancement Inputs'!M$146</f>
        <v>147081317.94345322</v>
      </c>
      <c r="N216" s="98">
        <f>N96-'Enhancement Inputs'!N$146</f>
        <v>147081317.94345322</v>
      </c>
      <c r="O216" s="98">
        <f>O96-'Enhancement Inputs'!O$146</f>
        <v>146298589.33860078</v>
      </c>
      <c r="P216" s="98">
        <f>P96-'Enhancement Inputs'!P$146</f>
        <v>146298589.33860078</v>
      </c>
      <c r="Q216" s="98">
        <f>Q96-'Enhancement Inputs'!Q$146</f>
        <v>146271369.27510077</v>
      </c>
      <c r="R216" s="98">
        <f>R96-'Enhancement Inputs'!R$146</f>
        <v>146271369.27510077</v>
      </c>
      <c r="S216" s="98">
        <f>S96-'Enhancement Inputs'!S$146</f>
        <v>181155964.49022081</v>
      </c>
      <c r="T216" s="98">
        <f>T96-'Enhancement Inputs'!T$146</f>
        <v>181155964.49022081</v>
      </c>
      <c r="U216" s="98">
        <f>U96-'Enhancement Inputs'!U$146</f>
        <v>181155964.49022081</v>
      </c>
      <c r="V216" s="98">
        <f>V96-'Enhancement Inputs'!V$146</f>
        <v>181155964.49022081</v>
      </c>
      <c r="W216" s="98">
        <f>W96-'Enhancement Inputs'!W$146</f>
        <v>180685017.73386261</v>
      </c>
      <c r="X216" s="98">
        <f>X96-'Enhancement Inputs'!X$146</f>
        <v>180685017.73386261</v>
      </c>
      <c r="Y216" s="98">
        <f>Y96-'Enhancement Inputs'!Y$146</f>
        <v>180685017.73386261</v>
      </c>
      <c r="Z216" s="98">
        <f>Z96-'Enhancement Inputs'!Z$146</f>
        <v>180685017.73386261</v>
      </c>
      <c r="AA216" s="98">
        <f>AA96-'Enhancement Inputs'!AA$146</f>
        <v>180685017.73386261</v>
      </c>
      <c r="AB216" s="98">
        <f>AB96-'Enhancement Inputs'!AB$146</f>
        <v>180685017.73386261</v>
      </c>
      <c r="AC216" s="98">
        <f>AC96-'Enhancement Inputs'!AC$146</f>
        <v>180116495.53108713</v>
      </c>
      <c r="AD216" s="98">
        <f>AD96-'Enhancement Inputs'!AD$146</f>
        <v>180116495.53108713</v>
      </c>
      <c r="AE216" s="98">
        <f>AE96-'Enhancement Inputs'!AE$146</f>
        <v>180116495.53108713</v>
      </c>
      <c r="AF216" s="98">
        <f>AF96-'Enhancement Inputs'!AF$146</f>
        <v>180116495.53108713</v>
      </c>
      <c r="AG216" s="98">
        <f>AG96-'Enhancement Inputs'!AG$146</f>
        <v>180116495.53108713</v>
      </c>
      <c r="AH216" s="53">
        <f>SUM(D216:AG216)</f>
        <v>4593918675.0296154</v>
      </c>
      <c r="AI216"/>
      <c r="AJ216" s="23" t="s">
        <v>317</v>
      </c>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row>
    <row r="217" spans="2:135" s="1" customFormat="1" outlineLevel="1" x14ac:dyDescent="0.25">
      <c r="B217" t="s">
        <v>136</v>
      </c>
      <c r="C217" t="s">
        <v>169</v>
      </c>
      <c r="D217" s="98">
        <f t="shared" ref="D217:AG217" si="52">D97</f>
        <v>31258877.283118241</v>
      </c>
      <c r="E217" s="98">
        <f t="shared" si="52"/>
        <v>31258877.283118241</v>
      </c>
      <c r="F217" s="98">
        <f t="shared" si="52"/>
        <v>25498951.01223132</v>
      </c>
      <c r="G217" s="98">
        <f t="shared" si="52"/>
        <v>7433987.2109694406</v>
      </c>
      <c r="H217" s="98">
        <f t="shared" si="52"/>
        <v>7433987.2109694406</v>
      </c>
      <c r="I217" s="98">
        <f t="shared" si="52"/>
        <v>7304772.229856465</v>
      </c>
      <c r="J217" s="98">
        <f t="shared" si="52"/>
        <v>7304772.229856465</v>
      </c>
      <c r="K217" s="98">
        <f t="shared" si="52"/>
        <v>7032160.5533929924</v>
      </c>
      <c r="L217" s="98">
        <f t="shared" si="52"/>
        <v>7032160.5533929924</v>
      </c>
      <c r="M217" s="98">
        <f t="shared" si="52"/>
        <v>6942582.7135786889</v>
      </c>
      <c r="N217" s="98">
        <f t="shared" si="52"/>
        <v>6942582.7135786889</v>
      </c>
      <c r="O217" s="98">
        <f t="shared" si="52"/>
        <v>6791488.942600172</v>
      </c>
      <c r="P217" s="98">
        <f t="shared" si="52"/>
        <v>6791488.942600172</v>
      </c>
      <c r="Q217" s="98">
        <f t="shared" si="52"/>
        <v>6752672.3299312955</v>
      </c>
      <c r="R217" s="98">
        <f t="shared" si="52"/>
        <v>6752672.3299312955</v>
      </c>
      <c r="S217" s="98">
        <f t="shared" si="52"/>
        <v>7178624.4580384232</v>
      </c>
      <c r="T217" s="98">
        <f t="shared" si="52"/>
        <v>7178624.4580384232</v>
      </c>
      <c r="U217" s="98">
        <f t="shared" si="52"/>
        <v>7160234.6155085424</v>
      </c>
      <c r="V217" s="98">
        <f t="shared" si="52"/>
        <v>7160234.6155085424</v>
      </c>
      <c r="W217" s="98">
        <f t="shared" si="52"/>
        <v>7142432.8554423703</v>
      </c>
      <c r="X217" s="98">
        <f t="shared" si="52"/>
        <v>7142432.8554423703</v>
      </c>
      <c r="Y217" s="98">
        <f t="shared" si="52"/>
        <v>7142432.8554423703</v>
      </c>
      <c r="Z217" s="98">
        <f t="shared" si="52"/>
        <v>7142432.8554423703</v>
      </c>
      <c r="AA217" s="98">
        <f t="shared" si="52"/>
        <v>7142432.8554423703</v>
      </c>
      <c r="AB217" s="98">
        <f t="shared" si="52"/>
        <v>7142432.8554423703</v>
      </c>
      <c r="AC217" s="98">
        <f t="shared" si="52"/>
        <v>7124587.9075489389</v>
      </c>
      <c r="AD217" s="98">
        <f t="shared" si="52"/>
        <v>7124587.9075489389</v>
      </c>
      <c r="AE217" s="98">
        <f t="shared" si="52"/>
        <v>7124587.9075489389</v>
      </c>
      <c r="AF217" s="98">
        <f t="shared" si="52"/>
        <v>7124587.9075489389</v>
      </c>
      <c r="AG217" s="98">
        <f t="shared" si="52"/>
        <v>7124587.9075489389</v>
      </c>
      <c r="AH217" s="53">
        <f t="shared" ref="AH217:AH218" si="53">SUM(D217:AG217)</f>
        <v>279687288.35661882</v>
      </c>
      <c r="AI217"/>
      <c r="AJ217" s="23" t="s">
        <v>317</v>
      </c>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row>
    <row r="218" spans="2:135" s="1" customFormat="1" outlineLevel="1" x14ac:dyDescent="0.25">
      <c r="B218" t="s">
        <v>154</v>
      </c>
      <c r="C218" t="s">
        <v>170</v>
      </c>
      <c r="D218" s="98">
        <f t="shared" ref="D218:AG218" si="54">D98</f>
        <v>278436.87957137165</v>
      </c>
      <c r="E218" s="98">
        <f t="shared" si="54"/>
        <v>297204.70349500491</v>
      </c>
      <c r="F218" s="98">
        <f t="shared" si="54"/>
        <v>234601.0887444198</v>
      </c>
      <c r="G218" s="98">
        <f t="shared" si="54"/>
        <v>134952.52243551117</v>
      </c>
      <c r="H218" s="98">
        <f t="shared" si="54"/>
        <v>134952.52243551117</v>
      </c>
      <c r="I218" s="98">
        <f t="shared" si="54"/>
        <v>148916.80927474546</v>
      </c>
      <c r="J218" s="98">
        <f t="shared" si="54"/>
        <v>148916.80927474546</v>
      </c>
      <c r="K218" s="98">
        <f t="shared" si="54"/>
        <v>144579.49070036993</v>
      </c>
      <c r="L218" s="98">
        <f t="shared" si="54"/>
        <v>144579.49070036993</v>
      </c>
      <c r="M218" s="98">
        <f t="shared" si="54"/>
        <v>146193.88917096626</v>
      </c>
      <c r="N218" s="98">
        <f t="shared" si="54"/>
        <v>146193.88917096626</v>
      </c>
      <c r="O218" s="98">
        <f t="shared" si="54"/>
        <v>144821.92137333384</v>
      </c>
      <c r="P218" s="98">
        <f t="shared" si="54"/>
        <v>144821.92137333384</v>
      </c>
      <c r="Q218" s="98">
        <f t="shared" si="54"/>
        <v>144483.60155555297</v>
      </c>
      <c r="R218" s="98">
        <f t="shared" si="54"/>
        <v>144483.60155555297</v>
      </c>
      <c r="S218" s="98">
        <f t="shared" si="54"/>
        <v>165316.17341266479</v>
      </c>
      <c r="T218" s="98">
        <f t="shared" si="54"/>
        <v>165316.17341266479</v>
      </c>
      <c r="U218" s="98">
        <f t="shared" si="54"/>
        <v>165249.68529523592</v>
      </c>
      <c r="V218" s="98">
        <f t="shared" si="54"/>
        <v>165249.68529523592</v>
      </c>
      <c r="W218" s="98">
        <f t="shared" si="54"/>
        <v>164877.54257590559</v>
      </c>
      <c r="X218" s="98">
        <f t="shared" si="54"/>
        <v>164877.54257590559</v>
      </c>
      <c r="Y218" s="98">
        <f t="shared" si="54"/>
        <v>164877.54257590559</v>
      </c>
      <c r="Z218" s="98">
        <f t="shared" si="54"/>
        <v>164877.54257590559</v>
      </c>
      <c r="AA218" s="98">
        <f t="shared" si="54"/>
        <v>164877.54257590559</v>
      </c>
      <c r="AB218" s="98">
        <f t="shared" si="54"/>
        <v>164877.54257590559</v>
      </c>
      <c r="AC218" s="98">
        <f t="shared" si="54"/>
        <v>164385.26105735954</v>
      </c>
      <c r="AD218" s="98">
        <f t="shared" si="54"/>
        <v>164385.26105735954</v>
      </c>
      <c r="AE218" s="98">
        <f t="shared" si="54"/>
        <v>164385.26105735954</v>
      </c>
      <c r="AF218" s="98">
        <f t="shared" si="54"/>
        <v>164385.26105735954</v>
      </c>
      <c r="AG218" s="98">
        <f t="shared" si="54"/>
        <v>164385.26105735954</v>
      </c>
      <c r="AH218" s="53">
        <f t="shared" si="53"/>
        <v>5010462.4189897859</v>
      </c>
      <c r="AI218"/>
      <c r="AJ218" s="23" t="s">
        <v>317</v>
      </c>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row>
    <row r="219" spans="2:135" s="1" customFormat="1" outlineLevel="1" x14ac:dyDescent="0.25">
      <c r="B219" t="s">
        <v>312</v>
      </c>
      <c r="C219" t="s">
        <v>313</v>
      </c>
      <c r="D219" s="98">
        <f>D216*'Global Inputs'!C$83+Outputs!D217*CO2_emissions_gas_tons_per_therm</f>
        <v>210153.43197440394</v>
      </c>
      <c r="E219" s="98">
        <f>E216*'Global Inputs'!D$83+Outputs!E217*CO2_emissions_gas_tons_per_therm</f>
        <v>210153.43197440394</v>
      </c>
      <c r="F219" s="98">
        <f>F216*'Global Inputs'!E$83+Outputs!F217*CO2_emissions_gas_tons_per_therm</f>
        <v>171429.44765523117</v>
      </c>
      <c r="G219" s="98">
        <f>G216*'Global Inputs'!F$83+Outputs!G217*CO2_emissions_gas_tons_per_therm</f>
        <v>49978.696019347546</v>
      </c>
      <c r="H219" s="98">
        <f>H216*'Global Inputs'!G$83+Outputs!H217*CO2_emissions_gas_tons_per_therm</f>
        <v>49978.696019347546</v>
      </c>
      <c r="I219" s="98">
        <f>I216*'Global Inputs'!H$83+Outputs!I217*CO2_emissions_gas_tons_per_therm</f>
        <v>49109.983701325014</v>
      </c>
      <c r="J219" s="98">
        <f>J216*'Global Inputs'!I$83+Outputs!J217*CO2_emissions_gas_tons_per_therm</f>
        <v>49109.983701325014</v>
      </c>
      <c r="K219" s="98">
        <f>K216*'Global Inputs'!J$83+Outputs!K217*CO2_emissions_gas_tons_per_therm</f>
        <v>47277.215400461086</v>
      </c>
      <c r="L219" s="98">
        <f>L216*'Global Inputs'!K$83+Outputs!L217*CO2_emissions_gas_tons_per_therm</f>
        <v>47277.215400461086</v>
      </c>
      <c r="M219" s="98">
        <f>M216*'Global Inputs'!L$83+Outputs!M217*CO2_emissions_gas_tons_per_therm</f>
        <v>46674.983583389527</v>
      </c>
      <c r="N219" s="98">
        <f>N216*'Global Inputs'!M$83+Outputs!N217*CO2_emissions_gas_tons_per_therm</f>
        <v>46674.983583389527</v>
      </c>
      <c r="O219" s="98">
        <f>O216*'Global Inputs'!N$83+Outputs!O217*CO2_emissions_gas_tons_per_therm</f>
        <v>45659.180161100958</v>
      </c>
      <c r="P219" s="98">
        <f>P216*'Global Inputs'!O$83+Outputs!P217*CO2_emissions_gas_tons_per_therm</f>
        <v>45659.180161100958</v>
      </c>
      <c r="Q219" s="98">
        <f>Q216*'Global Inputs'!P$83+Outputs!Q217*CO2_emissions_gas_tons_per_therm</f>
        <v>45398.216074128097</v>
      </c>
      <c r="R219" s="98">
        <f>R216*'Global Inputs'!Q$83+Outputs!R217*CO2_emissions_gas_tons_per_therm</f>
        <v>45398.216074128097</v>
      </c>
      <c r="S219" s="98">
        <f>S216*'Global Inputs'!R$83+Outputs!S217*CO2_emissions_gas_tons_per_therm</f>
        <v>48261.892231392318</v>
      </c>
      <c r="T219" s="98">
        <f>T216*'Global Inputs'!S$83+Outputs!T217*CO2_emissions_gas_tons_per_therm</f>
        <v>48261.892231392318</v>
      </c>
      <c r="U219" s="98">
        <f>U216*'Global Inputs'!T$83+Outputs!U217*CO2_emissions_gas_tons_per_therm</f>
        <v>48138.257320063931</v>
      </c>
      <c r="V219" s="98">
        <f>V216*'Global Inputs'!U$83+Outputs!V217*CO2_emissions_gas_tons_per_therm</f>
        <v>48138.257320063931</v>
      </c>
      <c r="W219" s="98">
        <f>W216*'Global Inputs'!V$83+Outputs!W217*CO2_emissions_gas_tons_per_therm</f>
        <v>48018.576087139052</v>
      </c>
      <c r="X219" s="98">
        <f>X216*'Global Inputs'!W$83+Outputs!X217*CO2_emissions_gas_tons_per_therm</f>
        <v>48018.576087139052</v>
      </c>
      <c r="Y219" s="98">
        <f>Y216*'Global Inputs'!X$83+Outputs!Y217*CO2_emissions_gas_tons_per_therm</f>
        <v>48018.576087139052</v>
      </c>
      <c r="Z219" s="98">
        <f>Z216*'Global Inputs'!Y$83+Outputs!Z217*CO2_emissions_gas_tons_per_therm</f>
        <v>48018.576087139052</v>
      </c>
      <c r="AA219" s="98">
        <f>AA216*'Global Inputs'!Z$83+Outputs!AA217*CO2_emissions_gas_tons_per_therm</f>
        <v>48018.576087139052</v>
      </c>
      <c r="AB219" s="98">
        <f>AB216*'Global Inputs'!AA$83+Outputs!AB217*CO2_emissions_gas_tons_per_therm</f>
        <v>48018.576087139052</v>
      </c>
      <c r="AC219" s="98">
        <f>AC216*'Global Inputs'!AB$83+Outputs!AC217*CO2_emissions_gas_tons_per_therm</f>
        <v>47898.604502451512</v>
      </c>
      <c r="AD219" s="98">
        <f>AD216*'Global Inputs'!AC$83+Outputs!AD217*CO2_emissions_gas_tons_per_therm</f>
        <v>47898.604502451512</v>
      </c>
      <c r="AE219" s="98">
        <f>AE216*'Global Inputs'!AD$83+Outputs!AE217*CO2_emissions_gas_tons_per_therm</f>
        <v>47898.604502451512</v>
      </c>
      <c r="AF219" s="98">
        <f>AF216*'Global Inputs'!AE$83+Outputs!AF217*CO2_emissions_gas_tons_per_therm</f>
        <v>47898.604502451512</v>
      </c>
      <c r="AG219" s="98">
        <f>AG216*'Global Inputs'!AF$83+Outputs!AG217*CO2_emissions_gas_tons_per_therm</f>
        <v>47898.604502451512</v>
      </c>
      <c r="AH219" s="53">
        <f t="shared" ref="AH219" si="55">SUM(D219:AG219)</f>
        <v>1880337.6396215484</v>
      </c>
      <c r="AI219"/>
      <c r="AJ219" s="23"/>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row>
    <row r="220" spans="2:135" outlineLevel="1" x14ac:dyDescent="0.25">
      <c r="B220" t="s">
        <v>314</v>
      </c>
      <c r="C220" t="s">
        <v>315</v>
      </c>
      <c r="AG220" s="51">
        <f>AG216*Btuh_per_W/'Global Inputs'!$D$17+AG217*'Global Inputs'!$D$16/'Global Inputs'!$D$17/'Global Inputs'!$D$17</f>
        <v>1327016.2735069632</v>
      </c>
      <c r="AH220" s="53">
        <f>AH216*Btuh_per_W/'Global Inputs'!$D$17+AH217*'Global Inputs'!$D$16/'Global Inputs'!$D$17/'Global Inputs'!$D$17</f>
        <v>43643179.354862928</v>
      </c>
    </row>
    <row r="221" spans="2:135" outlineLevel="1" x14ac:dyDescent="0.25">
      <c r="AH221" s="54"/>
    </row>
    <row r="222" spans="2:135" s="1" customFormat="1" ht="17.25" outlineLevel="1" thickBot="1" x14ac:dyDescent="0.3">
      <c r="B222" s="19" t="s">
        <v>301</v>
      </c>
      <c r="C222" s="19"/>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c r="AB222" s="96"/>
      <c r="AC222" s="96"/>
      <c r="AD222" s="96"/>
      <c r="AE222" s="96"/>
      <c r="AF222" s="96"/>
      <c r="AG222" s="96"/>
      <c r="AH222" s="55"/>
      <c r="AI222" s="19"/>
      <c r="AJ222" s="19"/>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row>
    <row r="223" spans="2:135" s="1" customFormat="1" ht="16.5" outlineLevel="1" thickTop="1" thickBot="1" x14ac:dyDescent="0.3">
      <c r="B223" s="20" t="s">
        <v>310</v>
      </c>
      <c r="C223" s="20" t="s">
        <v>13</v>
      </c>
      <c r="D223" s="97" t="s">
        <v>17</v>
      </c>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56" t="s">
        <v>224</v>
      </c>
      <c r="AI223" s="20"/>
      <c r="AJ223" s="20" t="s">
        <v>15</v>
      </c>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row>
    <row r="224" spans="2:135" outlineLevel="1" x14ac:dyDescent="0.25">
      <c r="D224" s="100">
        <f>'Core Loads'!$C$14</f>
        <v>2025</v>
      </c>
      <c r="E224" s="100">
        <f>'Core Loads'!$D$14</f>
        <v>2026</v>
      </c>
      <c r="F224" s="100">
        <f>'Core Loads'!$E$14</f>
        <v>2027</v>
      </c>
      <c r="G224" s="100">
        <f>'Core Loads'!$F$14</f>
        <v>2028</v>
      </c>
      <c r="H224" s="100">
        <f>'Core Loads'!$G$14</f>
        <v>2029</v>
      </c>
      <c r="I224" s="100">
        <f>'Core Loads'!$H$14</f>
        <v>2030</v>
      </c>
      <c r="J224" s="100">
        <f>'Core Loads'!$I$14</f>
        <v>2031</v>
      </c>
      <c r="K224" s="100">
        <f>'Core Loads'!$J$14</f>
        <v>2032</v>
      </c>
      <c r="L224" s="100">
        <f>'Core Loads'!$K$14</f>
        <v>2033</v>
      </c>
      <c r="M224" s="100">
        <f>'Core Loads'!$L$14</f>
        <v>2034</v>
      </c>
      <c r="N224" s="100">
        <f>'Core Loads'!$M$14</f>
        <v>2035</v>
      </c>
      <c r="O224" s="100">
        <f>'Core Loads'!$N$14</f>
        <v>2036</v>
      </c>
      <c r="P224" s="100">
        <f>'Core Loads'!$O$14</f>
        <v>2037</v>
      </c>
      <c r="Q224" s="100">
        <f>'Core Loads'!$P$14</f>
        <v>2038</v>
      </c>
      <c r="R224" s="100">
        <f>'Core Loads'!$Q$14</f>
        <v>2039</v>
      </c>
      <c r="S224" s="100">
        <f>'Core Loads'!$R$14</f>
        <v>2040</v>
      </c>
      <c r="T224" s="100">
        <f>'Core Loads'!$S$14</f>
        <v>2041</v>
      </c>
      <c r="U224" s="100">
        <f>'Core Loads'!$T$14</f>
        <v>2042</v>
      </c>
      <c r="V224" s="100">
        <f>'Core Loads'!$U$14</f>
        <v>2043</v>
      </c>
      <c r="W224" s="100">
        <f>'Core Loads'!$V$14</f>
        <v>2044</v>
      </c>
      <c r="X224" s="100">
        <f>'Core Loads'!$W$14</f>
        <v>2045</v>
      </c>
      <c r="Y224" s="100">
        <f>'Core Loads'!$X$14</f>
        <v>2046</v>
      </c>
      <c r="Z224" s="100">
        <f>'Core Loads'!$Y$14</f>
        <v>2047</v>
      </c>
      <c r="AA224" s="100">
        <f>'Core Loads'!$Z$14</f>
        <v>2048</v>
      </c>
      <c r="AB224" s="100">
        <f>'Core Loads'!$AA$14</f>
        <v>2049</v>
      </c>
      <c r="AC224" s="100">
        <f>'Core Loads'!$AB$14</f>
        <v>2050</v>
      </c>
      <c r="AD224" s="100">
        <f>'Core Loads'!$AC$14</f>
        <v>2051</v>
      </c>
      <c r="AE224" s="100">
        <f>'Core Loads'!$AD$14</f>
        <v>2052</v>
      </c>
      <c r="AF224" s="100">
        <f>'Core Loads'!$AE$14</f>
        <v>2053</v>
      </c>
      <c r="AG224" s="100">
        <f>'Core Loads'!$AF$14</f>
        <v>2054</v>
      </c>
      <c r="AH224" s="8"/>
    </row>
    <row r="225" spans="2:135" s="1" customFormat="1" outlineLevel="1" x14ac:dyDescent="0.25">
      <c r="B225" t="s">
        <v>141</v>
      </c>
      <c r="C225" t="s">
        <v>109</v>
      </c>
      <c r="D225" s="98">
        <f>D105-'Enhancement Inputs'!D$147</f>
        <v>1011886.434656</v>
      </c>
      <c r="E225" s="98">
        <f>E105-'Enhancement Inputs'!E$147</f>
        <v>3877644.969252741</v>
      </c>
      <c r="F225" s="98">
        <f>F105-'Enhancement Inputs'!F$147</f>
        <v>145235755.52535781</v>
      </c>
      <c r="G225" s="98">
        <f>G105-'Enhancement Inputs'!G$147</f>
        <v>352865229.80409026</v>
      </c>
      <c r="H225" s="98">
        <f>H105-'Enhancement Inputs'!H$147</f>
        <v>352865229.80409026</v>
      </c>
      <c r="I225" s="98">
        <f>I105-'Enhancement Inputs'!I$147</f>
        <v>350530524.14324093</v>
      </c>
      <c r="J225" s="98">
        <f>J105-'Enhancement Inputs'!J$147</f>
        <v>350530524.14324093</v>
      </c>
      <c r="K225" s="98">
        <f>K105-'Enhancement Inputs'!K$147</f>
        <v>333626369.80401313</v>
      </c>
      <c r="L225" s="98">
        <f>L105-'Enhancement Inputs'!L$147</f>
        <v>333626369.80401313</v>
      </c>
      <c r="M225" s="98">
        <f>M105-'Enhancement Inputs'!M$147</f>
        <v>330851127.08902746</v>
      </c>
      <c r="N225" s="98">
        <f>N105-'Enhancement Inputs'!N$147</f>
        <v>330851127.08902746</v>
      </c>
      <c r="O225" s="98">
        <f>O105-'Enhancement Inputs'!O$147</f>
        <v>325993668.99065566</v>
      </c>
      <c r="P225" s="98">
        <f>P105-'Enhancement Inputs'!P$147</f>
        <v>325993668.99065566</v>
      </c>
      <c r="Q225" s="98">
        <f>Q105-'Enhancement Inputs'!Q$147</f>
        <v>324918032.97917044</v>
      </c>
      <c r="R225" s="98">
        <f>R105-'Enhancement Inputs'!R$147</f>
        <v>324918032.97917044</v>
      </c>
      <c r="S225" s="98">
        <f>S105-'Enhancement Inputs'!S$147</f>
        <v>370368508.6458528</v>
      </c>
      <c r="T225" s="98">
        <f>T105-'Enhancement Inputs'!T$147</f>
        <v>370368508.6458528</v>
      </c>
      <c r="U225" s="98">
        <f>U105-'Enhancement Inputs'!U$147</f>
        <v>369870643.11415946</v>
      </c>
      <c r="V225" s="98">
        <f>V105-'Enhancement Inputs'!V$147</f>
        <v>369870643.11415946</v>
      </c>
      <c r="W225" s="98">
        <f>W105-'Enhancement Inputs'!W$147</f>
        <v>368928302.92435688</v>
      </c>
      <c r="X225" s="98">
        <f>X105-'Enhancement Inputs'!X$147</f>
        <v>368928302.92435688</v>
      </c>
      <c r="Y225" s="98">
        <f>Y105-'Enhancement Inputs'!Y$147</f>
        <v>368928302.92435688</v>
      </c>
      <c r="Z225" s="98">
        <f>Z105-'Enhancement Inputs'!Z$147</f>
        <v>368928302.92435688</v>
      </c>
      <c r="AA225" s="98">
        <f>AA105-'Enhancement Inputs'!AA$147</f>
        <v>368928302.92435688</v>
      </c>
      <c r="AB225" s="98">
        <f>AB105-'Enhancement Inputs'!AB$147</f>
        <v>368928302.92435688</v>
      </c>
      <c r="AC225" s="98">
        <f>AC105-'Enhancement Inputs'!AC$147</f>
        <v>367889998.89360023</v>
      </c>
      <c r="AD225" s="98">
        <f>AD105-'Enhancement Inputs'!AD$147</f>
        <v>367889998.89360023</v>
      </c>
      <c r="AE225" s="98">
        <f>AE105-'Enhancement Inputs'!AE$147</f>
        <v>367889998.89360023</v>
      </c>
      <c r="AF225" s="98">
        <f>AF105-'Enhancement Inputs'!AF$147</f>
        <v>367889998.89360023</v>
      </c>
      <c r="AG225" s="98">
        <f>AG105-'Enhancement Inputs'!AG$147</f>
        <v>367889998.89360023</v>
      </c>
      <c r="AH225" s="53">
        <f>SUM(D225:AG225)</f>
        <v>9721193308.083828</v>
      </c>
      <c r="AI225"/>
      <c r="AJ225" s="23" t="s">
        <v>317</v>
      </c>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row>
    <row r="226" spans="2:135" s="1" customFormat="1" outlineLevel="1" x14ac:dyDescent="0.25">
      <c r="B226" t="s">
        <v>136</v>
      </c>
      <c r="C226" t="s">
        <v>169</v>
      </c>
      <c r="D226" s="98">
        <f t="shared" ref="D226:AG226" si="56">D106</f>
        <v>31258877.283118241</v>
      </c>
      <c r="E226" s="98">
        <f t="shared" si="56"/>
        <v>31258877.283118241</v>
      </c>
      <c r="F226" s="98">
        <f t="shared" si="56"/>
        <v>22981692.329201803</v>
      </c>
      <c r="G226" s="98">
        <f t="shared" si="56"/>
        <v>0</v>
      </c>
      <c r="H226" s="98">
        <f t="shared" si="56"/>
        <v>0</v>
      </c>
      <c r="I226" s="98">
        <f t="shared" si="56"/>
        <v>0</v>
      </c>
      <c r="J226" s="98">
        <f t="shared" si="56"/>
        <v>0</v>
      </c>
      <c r="K226" s="98">
        <f t="shared" si="56"/>
        <v>0</v>
      </c>
      <c r="L226" s="98">
        <f t="shared" si="56"/>
        <v>0</v>
      </c>
      <c r="M226" s="98">
        <f t="shared" si="56"/>
        <v>0</v>
      </c>
      <c r="N226" s="98">
        <f t="shared" si="56"/>
        <v>0</v>
      </c>
      <c r="O226" s="98">
        <f t="shared" si="56"/>
        <v>0</v>
      </c>
      <c r="P226" s="98">
        <f t="shared" si="56"/>
        <v>0</v>
      </c>
      <c r="Q226" s="98">
        <f t="shared" si="56"/>
        <v>0</v>
      </c>
      <c r="R226" s="98">
        <f t="shared" si="56"/>
        <v>0</v>
      </c>
      <c r="S226" s="98">
        <f t="shared" si="56"/>
        <v>0</v>
      </c>
      <c r="T226" s="98">
        <f t="shared" si="56"/>
        <v>0</v>
      </c>
      <c r="U226" s="98">
        <f t="shared" si="56"/>
        <v>0</v>
      </c>
      <c r="V226" s="98">
        <f t="shared" si="56"/>
        <v>0</v>
      </c>
      <c r="W226" s="98">
        <f t="shared" si="56"/>
        <v>0</v>
      </c>
      <c r="X226" s="98">
        <f t="shared" si="56"/>
        <v>0</v>
      </c>
      <c r="Y226" s="98">
        <f t="shared" si="56"/>
        <v>0</v>
      </c>
      <c r="Z226" s="98">
        <f t="shared" si="56"/>
        <v>0</v>
      </c>
      <c r="AA226" s="98">
        <f t="shared" si="56"/>
        <v>0</v>
      </c>
      <c r="AB226" s="98">
        <f t="shared" si="56"/>
        <v>0</v>
      </c>
      <c r="AC226" s="98">
        <f t="shared" si="56"/>
        <v>0</v>
      </c>
      <c r="AD226" s="98">
        <f t="shared" si="56"/>
        <v>0</v>
      </c>
      <c r="AE226" s="98">
        <f t="shared" si="56"/>
        <v>0</v>
      </c>
      <c r="AF226" s="98">
        <f t="shared" si="56"/>
        <v>0</v>
      </c>
      <c r="AG226" s="98">
        <f t="shared" si="56"/>
        <v>0</v>
      </c>
      <c r="AH226" s="53">
        <f t="shared" ref="AH226:AH227" si="57">SUM(D226:AG226)</f>
        <v>85499446.895438284</v>
      </c>
      <c r="AI226"/>
      <c r="AJ226" s="23" t="s">
        <v>317</v>
      </c>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row>
    <row r="227" spans="2:135" s="1" customFormat="1" outlineLevel="1" x14ac:dyDescent="0.25">
      <c r="B227" t="s">
        <v>154</v>
      </c>
      <c r="C227" t="s">
        <v>170</v>
      </c>
      <c r="D227" s="98">
        <f t="shared" ref="D227:AG227" si="58">D107</f>
        <v>278436.87957137165</v>
      </c>
      <c r="E227" s="98">
        <f t="shared" si="58"/>
        <v>297204.70349500491</v>
      </c>
      <c r="F227" s="98">
        <f t="shared" si="58"/>
        <v>234601.0887444198</v>
      </c>
      <c r="G227" s="98">
        <f t="shared" si="58"/>
        <v>134952.52243551117</v>
      </c>
      <c r="H227" s="98">
        <f t="shared" si="58"/>
        <v>134952.52243551117</v>
      </c>
      <c r="I227" s="98">
        <f t="shared" si="58"/>
        <v>148916.80927474546</v>
      </c>
      <c r="J227" s="98">
        <f t="shared" si="58"/>
        <v>148916.80927474546</v>
      </c>
      <c r="K227" s="98">
        <f t="shared" si="58"/>
        <v>144579.49070036993</v>
      </c>
      <c r="L227" s="98">
        <f t="shared" si="58"/>
        <v>144579.49070036993</v>
      </c>
      <c r="M227" s="98">
        <f t="shared" si="58"/>
        <v>146193.88917096626</v>
      </c>
      <c r="N227" s="98">
        <f t="shared" si="58"/>
        <v>146193.88917096626</v>
      </c>
      <c r="O227" s="98">
        <f t="shared" si="58"/>
        <v>144821.92137333384</v>
      </c>
      <c r="P227" s="98">
        <f t="shared" si="58"/>
        <v>144821.92137333384</v>
      </c>
      <c r="Q227" s="98">
        <f t="shared" si="58"/>
        <v>144483.60155555297</v>
      </c>
      <c r="R227" s="98">
        <f t="shared" si="58"/>
        <v>144483.60155555297</v>
      </c>
      <c r="S227" s="98">
        <f t="shared" si="58"/>
        <v>165316.17341266479</v>
      </c>
      <c r="T227" s="98">
        <f t="shared" si="58"/>
        <v>165316.17341266479</v>
      </c>
      <c r="U227" s="98">
        <f t="shared" si="58"/>
        <v>165249.68529523592</v>
      </c>
      <c r="V227" s="98">
        <f t="shared" si="58"/>
        <v>165249.68529523592</v>
      </c>
      <c r="W227" s="98">
        <f t="shared" si="58"/>
        <v>164877.54257590559</v>
      </c>
      <c r="X227" s="98">
        <f t="shared" si="58"/>
        <v>164877.54257590559</v>
      </c>
      <c r="Y227" s="98">
        <f t="shared" si="58"/>
        <v>164877.54257590559</v>
      </c>
      <c r="Z227" s="98">
        <f t="shared" si="58"/>
        <v>164877.54257590559</v>
      </c>
      <c r="AA227" s="98">
        <f t="shared" si="58"/>
        <v>164877.54257590559</v>
      </c>
      <c r="AB227" s="98">
        <f t="shared" si="58"/>
        <v>164877.54257590559</v>
      </c>
      <c r="AC227" s="98">
        <f t="shared" si="58"/>
        <v>164385.26105735954</v>
      </c>
      <c r="AD227" s="98">
        <f t="shared" si="58"/>
        <v>164385.26105735954</v>
      </c>
      <c r="AE227" s="98">
        <f t="shared" si="58"/>
        <v>164385.26105735954</v>
      </c>
      <c r="AF227" s="98">
        <f t="shared" si="58"/>
        <v>164385.26105735954</v>
      </c>
      <c r="AG227" s="98">
        <f t="shared" si="58"/>
        <v>164385.26105735954</v>
      </c>
      <c r="AH227" s="53">
        <f t="shared" si="57"/>
        <v>5010462.4189897859</v>
      </c>
      <c r="AI227"/>
      <c r="AJ227" s="23" t="s">
        <v>317</v>
      </c>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row>
    <row r="228" spans="2:135" s="1" customFormat="1" outlineLevel="1" x14ac:dyDescent="0.25">
      <c r="B228" t="s">
        <v>312</v>
      </c>
      <c r="C228" t="s">
        <v>313</v>
      </c>
      <c r="D228" s="98">
        <f>D225*'Global Inputs'!C$83+Outputs!D226*CO2_emissions_gas_tons_per_therm</f>
        <v>210153.43197440394</v>
      </c>
      <c r="E228" s="98">
        <f>E225*'Global Inputs'!D$83+Outputs!E226*CO2_emissions_gas_tons_per_therm</f>
        <v>210153.43197440394</v>
      </c>
      <c r="F228" s="98">
        <f>F225*'Global Inputs'!E$83+Outputs!F226*CO2_emissions_gas_tons_per_therm</f>
        <v>154505.91752922372</v>
      </c>
      <c r="G228" s="98">
        <f>G225*'Global Inputs'!F$83+Outputs!G226*CO2_emissions_gas_tons_per_therm</f>
        <v>0</v>
      </c>
      <c r="H228" s="98">
        <f>H225*'Global Inputs'!G$83+Outputs!H226*CO2_emissions_gas_tons_per_therm</f>
        <v>0</v>
      </c>
      <c r="I228" s="98">
        <f>I225*'Global Inputs'!H$83+Outputs!I226*CO2_emissions_gas_tons_per_therm</f>
        <v>0</v>
      </c>
      <c r="J228" s="98">
        <f>J225*'Global Inputs'!I$83+Outputs!J226*CO2_emissions_gas_tons_per_therm</f>
        <v>0</v>
      </c>
      <c r="K228" s="98">
        <f>K225*'Global Inputs'!J$83+Outputs!K226*CO2_emissions_gas_tons_per_therm</f>
        <v>0</v>
      </c>
      <c r="L228" s="98">
        <f>L225*'Global Inputs'!K$83+Outputs!L226*CO2_emissions_gas_tons_per_therm</f>
        <v>0</v>
      </c>
      <c r="M228" s="98">
        <f>M225*'Global Inputs'!L$83+Outputs!M226*CO2_emissions_gas_tons_per_therm</f>
        <v>0</v>
      </c>
      <c r="N228" s="98">
        <f>N225*'Global Inputs'!M$83+Outputs!N226*CO2_emissions_gas_tons_per_therm</f>
        <v>0</v>
      </c>
      <c r="O228" s="98">
        <f>O225*'Global Inputs'!N$83+Outputs!O226*CO2_emissions_gas_tons_per_therm</f>
        <v>0</v>
      </c>
      <c r="P228" s="98">
        <f>P225*'Global Inputs'!O$83+Outputs!P226*CO2_emissions_gas_tons_per_therm</f>
        <v>0</v>
      </c>
      <c r="Q228" s="98">
        <f>Q225*'Global Inputs'!P$83+Outputs!Q226*CO2_emissions_gas_tons_per_therm</f>
        <v>0</v>
      </c>
      <c r="R228" s="98">
        <f>R225*'Global Inputs'!Q$83+Outputs!R226*CO2_emissions_gas_tons_per_therm</f>
        <v>0</v>
      </c>
      <c r="S228" s="98">
        <f>S225*'Global Inputs'!R$83+Outputs!S226*CO2_emissions_gas_tons_per_therm</f>
        <v>0</v>
      </c>
      <c r="T228" s="98">
        <f>T225*'Global Inputs'!S$83+Outputs!T226*CO2_emissions_gas_tons_per_therm</f>
        <v>0</v>
      </c>
      <c r="U228" s="98">
        <f>U225*'Global Inputs'!T$83+Outputs!U226*CO2_emissions_gas_tons_per_therm</f>
        <v>0</v>
      </c>
      <c r="V228" s="98">
        <f>V225*'Global Inputs'!U$83+Outputs!V226*CO2_emissions_gas_tons_per_therm</f>
        <v>0</v>
      </c>
      <c r="W228" s="98">
        <f>W225*'Global Inputs'!V$83+Outputs!W226*CO2_emissions_gas_tons_per_therm</f>
        <v>0</v>
      </c>
      <c r="X228" s="98">
        <f>X225*'Global Inputs'!W$83+Outputs!X226*CO2_emissions_gas_tons_per_therm</f>
        <v>0</v>
      </c>
      <c r="Y228" s="98">
        <f>Y225*'Global Inputs'!X$83+Outputs!Y226*CO2_emissions_gas_tons_per_therm</f>
        <v>0</v>
      </c>
      <c r="Z228" s="98">
        <f>Z225*'Global Inputs'!Y$83+Outputs!Z226*CO2_emissions_gas_tons_per_therm</f>
        <v>0</v>
      </c>
      <c r="AA228" s="98">
        <f>AA225*'Global Inputs'!Z$83+Outputs!AA226*CO2_emissions_gas_tons_per_therm</f>
        <v>0</v>
      </c>
      <c r="AB228" s="98">
        <f>AB225*'Global Inputs'!AA$83+Outputs!AB226*CO2_emissions_gas_tons_per_therm</f>
        <v>0</v>
      </c>
      <c r="AC228" s="98">
        <f>AC225*'Global Inputs'!AB$83+Outputs!AC226*CO2_emissions_gas_tons_per_therm</f>
        <v>0</v>
      </c>
      <c r="AD228" s="98">
        <f>AD225*'Global Inputs'!AC$83+Outputs!AD226*CO2_emissions_gas_tons_per_therm</f>
        <v>0</v>
      </c>
      <c r="AE228" s="98">
        <f>AE225*'Global Inputs'!AD$83+Outputs!AE226*CO2_emissions_gas_tons_per_therm</f>
        <v>0</v>
      </c>
      <c r="AF228" s="98">
        <f>AF225*'Global Inputs'!AE$83+Outputs!AF226*CO2_emissions_gas_tons_per_therm</f>
        <v>0</v>
      </c>
      <c r="AG228" s="98">
        <f>AG225*'Global Inputs'!AF$83+Outputs!AG226*CO2_emissions_gas_tons_per_therm</f>
        <v>0</v>
      </c>
      <c r="AH228" s="53">
        <f t="shared" ref="AH228" si="59">SUM(D228:AG228)</f>
        <v>574812.78147803154</v>
      </c>
      <c r="AI228"/>
      <c r="AJ228" s="23"/>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row>
    <row r="229" spans="2:135" outlineLevel="1" x14ac:dyDescent="0.25">
      <c r="B229" t="s">
        <v>314</v>
      </c>
      <c r="C229" t="s">
        <v>315</v>
      </c>
      <c r="AG229" s="51">
        <f>AG225*Btuh_per_W/'Global Inputs'!$D$17+AG226*'Global Inputs'!$D$16/'Global Inputs'!$D$17/'Global Inputs'!$D$17</f>
        <v>1255240.676224964</v>
      </c>
      <c r="AH229" s="53">
        <f>AH225*Btuh_per_W/'Global Inputs'!$D$17+AH226*'Global Inputs'!$D$16/'Global Inputs'!$D$17/'Global Inputs'!$D$17</f>
        <v>41718656.256725848</v>
      </c>
    </row>
    <row r="230" spans="2:135" outlineLevel="1" x14ac:dyDescent="0.25">
      <c r="AH230" s="54"/>
    </row>
    <row r="231" spans="2:135" s="1" customFormat="1" ht="17.25" outlineLevel="1" thickBot="1" x14ac:dyDescent="0.3">
      <c r="B231" s="19" t="s">
        <v>302</v>
      </c>
      <c r="C231" s="19"/>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c r="AF231" s="96"/>
      <c r="AG231" s="96"/>
      <c r="AH231" s="55"/>
      <c r="AI231" s="19"/>
      <c r="AJ231" s="19"/>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row>
    <row r="232" spans="2:135" s="1" customFormat="1" ht="16.5" outlineLevel="1" thickTop="1" thickBot="1" x14ac:dyDescent="0.3">
      <c r="B232" s="20" t="s">
        <v>310</v>
      </c>
      <c r="C232" s="20" t="s">
        <v>13</v>
      </c>
      <c r="D232" s="97" t="s">
        <v>17</v>
      </c>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56" t="s">
        <v>224</v>
      </c>
      <c r="AI232" s="20"/>
      <c r="AJ232" s="20" t="s">
        <v>15</v>
      </c>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row>
    <row r="233" spans="2:135" outlineLevel="1" x14ac:dyDescent="0.25">
      <c r="D233" s="100">
        <f>'Core Loads'!$C$14</f>
        <v>2025</v>
      </c>
      <c r="E233" s="100">
        <f>'Core Loads'!$D$14</f>
        <v>2026</v>
      </c>
      <c r="F233" s="100">
        <f>'Core Loads'!$E$14</f>
        <v>2027</v>
      </c>
      <c r="G233" s="100">
        <f>'Core Loads'!$F$14</f>
        <v>2028</v>
      </c>
      <c r="H233" s="100">
        <f>'Core Loads'!$G$14</f>
        <v>2029</v>
      </c>
      <c r="I233" s="100">
        <f>'Core Loads'!$H$14</f>
        <v>2030</v>
      </c>
      <c r="J233" s="100">
        <f>'Core Loads'!$I$14</f>
        <v>2031</v>
      </c>
      <c r="K233" s="100">
        <f>'Core Loads'!$J$14</f>
        <v>2032</v>
      </c>
      <c r="L233" s="100">
        <f>'Core Loads'!$K$14</f>
        <v>2033</v>
      </c>
      <c r="M233" s="100">
        <f>'Core Loads'!$L$14</f>
        <v>2034</v>
      </c>
      <c r="N233" s="100">
        <f>'Core Loads'!$M$14</f>
        <v>2035</v>
      </c>
      <c r="O233" s="100">
        <f>'Core Loads'!$N$14</f>
        <v>2036</v>
      </c>
      <c r="P233" s="100">
        <f>'Core Loads'!$O$14</f>
        <v>2037</v>
      </c>
      <c r="Q233" s="100">
        <f>'Core Loads'!$P$14</f>
        <v>2038</v>
      </c>
      <c r="R233" s="100">
        <f>'Core Loads'!$Q$14</f>
        <v>2039</v>
      </c>
      <c r="S233" s="100">
        <f>'Core Loads'!$R$14</f>
        <v>2040</v>
      </c>
      <c r="T233" s="100">
        <f>'Core Loads'!$S$14</f>
        <v>2041</v>
      </c>
      <c r="U233" s="100">
        <f>'Core Loads'!$T$14</f>
        <v>2042</v>
      </c>
      <c r="V233" s="100">
        <f>'Core Loads'!$U$14</f>
        <v>2043</v>
      </c>
      <c r="W233" s="100">
        <f>'Core Loads'!$V$14</f>
        <v>2044</v>
      </c>
      <c r="X233" s="100">
        <f>'Core Loads'!$W$14</f>
        <v>2045</v>
      </c>
      <c r="Y233" s="100">
        <f>'Core Loads'!$X$14</f>
        <v>2046</v>
      </c>
      <c r="Z233" s="100">
        <f>'Core Loads'!$Y$14</f>
        <v>2047</v>
      </c>
      <c r="AA233" s="100">
        <f>'Core Loads'!$Z$14</f>
        <v>2048</v>
      </c>
      <c r="AB233" s="100">
        <f>'Core Loads'!$AA$14</f>
        <v>2049</v>
      </c>
      <c r="AC233" s="100">
        <f>'Core Loads'!$AB$14</f>
        <v>2050</v>
      </c>
      <c r="AD233" s="100">
        <f>'Core Loads'!$AC$14</f>
        <v>2051</v>
      </c>
      <c r="AE233" s="100">
        <f>'Core Loads'!$AD$14</f>
        <v>2052</v>
      </c>
      <c r="AF233" s="100">
        <f>'Core Loads'!$AE$14</f>
        <v>2053</v>
      </c>
      <c r="AG233" s="100">
        <f>'Core Loads'!$AF$14</f>
        <v>2054</v>
      </c>
      <c r="AH233" s="8"/>
    </row>
    <row r="234" spans="2:135" s="1" customFormat="1" outlineLevel="1" x14ac:dyDescent="0.25">
      <c r="B234" t="s">
        <v>141</v>
      </c>
      <c r="C234" t="s">
        <v>109</v>
      </c>
      <c r="D234" s="98">
        <f>D114-'Enhancement Inputs'!D$148</f>
        <v>1011886.434656</v>
      </c>
      <c r="E234" s="98">
        <f>E114-'Enhancement Inputs'!E$148</f>
        <v>3877644.969252741</v>
      </c>
      <c r="F234" s="98">
        <f>F114-'Enhancement Inputs'!F$148</f>
        <v>107335630.53078811</v>
      </c>
      <c r="G234" s="98">
        <f>G114-'Enhancement Inputs'!G$148</f>
        <v>248041141.17284435</v>
      </c>
      <c r="H234" s="98">
        <f>H114-'Enhancement Inputs'!H$148</f>
        <v>248041141.17284435</v>
      </c>
      <c r="I234" s="98">
        <f>I114-'Enhancement Inputs'!I$148</f>
        <v>247366116.42451665</v>
      </c>
      <c r="J234" s="98">
        <f>J114-'Enhancement Inputs'!J$148</f>
        <v>247366116.42451665</v>
      </c>
      <c r="K234" s="98">
        <f>K114-'Enhancement Inputs'!K$148</f>
        <v>235378791.15010735</v>
      </c>
      <c r="L234" s="98">
        <f>L114-'Enhancement Inputs'!L$148</f>
        <v>235378791.15010735</v>
      </c>
      <c r="M234" s="98">
        <f>M114-'Enhancement Inputs'!M$148</f>
        <v>234219175.95363569</v>
      </c>
      <c r="N234" s="98">
        <f>N114-'Enhancement Inputs'!N$148</f>
        <v>234219175.95363569</v>
      </c>
      <c r="O234" s="98">
        <f>O114-'Enhancement Inputs'!O$148</f>
        <v>231623330.39256436</v>
      </c>
      <c r="P234" s="98">
        <f>P114-'Enhancement Inputs'!P$148</f>
        <v>231623330.39256436</v>
      </c>
      <c r="Q234" s="98">
        <f>Q114-'Enhancement Inputs'!Q$148</f>
        <v>231042498.77821451</v>
      </c>
      <c r="R234" s="98">
        <f>R114-'Enhancement Inputs'!R$148</f>
        <v>231042498.77821451</v>
      </c>
      <c r="S234" s="98">
        <f>S114-'Enhancement Inputs'!S$148</f>
        <v>269800467.92349821</v>
      </c>
      <c r="T234" s="98">
        <f>T114-'Enhancement Inputs'!T$148</f>
        <v>269800467.92349821</v>
      </c>
      <c r="U234" s="98">
        <f>U114-'Enhancement Inputs'!U$148</f>
        <v>269557439.5775125</v>
      </c>
      <c r="V234" s="98">
        <f>V114-'Enhancement Inputs'!V$148</f>
        <v>269557439.5775125</v>
      </c>
      <c r="W234" s="98">
        <f>W114-'Enhancement Inputs'!W$148</f>
        <v>268936172.25015575</v>
      </c>
      <c r="X234" s="98">
        <f>X114-'Enhancement Inputs'!X$148</f>
        <v>268936172.25015575</v>
      </c>
      <c r="Y234" s="98">
        <f>Y114-'Enhancement Inputs'!Y$148</f>
        <v>268936172.25015575</v>
      </c>
      <c r="Z234" s="98">
        <f>Z114-'Enhancement Inputs'!Z$148</f>
        <v>268936172.25015575</v>
      </c>
      <c r="AA234" s="98">
        <f>AA114-'Enhancement Inputs'!AA$148</f>
        <v>268936172.25015575</v>
      </c>
      <c r="AB234" s="98">
        <f>AB114-'Enhancement Inputs'!AB$148</f>
        <v>268936172.25015575</v>
      </c>
      <c r="AC234" s="98">
        <f>AC114-'Enhancement Inputs'!AC$148</f>
        <v>268219720.01826859</v>
      </c>
      <c r="AD234" s="98">
        <f>AD114-'Enhancement Inputs'!AD$148</f>
        <v>268219720.01826859</v>
      </c>
      <c r="AE234" s="98">
        <f>AE114-'Enhancement Inputs'!AE$148</f>
        <v>268219720.01826859</v>
      </c>
      <c r="AF234" s="98">
        <f>AF114-'Enhancement Inputs'!AF$148</f>
        <v>268219720.01826859</v>
      </c>
      <c r="AG234" s="98">
        <f>AG114-'Enhancement Inputs'!AG$148</f>
        <v>268219720.01826859</v>
      </c>
      <c r="AH234" s="53">
        <f>SUM(D234:AG234)</f>
        <v>7000998718.2727594</v>
      </c>
      <c r="AI234"/>
      <c r="AJ234" s="23" t="s">
        <v>317</v>
      </c>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row>
    <row r="235" spans="2:135" s="1" customFormat="1" outlineLevel="1" x14ac:dyDescent="0.25">
      <c r="B235" t="s">
        <v>136</v>
      </c>
      <c r="C235" t="s">
        <v>169</v>
      </c>
      <c r="D235" s="98">
        <f t="shared" ref="D235:AG235" si="60">D115</f>
        <v>31258877.283118241</v>
      </c>
      <c r="E235" s="98">
        <f t="shared" si="60"/>
        <v>31258877.283118241</v>
      </c>
      <c r="F235" s="98">
        <f t="shared" si="60"/>
        <v>22981692.329201803</v>
      </c>
      <c r="G235" s="98">
        <f t="shared" si="60"/>
        <v>0</v>
      </c>
      <c r="H235" s="98">
        <f t="shared" si="60"/>
        <v>0</v>
      </c>
      <c r="I235" s="98">
        <f t="shared" si="60"/>
        <v>0</v>
      </c>
      <c r="J235" s="98">
        <f t="shared" si="60"/>
        <v>0</v>
      </c>
      <c r="K235" s="98">
        <f t="shared" si="60"/>
        <v>0</v>
      </c>
      <c r="L235" s="98">
        <f t="shared" si="60"/>
        <v>0</v>
      </c>
      <c r="M235" s="98">
        <f t="shared" si="60"/>
        <v>0</v>
      </c>
      <c r="N235" s="98">
        <f t="shared" si="60"/>
        <v>0</v>
      </c>
      <c r="O235" s="98">
        <f t="shared" si="60"/>
        <v>0</v>
      </c>
      <c r="P235" s="98">
        <f t="shared" si="60"/>
        <v>0</v>
      </c>
      <c r="Q235" s="98">
        <f t="shared" si="60"/>
        <v>0</v>
      </c>
      <c r="R235" s="98">
        <f t="shared" si="60"/>
        <v>0</v>
      </c>
      <c r="S235" s="98">
        <f t="shared" si="60"/>
        <v>0</v>
      </c>
      <c r="T235" s="98">
        <f t="shared" si="60"/>
        <v>0</v>
      </c>
      <c r="U235" s="98">
        <f t="shared" si="60"/>
        <v>0</v>
      </c>
      <c r="V235" s="98">
        <f t="shared" si="60"/>
        <v>0</v>
      </c>
      <c r="W235" s="98">
        <f t="shared" si="60"/>
        <v>0</v>
      </c>
      <c r="X235" s="98">
        <f t="shared" si="60"/>
        <v>0</v>
      </c>
      <c r="Y235" s="98">
        <f t="shared" si="60"/>
        <v>0</v>
      </c>
      <c r="Z235" s="98">
        <f t="shared" si="60"/>
        <v>0</v>
      </c>
      <c r="AA235" s="98">
        <f t="shared" si="60"/>
        <v>0</v>
      </c>
      <c r="AB235" s="98">
        <f t="shared" si="60"/>
        <v>0</v>
      </c>
      <c r="AC235" s="98">
        <f t="shared" si="60"/>
        <v>0</v>
      </c>
      <c r="AD235" s="98">
        <f t="shared" si="60"/>
        <v>0</v>
      </c>
      <c r="AE235" s="98">
        <f t="shared" si="60"/>
        <v>0</v>
      </c>
      <c r="AF235" s="98">
        <f t="shared" si="60"/>
        <v>0</v>
      </c>
      <c r="AG235" s="98">
        <f t="shared" si="60"/>
        <v>0</v>
      </c>
      <c r="AH235" s="53">
        <f t="shared" ref="AH235:AH236" si="61">SUM(D235:AG235)</f>
        <v>85499446.895438284</v>
      </c>
      <c r="AI235"/>
      <c r="AJ235" s="23" t="s">
        <v>317</v>
      </c>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row>
    <row r="236" spans="2:135" s="1" customFormat="1" outlineLevel="1" x14ac:dyDescent="0.25">
      <c r="B236" t="s">
        <v>154</v>
      </c>
      <c r="C236" t="s">
        <v>170</v>
      </c>
      <c r="D236" s="98">
        <f t="shared" ref="D236:AG236" si="62">D116</f>
        <v>278436.87957137165</v>
      </c>
      <c r="E236" s="98">
        <f t="shared" si="62"/>
        <v>297204.70349500491</v>
      </c>
      <c r="F236" s="98">
        <f t="shared" si="62"/>
        <v>234601.0887444198</v>
      </c>
      <c r="G236" s="98">
        <f t="shared" si="62"/>
        <v>134952.52243551117</v>
      </c>
      <c r="H236" s="98">
        <f t="shared" si="62"/>
        <v>134952.52243551117</v>
      </c>
      <c r="I236" s="98">
        <f t="shared" si="62"/>
        <v>148916.80927474546</v>
      </c>
      <c r="J236" s="98">
        <f t="shared" si="62"/>
        <v>148916.80927474546</v>
      </c>
      <c r="K236" s="98">
        <f t="shared" si="62"/>
        <v>144579.49070036993</v>
      </c>
      <c r="L236" s="98">
        <f t="shared" si="62"/>
        <v>144579.49070036993</v>
      </c>
      <c r="M236" s="98">
        <f t="shared" si="62"/>
        <v>146193.88917096626</v>
      </c>
      <c r="N236" s="98">
        <f t="shared" si="62"/>
        <v>146193.88917096626</v>
      </c>
      <c r="O236" s="98">
        <f t="shared" si="62"/>
        <v>144821.92137333384</v>
      </c>
      <c r="P236" s="98">
        <f t="shared" si="62"/>
        <v>144821.92137333384</v>
      </c>
      <c r="Q236" s="98">
        <f t="shared" si="62"/>
        <v>144483.60155555297</v>
      </c>
      <c r="R236" s="98">
        <f t="shared" si="62"/>
        <v>144483.60155555297</v>
      </c>
      <c r="S236" s="98">
        <f t="shared" si="62"/>
        <v>165316.17341266479</v>
      </c>
      <c r="T236" s="98">
        <f t="shared" si="62"/>
        <v>165316.17341266479</v>
      </c>
      <c r="U236" s="98">
        <f t="shared" si="62"/>
        <v>165249.68529523592</v>
      </c>
      <c r="V236" s="98">
        <f t="shared" si="62"/>
        <v>165249.68529523592</v>
      </c>
      <c r="W236" s="98">
        <f t="shared" si="62"/>
        <v>164877.54257590559</v>
      </c>
      <c r="X236" s="98">
        <f t="shared" si="62"/>
        <v>164877.54257590559</v>
      </c>
      <c r="Y236" s="98">
        <f t="shared" si="62"/>
        <v>164877.54257590559</v>
      </c>
      <c r="Z236" s="98">
        <f t="shared" si="62"/>
        <v>164877.54257590559</v>
      </c>
      <c r="AA236" s="98">
        <f t="shared" si="62"/>
        <v>164877.54257590559</v>
      </c>
      <c r="AB236" s="98">
        <f t="shared" si="62"/>
        <v>164877.54257590559</v>
      </c>
      <c r="AC236" s="98">
        <f t="shared" si="62"/>
        <v>164385.26105735954</v>
      </c>
      <c r="AD236" s="98">
        <f t="shared" si="62"/>
        <v>164385.26105735954</v>
      </c>
      <c r="AE236" s="98">
        <f t="shared" si="62"/>
        <v>164385.26105735954</v>
      </c>
      <c r="AF236" s="98">
        <f t="shared" si="62"/>
        <v>164385.26105735954</v>
      </c>
      <c r="AG236" s="98">
        <f t="shared" si="62"/>
        <v>164385.26105735954</v>
      </c>
      <c r="AH236" s="53">
        <f t="shared" si="61"/>
        <v>5010462.4189897859</v>
      </c>
      <c r="AI236"/>
      <c r="AJ236" s="23" t="s">
        <v>317</v>
      </c>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row>
    <row r="237" spans="2:135" s="1" customFormat="1" outlineLevel="1" x14ac:dyDescent="0.25">
      <c r="B237" t="s">
        <v>312</v>
      </c>
      <c r="C237" t="s">
        <v>313</v>
      </c>
      <c r="D237" s="98">
        <f>D234*'Global Inputs'!C$83+Outputs!D235*CO2_emissions_gas_tons_per_therm</f>
        <v>210153.43197440394</v>
      </c>
      <c r="E237" s="98">
        <f>E234*'Global Inputs'!D$83+Outputs!E235*CO2_emissions_gas_tons_per_therm</f>
        <v>210153.43197440394</v>
      </c>
      <c r="F237" s="98">
        <f>F234*'Global Inputs'!E$83+Outputs!F235*CO2_emissions_gas_tons_per_therm</f>
        <v>154505.91752922372</v>
      </c>
      <c r="G237" s="98">
        <f>G234*'Global Inputs'!F$83+Outputs!G235*CO2_emissions_gas_tons_per_therm</f>
        <v>0</v>
      </c>
      <c r="H237" s="98">
        <f>H234*'Global Inputs'!G$83+Outputs!H235*CO2_emissions_gas_tons_per_therm</f>
        <v>0</v>
      </c>
      <c r="I237" s="98">
        <f>I234*'Global Inputs'!H$83+Outputs!I235*CO2_emissions_gas_tons_per_therm</f>
        <v>0</v>
      </c>
      <c r="J237" s="98">
        <f>J234*'Global Inputs'!I$83+Outputs!J235*CO2_emissions_gas_tons_per_therm</f>
        <v>0</v>
      </c>
      <c r="K237" s="98">
        <f>K234*'Global Inputs'!J$83+Outputs!K235*CO2_emissions_gas_tons_per_therm</f>
        <v>0</v>
      </c>
      <c r="L237" s="98">
        <f>L234*'Global Inputs'!K$83+Outputs!L235*CO2_emissions_gas_tons_per_therm</f>
        <v>0</v>
      </c>
      <c r="M237" s="98">
        <f>M234*'Global Inputs'!L$83+Outputs!M235*CO2_emissions_gas_tons_per_therm</f>
        <v>0</v>
      </c>
      <c r="N237" s="98">
        <f>N234*'Global Inputs'!M$83+Outputs!N235*CO2_emissions_gas_tons_per_therm</f>
        <v>0</v>
      </c>
      <c r="O237" s="98">
        <f>O234*'Global Inputs'!N$83+Outputs!O235*CO2_emissions_gas_tons_per_therm</f>
        <v>0</v>
      </c>
      <c r="P237" s="98">
        <f>P234*'Global Inputs'!O$83+Outputs!P235*CO2_emissions_gas_tons_per_therm</f>
        <v>0</v>
      </c>
      <c r="Q237" s="98">
        <f>Q234*'Global Inputs'!P$83+Outputs!Q235*CO2_emissions_gas_tons_per_therm</f>
        <v>0</v>
      </c>
      <c r="R237" s="98">
        <f>R234*'Global Inputs'!Q$83+Outputs!R235*CO2_emissions_gas_tons_per_therm</f>
        <v>0</v>
      </c>
      <c r="S237" s="98">
        <f>S234*'Global Inputs'!R$83+Outputs!S235*CO2_emissions_gas_tons_per_therm</f>
        <v>0</v>
      </c>
      <c r="T237" s="98">
        <f>T234*'Global Inputs'!S$83+Outputs!T235*CO2_emissions_gas_tons_per_therm</f>
        <v>0</v>
      </c>
      <c r="U237" s="98">
        <f>U234*'Global Inputs'!T$83+Outputs!U235*CO2_emissions_gas_tons_per_therm</f>
        <v>0</v>
      </c>
      <c r="V237" s="98">
        <f>V234*'Global Inputs'!U$83+Outputs!V235*CO2_emissions_gas_tons_per_therm</f>
        <v>0</v>
      </c>
      <c r="W237" s="98">
        <f>W234*'Global Inputs'!V$83+Outputs!W235*CO2_emissions_gas_tons_per_therm</f>
        <v>0</v>
      </c>
      <c r="X237" s="98">
        <f>X234*'Global Inputs'!W$83+Outputs!X235*CO2_emissions_gas_tons_per_therm</f>
        <v>0</v>
      </c>
      <c r="Y237" s="98">
        <f>Y234*'Global Inputs'!X$83+Outputs!Y235*CO2_emissions_gas_tons_per_therm</f>
        <v>0</v>
      </c>
      <c r="Z237" s="98">
        <f>Z234*'Global Inputs'!Y$83+Outputs!Z235*CO2_emissions_gas_tons_per_therm</f>
        <v>0</v>
      </c>
      <c r="AA237" s="98">
        <f>AA234*'Global Inputs'!Z$83+Outputs!AA235*CO2_emissions_gas_tons_per_therm</f>
        <v>0</v>
      </c>
      <c r="AB237" s="98">
        <f>AB234*'Global Inputs'!AA$83+Outputs!AB235*CO2_emissions_gas_tons_per_therm</f>
        <v>0</v>
      </c>
      <c r="AC237" s="98">
        <f>AC234*'Global Inputs'!AB$83+Outputs!AC235*CO2_emissions_gas_tons_per_therm</f>
        <v>0</v>
      </c>
      <c r="AD237" s="98">
        <f>AD234*'Global Inputs'!AC$83+Outputs!AD235*CO2_emissions_gas_tons_per_therm</f>
        <v>0</v>
      </c>
      <c r="AE237" s="98">
        <f>AE234*'Global Inputs'!AD$83+Outputs!AE235*CO2_emissions_gas_tons_per_therm</f>
        <v>0</v>
      </c>
      <c r="AF237" s="98">
        <f>AF234*'Global Inputs'!AE$83+Outputs!AF235*CO2_emissions_gas_tons_per_therm</f>
        <v>0</v>
      </c>
      <c r="AG237" s="98">
        <f>AG234*'Global Inputs'!AF$83+Outputs!AG235*CO2_emissions_gas_tons_per_therm</f>
        <v>0</v>
      </c>
      <c r="AH237" s="53">
        <f t="shared" ref="AH237" si="63">SUM(D237:AG237)</f>
        <v>574812.78147803154</v>
      </c>
      <c r="AI237"/>
      <c r="AJ237" s="23"/>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row>
    <row r="238" spans="2:135" outlineLevel="1" x14ac:dyDescent="0.25">
      <c r="B238" t="s">
        <v>314</v>
      </c>
      <c r="C238" t="s">
        <v>315</v>
      </c>
      <c r="AG238" s="51">
        <f>AG234*Btuh_per_W/'Global Inputs'!$D$17+AG235*'Global Inputs'!$D$16/'Global Inputs'!$D$17/'Global Inputs'!$D$17</f>
        <v>915165.68470233236</v>
      </c>
      <c r="AH238" s="53">
        <f>AH234*Btuh_per_W/'Global Inputs'!$D$17+AH235*'Global Inputs'!$D$16/'Global Inputs'!$D$17/'Global Inputs'!$D$17</f>
        <v>32437352.316290483</v>
      </c>
      <c r="AM238" s="1"/>
      <c r="AN238" s="1"/>
      <c r="AO238" s="1"/>
      <c r="AP238" s="1"/>
      <c r="AQ238" s="1"/>
      <c r="AR238" s="1"/>
      <c r="AS238" s="1"/>
      <c r="AT238" s="1"/>
      <c r="AU238" s="1"/>
      <c r="AV238" s="1"/>
      <c r="AW238" s="1"/>
      <c r="AX238" s="1"/>
    </row>
    <row r="239" spans="2:135" outlineLevel="1" x14ac:dyDescent="0.25">
      <c r="AH239" s="54"/>
      <c r="AM239" s="1"/>
      <c r="AN239" s="1"/>
      <c r="AO239" s="1"/>
      <c r="AP239" s="1"/>
      <c r="AQ239" s="1"/>
      <c r="AR239" s="1"/>
      <c r="AS239" s="1"/>
      <c r="AT239" s="1"/>
      <c r="AU239" s="1"/>
      <c r="AV239" s="1"/>
      <c r="AW239" s="1"/>
      <c r="AX239" s="1"/>
    </row>
    <row r="240" spans="2:135" s="1" customFormat="1" ht="17.25" outlineLevel="1" thickBot="1" x14ac:dyDescent="0.3">
      <c r="B240" s="19" t="s">
        <v>290</v>
      </c>
      <c r="C240" s="19"/>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c r="AF240" s="96"/>
      <c r="AG240" s="96"/>
      <c r="AH240" s="55"/>
      <c r="AI240" s="19"/>
      <c r="AJ240" s="19"/>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row>
    <row r="241" spans="2:135" s="1" customFormat="1" ht="16.5" outlineLevel="1" thickTop="1" thickBot="1" x14ac:dyDescent="0.3">
      <c r="B241" s="20" t="s">
        <v>310</v>
      </c>
      <c r="C241" s="20" t="s">
        <v>13</v>
      </c>
      <c r="D241" s="97" t="s">
        <v>17</v>
      </c>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56" t="s">
        <v>224</v>
      </c>
      <c r="AI241" s="20"/>
      <c r="AJ241" s="20" t="s">
        <v>15</v>
      </c>
      <c r="AM241"/>
      <c r="AN241"/>
      <c r="AO241"/>
      <c r="AP241"/>
      <c r="AQ241"/>
      <c r="AR241"/>
      <c r="AS241"/>
      <c r="AT241"/>
      <c r="AU241"/>
      <c r="AV241"/>
      <c r="AW241"/>
      <c r="AX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row>
    <row r="242" spans="2:135" outlineLevel="1" x14ac:dyDescent="0.25">
      <c r="D242" s="100">
        <f>'Core Loads'!$C$14</f>
        <v>2025</v>
      </c>
      <c r="E242" s="100">
        <f>'Core Loads'!$D$14</f>
        <v>2026</v>
      </c>
      <c r="F242" s="100">
        <f>'Core Loads'!$E$14</f>
        <v>2027</v>
      </c>
      <c r="G242" s="100">
        <f>'Core Loads'!$F$14</f>
        <v>2028</v>
      </c>
      <c r="H242" s="100">
        <f>'Core Loads'!$G$14</f>
        <v>2029</v>
      </c>
      <c r="I242" s="100">
        <f>'Core Loads'!$H$14</f>
        <v>2030</v>
      </c>
      <c r="J242" s="100">
        <f>'Core Loads'!$I$14</f>
        <v>2031</v>
      </c>
      <c r="K242" s="100">
        <f>'Core Loads'!$J$14</f>
        <v>2032</v>
      </c>
      <c r="L242" s="100">
        <f>'Core Loads'!$K$14</f>
        <v>2033</v>
      </c>
      <c r="M242" s="100">
        <f>'Core Loads'!$L$14</f>
        <v>2034</v>
      </c>
      <c r="N242" s="100">
        <f>'Core Loads'!$M$14</f>
        <v>2035</v>
      </c>
      <c r="O242" s="100">
        <f>'Core Loads'!$N$14</f>
        <v>2036</v>
      </c>
      <c r="P242" s="100">
        <f>'Core Loads'!$O$14</f>
        <v>2037</v>
      </c>
      <c r="Q242" s="100">
        <f>'Core Loads'!$P$14</f>
        <v>2038</v>
      </c>
      <c r="R242" s="100">
        <f>'Core Loads'!$Q$14</f>
        <v>2039</v>
      </c>
      <c r="S242" s="100">
        <f>'Core Loads'!$R$14</f>
        <v>2040</v>
      </c>
      <c r="T242" s="100">
        <f>'Core Loads'!$S$14</f>
        <v>2041</v>
      </c>
      <c r="U242" s="100">
        <f>'Core Loads'!$T$14</f>
        <v>2042</v>
      </c>
      <c r="V242" s="100">
        <f>'Core Loads'!$U$14</f>
        <v>2043</v>
      </c>
      <c r="W242" s="100">
        <f>'Core Loads'!$V$14</f>
        <v>2044</v>
      </c>
      <c r="X242" s="100">
        <f>'Core Loads'!$W$14</f>
        <v>2045</v>
      </c>
      <c r="Y242" s="100">
        <f>'Core Loads'!$X$14</f>
        <v>2046</v>
      </c>
      <c r="Z242" s="100">
        <f>'Core Loads'!$Y$14</f>
        <v>2047</v>
      </c>
      <c r="AA242" s="100">
        <f>'Core Loads'!$Z$14</f>
        <v>2048</v>
      </c>
      <c r="AB242" s="100">
        <f>'Core Loads'!$AA$14</f>
        <v>2049</v>
      </c>
      <c r="AC242" s="100">
        <f>'Core Loads'!$AB$14</f>
        <v>2050</v>
      </c>
      <c r="AD242" s="100">
        <f>'Core Loads'!$AC$14</f>
        <v>2051</v>
      </c>
      <c r="AE242" s="100">
        <f>'Core Loads'!$AD$14</f>
        <v>2052</v>
      </c>
      <c r="AF242" s="100">
        <f>'Core Loads'!$AE$14</f>
        <v>2053</v>
      </c>
      <c r="AG242" s="100">
        <f>'Core Loads'!$AF$14</f>
        <v>2054</v>
      </c>
      <c r="AH242" s="8"/>
    </row>
    <row r="243" spans="2:135" s="1" customFormat="1" outlineLevel="1" x14ac:dyDescent="0.25">
      <c r="B243" t="s">
        <v>141</v>
      </c>
      <c r="C243" t="s">
        <v>109</v>
      </c>
      <c r="D243" s="98">
        <f>D123-'Enhancement Inputs'!D$153</f>
        <v>0</v>
      </c>
      <c r="E243" s="98">
        <f>E123-'Enhancement Inputs'!E$153</f>
        <v>2865758.5345967412</v>
      </c>
      <c r="F243" s="98">
        <f>F123-'Enhancement Inputs'!F$153</f>
        <v>226071828.52306879</v>
      </c>
      <c r="G243" s="98">
        <f>G123-'Enhancement Inputs'!G$153</f>
        <v>239769654.17453831</v>
      </c>
      <c r="H243" s="98">
        <f>H123-'Enhancement Inputs'!H$153</f>
        <v>239769654.17453831</v>
      </c>
      <c r="I243" s="98">
        <f>I123-'Enhancement Inputs'!I$153</f>
        <v>243575227.44877559</v>
      </c>
      <c r="J243" s="98">
        <f>J123-'Enhancement Inputs'!J$153</f>
        <v>243575227.44877559</v>
      </c>
      <c r="K243" s="98">
        <f>K123-'Enhancement Inputs'!K$153</f>
        <v>230569005.56431952</v>
      </c>
      <c r="L243" s="98">
        <f>L123-'Enhancement Inputs'!L$153</f>
        <v>230569005.56431952</v>
      </c>
      <c r="M243" s="98">
        <f>M123-'Enhancement Inputs'!M$153</f>
        <v>233025410.55370659</v>
      </c>
      <c r="N243" s="98">
        <f>N123-'Enhancement Inputs'!N$153</f>
        <v>233025410.55370659</v>
      </c>
      <c r="O243" s="98">
        <f>O123-'Enhancement Inputs'!O$153</f>
        <v>230656887.80436453</v>
      </c>
      <c r="P243" s="98">
        <f>P123-'Enhancement Inputs'!P$153</f>
        <v>230656887.80436453</v>
      </c>
      <c r="Q243" s="98">
        <f>Q123-'Enhancement Inputs'!Q$153</f>
        <v>230089670.12696138</v>
      </c>
      <c r="R243" s="98">
        <f>R123-'Enhancement Inputs'!R$153</f>
        <v>230089670.12696138</v>
      </c>
      <c r="S243" s="98">
        <f>S123-'Enhancement Inputs'!S$153</f>
        <v>263403700.68009204</v>
      </c>
      <c r="T243" s="98">
        <f>T123-'Enhancement Inputs'!T$153</f>
        <v>263403700.68009204</v>
      </c>
      <c r="U243" s="98">
        <f>U123-'Enhancement Inputs'!U$153</f>
        <v>263792946.31438899</v>
      </c>
      <c r="V243" s="98">
        <f>V123-'Enhancement Inputs'!V$153</f>
        <v>263792946.31438899</v>
      </c>
      <c r="W243" s="98">
        <f>W123-'Enhancement Inputs'!W$153</f>
        <v>263083686.96818683</v>
      </c>
      <c r="X243" s="98">
        <f>X123-'Enhancement Inputs'!X$153</f>
        <v>263083686.96818683</v>
      </c>
      <c r="Y243" s="98">
        <f>Y123-'Enhancement Inputs'!Y$153</f>
        <v>263083686.96818683</v>
      </c>
      <c r="Z243" s="98">
        <f>Z123-'Enhancement Inputs'!Z$153</f>
        <v>263083686.96818683</v>
      </c>
      <c r="AA243" s="98">
        <f>AA123-'Enhancement Inputs'!AA$153</f>
        <v>263083686.96818683</v>
      </c>
      <c r="AB243" s="98">
        <f>AB123-'Enhancement Inputs'!AB$153</f>
        <v>263083686.96818683</v>
      </c>
      <c r="AC243" s="98">
        <f>AC123-'Enhancement Inputs'!AC$153</f>
        <v>262832276.47282746</v>
      </c>
      <c r="AD243" s="98">
        <f>AD123-'Enhancement Inputs'!AD$153</f>
        <v>262832276.47282746</v>
      </c>
      <c r="AE243" s="98">
        <f>AE123-'Enhancement Inputs'!AE$153</f>
        <v>262832276.47282746</v>
      </c>
      <c r="AF243" s="98">
        <f>AF123-'Enhancement Inputs'!AF$153</f>
        <v>262832276.47282746</v>
      </c>
      <c r="AG243" s="98">
        <f>AG123-'Enhancement Inputs'!AG$153</f>
        <v>262832276.47282746</v>
      </c>
      <c r="AH243" s="53">
        <f>SUM(D243:AG243)</f>
        <v>6991366096.565217</v>
      </c>
      <c r="AI243"/>
      <c r="AJ243" s="23" t="s">
        <v>317</v>
      </c>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row>
    <row r="244" spans="2:135" s="1" customFormat="1" outlineLevel="1" x14ac:dyDescent="0.25">
      <c r="B244" t="s">
        <v>136</v>
      </c>
      <c r="C244" t="s">
        <v>169</v>
      </c>
      <c r="D244" s="98">
        <f>D124</f>
        <v>31258877.283118241</v>
      </c>
      <c r="E244" s="98">
        <f t="shared" ref="E244:AG244" si="64">E124</f>
        <v>31258877.283118241</v>
      </c>
      <c r="F244" s="98">
        <f t="shared" si="64"/>
        <v>2565274.1088963212</v>
      </c>
      <c r="G244" s="98">
        <f t="shared" si="64"/>
        <v>2565274.1088963212</v>
      </c>
      <c r="H244" s="98">
        <f t="shared" si="64"/>
        <v>2565274.1088963212</v>
      </c>
      <c r="I244" s="98">
        <f t="shared" si="64"/>
        <v>2565274.1088963212</v>
      </c>
      <c r="J244" s="98">
        <f t="shared" si="64"/>
        <v>2565274.1088963212</v>
      </c>
      <c r="K244" s="98">
        <f t="shared" si="64"/>
        <v>2565274.1088963212</v>
      </c>
      <c r="L244" s="98">
        <f t="shared" si="64"/>
        <v>2565274.1088963212</v>
      </c>
      <c r="M244" s="98">
        <f t="shared" si="64"/>
        <v>2346467.9582151663</v>
      </c>
      <c r="N244" s="98">
        <f t="shared" si="64"/>
        <v>2346467.9582151663</v>
      </c>
      <c r="O244" s="98">
        <f t="shared" si="64"/>
        <v>2314068.5605899175</v>
      </c>
      <c r="P244" s="98">
        <f t="shared" si="64"/>
        <v>2314068.5605899175</v>
      </c>
      <c r="Q244" s="98">
        <f t="shared" si="64"/>
        <v>2310160.1223315848</v>
      </c>
      <c r="R244" s="98">
        <f t="shared" si="64"/>
        <v>2310160.1223315848</v>
      </c>
      <c r="S244" s="98">
        <f t="shared" si="64"/>
        <v>3182974.7106661899</v>
      </c>
      <c r="T244" s="98">
        <f t="shared" si="64"/>
        <v>3182974.7106661899</v>
      </c>
      <c r="U244" s="98">
        <f t="shared" si="64"/>
        <v>3141298.2662485251</v>
      </c>
      <c r="V244" s="98">
        <f t="shared" si="64"/>
        <v>3141298.2662485251</v>
      </c>
      <c r="W244" s="98">
        <f t="shared" si="64"/>
        <v>3141298.2662485251</v>
      </c>
      <c r="X244" s="98">
        <f t="shared" si="64"/>
        <v>3141298.2662485251</v>
      </c>
      <c r="Y244" s="98">
        <f t="shared" si="64"/>
        <v>3141298.2662485251</v>
      </c>
      <c r="Z244" s="98">
        <f t="shared" si="64"/>
        <v>3141298.2662485251</v>
      </c>
      <c r="AA244" s="98">
        <f t="shared" si="64"/>
        <v>3141298.2662485251</v>
      </c>
      <c r="AB244" s="98">
        <f t="shared" si="64"/>
        <v>3141298.2662485251</v>
      </c>
      <c r="AC244" s="98">
        <f t="shared" si="64"/>
        <v>3097709.5353105851</v>
      </c>
      <c r="AD244" s="98">
        <f t="shared" si="64"/>
        <v>3097709.5353105851</v>
      </c>
      <c r="AE244" s="98">
        <f t="shared" si="64"/>
        <v>3097709.5353105851</v>
      </c>
      <c r="AF244" s="98">
        <f t="shared" si="64"/>
        <v>3097709.5353105851</v>
      </c>
      <c r="AG244" s="98">
        <f t="shared" si="64"/>
        <v>3097709.5353105851</v>
      </c>
      <c r="AH244" s="53">
        <f t="shared" ref="AH244:AH245" si="65">SUM(D244:AG244)</f>
        <v>141400949.83865759</v>
      </c>
      <c r="AI244"/>
      <c r="AJ244" s="23" t="s">
        <v>317</v>
      </c>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row>
    <row r="245" spans="2:135" s="1" customFormat="1" outlineLevel="1" x14ac:dyDescent="0.25">
      <c r="B245" t="s">
        <v>154</v>
      </c>
      <c r="C245" t="s">
        <v>170</v>
      </c>
      <c r="D245" s="98">
        <f>D125</f>
        <v>278436.87957137165</v>
      </c>
      <c r="E245" s="98">
        <f t="shared" ref="E245:AG245" si="66">E125</f>
        <v>297204.70349500491</v>
      </c>
      <c r="F245" s="98">
        <f t="shared" si="66"/>
        <v>145239.9155750564</v>
      </c>
      <c r="G245" s="98">
        <f t="shared" si="66"/>
        <v>159041.2632752381</v>
      </c>
      <c r="H245" s="98">
        <f t="shared" si="66"/>
        <v>159041.2632752381</v>
      </c>
      <c r="I245" s="98">
        <f t="shared" si="66"/>
        <v>177058.64623098687</v>
      </c>
      <c r="J245" s="98">
        <f t="shared" si="66"/>
        <v>177058.64623098687</v>
      </c>
      <c r="K245" s="98">
        <f t="shared" si="66"/>
        <v>172721.32765661133</v>
      </c>
      <c r="L245" s="98">
        <f t="shared" si="66"/>
        <v>172721.32765661133</v>
      </c>
      <c r="M245" s="98">
        <f t="shared" si="66"/>
        <v>173191.85376784479</v>
      </c>
      <c r="N245" s="98">
        <f t="shared" si="66"/>
        <v>173191.85376784479</v>
      </c>
      <c r="O245" s="98">
        <f t="shared" si="66"/>
        <v>171584.81059735437</v>
      </c>
      <c r="P245" s="98">
        <f t="shared" si="66"/>
        <v>171584.81059735437</v>
      </c>
      <c r="Q245" s="98">
        <f t="shared" si="66"/>
        <v>171211.48845044107</v>
      </c>
      <c r="R245" s="98">
        <f t="shared" si="66"/>
        <v>171211.48845044107</v>
      </c>
      <c r="S245" s="98">
        <f t="shared" si="66"/>
        <v>203880.03412168735</v>
      </c>
      <c r="T245" s="98">
        <f t="shared" si="66"/>
        <v>203880.03412168735</v>
      </c>
      <c r="U245" s="98">
        <f t="shared" si="66"/>
        <v>203668.07436934975</v>
      </c>
      <c r="V245" s="98">
        <f t="shared" si="66"/>
        <v>203668.07436934975</v>
      </c>
      <c r="W245" s="98">
        <f t="shared" si="66"/>
        <v>203295.93165001943</v>
      </c>
      <c r="X245" s="98">
        <f t="shared" si="66"/>
        <v>203295.93165001943</v>
      </c>
      <c r="Y245" s="98">
        <f t="shared" si="66"/>
        <v>203295.93165001943</v>
      </c>
      <c r="Z245" s="98">
        <f t="shared" si="66"/>
        <v>203295.93165001943</v>
      </c>
      <c r="AA245" s="98">
        <f t="shared" si="66"/>
        <v>203295.93165001943</v>
      </c>
      <c r="AB245" s="98">
        <f t="shared" si="66"/>
        <v>203295.93165001943</v>
      </c>
      <c r="AC245" s="98">
        <f t="shared" si="66"/>
        <v>202386.0489381908</v>
      </c>
      <c r="AD245" s="98">
        <f t="shared" si="66"/>
        <v>202386.0489381908</v>
      </c>
      <c r="AE245" s="98">
        <f t="shared" si="66"/>
        <v>202386.0489381908</v>
      </c>
      <c r="AF245" s="98">
        <f t="shared" si="66"/>
        <v>202386.0489381908</v>
      </c>
      <c r="AG245" s="98">
        <f t="shared" si="66"/>
        <v>202386.0489381908</v>
      </c>
      <c r="AH245" s="53">
        <f t="shared" si="65"/>
        <v>5817302.3301715292</v>
      </c>
      <c r="AI245"/>
      <c r="AJ245" s="23" t="s">
        <v>317</v>
      </c>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row>
    <row r="246" spans="2:135" s="1" customFormat="1" outlineLevel="1" x14ac:dyDescent="0.25">
      <c r="B246" t="s">
        <v>312</v>
      </c>
      <c r="C246" t="s">
        <v>313</v>
      </c>
      <c r="D246" s="98">
        <f>D243*'Global Inputs'!C$83+Outputs!D244*CO2_emissions_gas_tons_per_therm</f>
        <v>210153.43197440394</v>
      </c>
      <c r="E246" s="98">
        <f>E243*'Global Inputs'!D$83+Outputs!E244*CO2_emissions_gas_tons_per_therm</f>
        <v>210153.43197440394</v>
      </c>
      <c r="F246" s="98">
        <f>F243*'Global Inputs'!E$83+Outputs!F244*CO2_emissions_gas_tons_per_therm</f>
        <v>17246.337834109967</v>
      </c>
      <c r="G246" s="98">
        <f>G243*'Global Inputs'!F$83+Outputs!G244*CO2_emissions_gas_tons_per_therm</f>
        <v>17246.337834109967</v>
      </c>
      <c r="H246" s="98">
        <f>H243*'Global Inputs'!G$83+Outputs!H244*CO2_emissions_gas_tons_per_therm</f>
        <v>17246.337834109967</v>
      </c>
      <c r="I246" s="98">
        <f>I243*'Global Inputs'!H$83+Outputs!I244*CO2_emissions_gas_tons_per_therm</f>
        <v>17246.337834109967</v>
      </c>
      <c r="J246" s="98">
        <f>J243*'Global Inputs'!I$83+Outputs!J244*CO2_emissions_gas_tons_per_therm</f>
        <v>17246.337834109967</v>
      </c>
      <c r="K246" s="98">
        <f>K243*'Global Inputs'!J$83+Outputs!K244*CO2_emissions_gas_tons_per_therm</f>
        <v>17246.337834109967</v>
      </c>
      <c r="L246" s="98">
        <f>L243*'Global Inputs'!K$83+Outputs!L244*CO2_emissions_gas_tons_per_therm</f>
        <v>17246.337834109967</v>
      </c>
      <c r="M246" s="98">
        <f>M243*'Global Inputs'!L$83+Outputs!M244*CO2_emissions_gas_tons_per_therm</f>
        <v>15775.304083080562</v>
      </c>
      <c r="N246" s="98">
        <f>N243*'Global Inputs'!M$83+Outputs!N244*CO2_emissions_gas_tons_per_therm</f>
        <v>15775.304083080562</v>
      </c>
      <c r="O246" s="98">
        <f>O243*'Global Inputs'!N$83+Outputs!O244*CO2_emissions_gas_tons_per_therm</f>
        <v>15557.482932846015</v>
      </c>
      <c r="P246" s="98">
        <f>P243*'Global Inputs'!O$83+Outputs!P244*CO2_emissions_gas_tons_per_therm</f>
        <v>15557.482932846015</v>
      </c>
      <c r="Q246" s="98">
        <f>Q243*'Global Inputs'!P$83+Outputs!Q244*CO2_emissions_gas_tons_per_therm</f>
        <v>15531.206502435245</v>
      </c>
      <c r="R246" s="98">
        <f>R243*'Global Inputs'!Q$83+Outputs!R244*CO2_emissions_gas_tons_per_therm</f>
        <v>15531.206502435245</v>
      </c>
      <c r="S246" s="98">
        <f>S243*'Global Inputs'!R$83+Outputs!S244*CO2_emissions_gas_tons_per_therm</f>
        <v>21399.138979808795</v>
      </c>
      <c r="T246" s="98">
        <f>T243*'Global Inputs'!S$83+Outputs!T244*CO2_emissions_gas_tons_per_therm</f>
        <v>21399.138979808795</v>
      </c>
      <c r="U246" s="98">
        <f>U243*'Global Inputs'!T$83+Outputs!U244*CO2_emissions_gas_tons_per_therm</f>
        <v>21118.948243988834</v>
      </c>
      <c r="V246" s="98">
        <f>V243*'Global Inputs'!U$83+Outputs!V244*CO2_emissions_gas_tons_per_therm</f>
        <v>21118.948243988834</v>
      </c>
      <c r="W246" s="98">
        <f>W243*'Global Inputs'!V$83+Outputs!W244*CO2_emissions_gas_tons_per_therm</f>
        <v>21118.948243988834</v>
      </c>
      <c r="X246" s="98">
        <f>X243*'Global Inputs'!W$83+Outputs!X244*CO2_emissions_gas_tons_per_therm</f>
        <v>21118.948243988834</v>
      </c>
      <c r="Y246" s="98">
        <f>Y243*'Global Inputs'!X$83+Outputs!Y244*CO2_emissions_gas_tons_per_therm</f>
        <v>21118.948243988834</v>
      </c>
      <c r="Z246" s="98">
        <f>Z243*'Global Inputs'!Y$83+Outputs!Z244*CO2_emissions_gas_tons_per_therm</f>
        <v>21118.948243988834</v>
      </c>
      <c r="AA246" s="98">
        <f>AA243*'Global Inputs'!Z$83+Outputs!AA244*CO2_emissions_gas_tons_per_therm</f>
        <v>21118.948243988834</v>
      </c>
      <c r="AB246" s="98">
        <f>AB243*'Global Inputs'!AA$83+Outputs!AB244*CO2_emissions_gas_tons_per_therm</f>
        <v>21118.948243988834</v>
      </c>
      <c r="AC246" s="98">
        <f>AC243*'Global Inputs'!AB$83+Outputs!AC244*CO2_emissions_gas_tons_per_therm</f>
        <v>20825.901205893064</v>
      </c>
      <c r="AD246" s="98">
        <f>AD243*'Global Inputs'!AC$83+Outputs!AD244*CO2_emissions_gas_tons_per_therm</f>
        <v>20825.901205893064</v>
      </c>
      <c r="AE246" s="98">
        <f>AE243*'Global Inputs'!AD$83+Outputs!AE244*CO2_emissions_gas_tons_per_therm</f>
        <v>20825.901205893064</v>
      </c>
      <c r="AF246" s="98">
        <f>AF243*'Global Inputs'!AE$83+Outputs!AF244*CO2_emissions_gas_tons_per_therm</f>
        <v>20825.901205893064</v>
      </c>
      <c r="AG246" s="98">
        <f>AG243*'Global Inputs'!AF$83+Outputs!AG244*CO2_emissions_gas_tons_per_therm</f>
        <v>20825.901205893064</v>
      </c>
      <c r="AH246" s="53">
        <f t="shared" ref="AH246" si="67">SUM(D246:AG246)</f>
        <v>950638.5857652945</v>
      </c>
      <c r="AI246"/>
      <c r="AJ246" s="23"/>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row>
    <row r="247" spans="2:135" outlineLevel="1" x14ac:dyDescent="0.25">
      <c r="B247" t="s">
        <v>314</v>
      </c>
      <c r="C247" t="s">
        <v>315</v>
      </c>
      <c r="AG247" s="51">
        <f>AG243*Btuh_per_W/'Global Inputs'!$D$17+AG244*'Global Inputs'!$D$16/'Global Inputs'!$D$17/'Global Inputs'!$D$17</f>
        <v>1206554.6808563459</v>
      </c>
      <c r="AH247" s="53">
        <f>AH243*Btuh_per_W/'Global Inputs'!$D$17+AH244*'Global Inputs'!$D$16/'Global Inputs'!$D$17/'Global Inputs'!$D$17</f>
        <v>37994636.105346277</v>
      </c>
    </row>
    <row r="248" spans="2:135" x14ac:dyDescent="0.25">
      <c r="F248" s="99"/>
      <c r="G248" s="99"/>
      <c r="AC248" s="99"/>
      <c r="AD248" s="99"/>
    </row>
    <row r="251" spans="2:135" ht="20.25" thickBot="1" x14ac:dyDescent="0.35">
      <c r="B251" s="18" t="s">
        <v>318</v>
      </c>
      <c r="C251" s="18"/>
      <c r="D251" s="95"/>
      <c r="E251" s="95"/>
      <c r="F251" s="95"/>
      <c r="G251" s="95"/>
      <c r="H251" s="95"/>
      <c r="I251" s="95"/>
      <c r="J251" s="95"/>
      <c r="K251" s="95"/>
      <c r="L251" s="95"/>
      <c r="M251" s="95"/>
      <c r="N251" s="95"/>
      <c r="O251" s="95"/>
      <c r="P251" s="95"/>
      <c r="Q251" s="95"/>
      <c r="R251" s="95" t="s">
        <v>307</v>
      </c>
      <c r="S251" s="95"/>
      <c r="T251" s="95"/>
      <c r="U251" s="95"/>
      <c r="V251" s="95"/>
      <c r="W251" s="95"/>
      <c r="X251" s="95"/>
      <c r="Y251" s="95"/>
      <c r="Z251" s="95"/>
      <c r="AA251" s="95"/>
      <c r="AB251" s="95"/>
      <c r="AC251" s="95"/>
      <c r="AD251" s="95"/>
      <c r="AE251" s="95"/>
      <c r="AF251" s="95"/>
      <c r="AG251" s="95"/>
      <c r="AH251" s="58"/>
      <c r="AI251" s="58"/>
      <c r="AJ251" s="18" t="s">
        <v>308</v>
      </c>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row>
    <row r="252" spans="2:135" ht="18" outlineLevel="1" thickTop="1" thickBot="1" x14ac:dyDescent="0.3">
      <c r="B252" s="19" t="s">
        <v>319</v>
      </c>
      <c r="C252" s="19"/>
      <c r="D252" s="96"/>
      <c r="E252" s="96"/>
      <c r="F252" s="96"/>
      <c r="G252" s="96"/>
      <c r="H252" s="96"/>
      <c r="I252" s="96"/>
      <c r="J252" s="96"/>
      <c r="K252" s="96"/>
      <c r="L252" s="96"/>
      <c r="M252" s="96"/>
      <c r="N252" s="96"/>
      <c r="O252" s="96"/>
      <c r="P252" s="96"/>
    </row>
    <row r="253" spans="2:135" ht="16.5" outlineLevel="1" thickTop="1" thickBot="1" x14ac:dyDescent="0.3">
      <c r="B253" s="20"/>
      <c r="C253" s="20"/>
      <c r="D253" s="101">
        <v>0</v>
      </c>
      <c r="E253" s="102" t="s">
        <v>243</v>
      </c>
      <c r="F253" s="102" t="s">
        <v>247</v>
      </c>
      <c r="G253" s="102" t="s">
        <v>320</v>
      </c>
      <c r="H253" s="102">
        <v>2</v>
      </c>
      <c r="I253" s="102">
        <v>6</v>
      </c>
      <c r="J253" s="102" t="s">
        <v>249</v>
      </c>
      <c r="K253" s="102" t="s">
        <v>321</v>
      </c>
      <c r="L253" s="102" t="s">
        <v>250</v>
      </c>
      <c r="M253" s="102" t="s">
        <v>251</v>
      </c>
      <c r="N253" s="102" t="s">
        <v>253</v>
      </c>
      <c r="O253" s="102" t="s">
        <v>322</v>
      </c>
      <c r="P253" s="102">
        <v>12</v>
      </c>
    </row>
    <row r="254" spans="2:135" outlineLevel="1" x14ac:dyDescent="0.25">
      <c r="B254" t="s">
        <v>141</v>
      </c>
      <c r="C254" t="s">
        <v>109</v>
      </c>
      <c r="D254" s="89">
        <f>X15</f>
        <v>55851163.225441098</v>
      </c>
      <c r="E254" s="89">
        <f>X24</f>
        <v>214430341.91332072</v>
      </c>
      <c r="F254" s="89">
        <f>X42</f>
        <v>302681496.42961389</v>
      </c>
      <c r="G254" s="89">
        <f>X162</f>
        <v>302681496.42961389</v>
      </c>
      <c r="H254" s="89">
        <f>X51</f>
        <v>0</v>
      </c>
      <c r="I254" s="89">
        <f>X60</f>
        <v>262508797.67526135</v>
      </c>
      <c r="J254" s="89">
        <f>X78</f>
        <v>333915837.3704766</v>
      </c>
      <c r="K254" s="89">
        <f>X198</f>
        <v>319796471.3704766</v>
      </c>
      <c r="L254" s="89">
        <f>X87</f>
        <v>220926206.14733073</v>
      </c>
      <c r="M254" s="89">
        <f>X96</f>
        <v>180685017.73386261</v>
      </c>
      <c r="N254" s="89">
        <f>X114</f>
        <v>268936172.25015575</v>
      </c>
      <c r="O254" s="89">
        <f>X234</f>
        <v>268936172.25015575</v>
      </c>
      <c r="P254" s="89">
        <f>X123</f>
        <v>263083686.96818683</v>
      </c>
      <c r="CZ254" s="87"/>
      <c r="DA254" s="87"/>
      <c r="DB254" s="87"/>
      <c r="DC254" s="87"/>
      <c r="DD254" s="87"/>
      <c r="DE254" s="87"/>
      <c r="DF254" s="87"/>
      <c r="DG254" s="87"/>
      <c r="DH254" s="87"/>
      <c r="DI254" s="87"/>
      <c r="DJ254" s="87"/>
      <c r="DK254" s="87"/>
      <c r="DL254" s="87"/>
      <c r="DM254" s="87"/>
      <c r="DN254" s="87"/>
      <c r="DO254" s="87"/>
      <c r="DP254" s="87"/>
      <c r="DQ254" s="87"/>
      <c r="DR254" s="87"/>
      <c r="DS254" s="87"/>
      <c r="DT254" s="87"/>
      <c r="DU254" s="87"/>
      <c r="DV254" s="87"/>
      <c r="DW254" s="87"/>
      <c r="DX254" s="87"/>
      <c r="DY254" s="87"/>
      <c r="DZ254" s="87"/>
      <c r="EA254" s="87"/>
      <c r="EB254" s="87"/>
      <c r="EC254" s="87"/>
      <c r="ED254" s="87"/>
      <c r="EE254" s="87"/>
    </row>
    <row r="255" spans="2:135" outlineLevel="1" x14ac:dyDescent="0.25">
      <c r="B255" t="s">
        <v>136</v>
      </c>
      <c r="C255" t="s">
        <v>169</v>
      </c>
      <c r="D255" s="89">
        <f>X16</f>
        <v>20992982.374243401</v>
      </c>
      <c r="E255" s="89">
        <f>X25</f>
        <v>7142432.8554423703</v>
      </c>
      <c r="F255" s="89">
        <f>X43</f>
        <v>0</v>
      </c>
      <c r="G255" s="89">
        <f>X163</f>
        <v>0</v>
      </c>
      <c r="H255" s="89">
        <f>X52</f>
        <v>12421037.488191342</v>
      </c>
      <c r="I255" s="89">
        <f>X61</f>
        <v>7761634.7494799159</v>
      </c>
      <c r="J255" s="89">
        <f>X79</f>
        <v>0</v>
      </c>
      <c r="K255" s="89">
        <f>X199</f>
        <v>0</v>
      </c>
      <c r="L255" s="89">
        <f>X88</f>
        <v>17807525.131535459</v>
      </c>
      <c r="M255" s="89">
        <f>X97</f>
        <v>7142432.8554423703</v>
      </c>
      <c r="N255" s="89">
        <f>X115</f>
        <v>0</v>
      </c>
      <c r="O255" s="89">
        <f>X235</f>
        <v>0</v>
      </c>
      <c r="P255" s="89">
        <f>X124</f>
        <v>3141298.2662485251</v>
      </c>
      <c r="CZ255" s="87"/>
      <c r="DA255" s="87"/>
      <c r="DB255" s="87"/>
      <c r="DC255" s="87"/>
      <c r="DD255" s="87"/>
      <c r="DE255" s="87"/>
      <c r="DF255" s="87"/>
      <c r="DG255" s="87"/>
      <c r="DH255" s="87"/>
      <c r="DI255" s="87"/>
      <c r="DJ255" s="87"/>
      <c r="DK255" s="87"/>
      <c r="DL255" s="87"/>
      <c r="DM255" s="87"/>
      <c r="DN255" s="87"/>
      <c r="DO255" s="87"/>
      <c r="DP255" s="87"/>
      <c r="DQ255" s="87"/>
      <c r="DR255" s="87"/>
      <c r="DS255" s="87"/>
      <c r="DT255" s="87"/>
      <c r="DU255" s="87"/>
      <c r="DV255" s="87"/>
      <c r="DW255" s="87"/>
      <c r="DX255" s="87"/>
      <c r="DY255" s="87"/>
      <c r="DZ255" s="87"/>
      <c r="EA255" s="87"/>
      <c r="EB255" s="87"/>
      <c r="EC255" s="87"/>
      <c r="ED255" s="87"/>
      <c r="EE255" s="87"/>
    </row>
    <row r="256" spans="2:135" outlineLevel="1" x14ac:dyDescent="0.25">
      <c r="B256" t="s">
        <v>154</v>
      </c>
      <c r="C256" t="s">
        <v>170</v>
      </c>
      <c r="D256" s="89">
        <f>X17</f>
        <v>291756.69440303242</v>
      </c>
      <c r="E256" s="89">
        <f>X26</f>
        <v>164877.54257590559</v>
      </c>
      <c r="F256" s="89">
        <f>X44</f>
        <v>164877.54257590559</v>
      </c>
      <c r="G256" s="89">
        <f>X164</f>
        <v>164877.54257590559</v>
      </c>
      <c r="H256" s="89">
        <f>X53</f>
        <v>234839.63347978302</v>
      </c>
      <c r="I256" s="89">
        <f>X62</f>
        <v>234792.7286685353</v>
      </c>
      <c r="J256" s="89">
        <f>X80</f>
        <v>234792.7286685353</v>
      </c>
      <c r="K256" s="89">
        <f>X200</f>
        <v>234792.7286685353</v>
      </c>
      <c r="L256" s="89">
        <f>X89</f>
        <v>291756.69440303242</v>
      </c>
      <c r="M256" s="89">
        <f>X98</f>
        <v>164877.54257590559</v>
      </c>
      <c r="N256" s="89">
        <f>X116</f>
        <v>164877.54257590559</v>
      </c>
      <c r="O256" s="89">
        <f>X236</f>
        <v>164877.54257590559</v>
      </c>
      <c r="P256" s="89">
        <f>X125</f>
        <v>203295.93165001943</v>
      </c>
      <c r="CZ256" s="87"/>
      <c r="DA256" s="87"/>
      <c r="DB256" s="87"/>
      <c r="DC256" s="87"/>
      <c r="DD256" s="87"/>
      <c r="DE256" s="87"/>
      <c r="DF256" s="87"/>
      <c r="DG256" s="87"/>
      <c r="DH256" s="87"/>
      <c r="DI256" s="87"/>
      <c r="DJ256" s="87"/>
      <c r="DK256" s="87"/>
      <c r="DL256" s="87"/>
      <c r="DM256" s="87"/>
      <c r="DN256" s="87"/>
      <c r="DO256" s="87"/>
      <c r="DP256" s="87"/>
      <c r="DQ256" s="87"/>
      <c r="DR256" s="87"/>
      <c r="DS256" s="87"/>
      <c r="DT256" s="87"/>
      <c r="DU256" s="87"/>
      <c r="DV256" s="87"/>
      <c r="DW256" s="87"/>
      <c r="DX256" s="87"/>
      <c r="DY256" s="87"/>
      <c r="DZ256" s="87"/>
      <c r="EA256" s="87"/>
      <c r="EB256" s="87"/>
      <c r="EC256" s="87"/>
      <c r="ED256" s="87"/>
      <c r="EE256" s="87"/>
    </row>
    <row r="257" spans="2:135" outlineLevel="1" x14ac:dyDescent="0.25">
      <c r="B257" t="s">
        <v>312</v>
      </c>
      <c r="C257" t="s">
        <v>323</v>
      </c>
      <c r="D257" s="51">
        <f>X18</f>
        <v>141135.82050203838</v>
      </c>
      <c r="E257" s="51">
        <f>X27</f>
        <v>48018.576087139052</v>
      </c>
      <c r="F257" s="51">
        <f>X45</f>
        <v>0</v>
      </c>
      <c r="G257" s="51">
        <f>X165</f>
        <v>0</v>
      </c>
      <c r="H257" s="51">
        <f>X54</f>
        <v>83506.635033110389</v>
      </c>
      <c r="I257" s="51">
        <f>X63</f>
        <v>52181.470420753474</v>
      </c>
      <c r="J257" s="51">
        <f>X81</f>
        <v>0</v>
      </c>
      <c r="K257" s="51">
        <f>X201</f>
        <v>0</v>
      </c>
      <c r="L257" s="51">
        <f>X90</f>
        <v>119719.99145931289</v>
      </c>
      <c r="M257" s="51">
        <f>X99</f>
        <v>48018.576087139052</v>
      </c>
      <c r="N257" s="51">
        <f>X117</f>
        <v>0</v>
      </c>
      <c r="O257" s="51">
        <f>X237</f>
        <v>0</v>
      </c>
      <c r="P257" s="51">
        <f>X126</f>
        <v>21118.948243988834</v>
      </c>
      <c r="CZ257" s="87"/>
      <c r="DA257" s="87"/>
      <c r="DB257" s="87"/>
      <c r="DC257" s="87"/>
      <c r="DD257" s="87"/>
      <c r="DE257" s="87"/>
      <c r="DF257" s="87"/>
      <c r="DG257" s="87"/>
      <c r="DH257" s="87"/>
      <c r="DI257" s="87"/>
      <c r="DJ257" s="87"/>
      <c r="DK257" s="87"/>
      <c r="DL257" s="87"/>
      <c r="DM257" s="87"/>
      <c r="DN257" s="87"/>
      <c r="DO257" s="87"/>
      <c r="DP257" s="87"/>
      <c r="DQ257" s="87"/>
      <c r="DR257" s="87"/>
      <c r="DS257" s="87"/>
      <c r="DT257" s="87"/>
      <c r="DU257" s="87"/>
      <c r="DV257" s="87"/>
      <c r="DW257" s="87"/>
      <c r="DX257" s="87"/>
      <c r="DY257" s="87"/>
      <c r="DZ257" s="87"/>
      <c r="EA257" s="87"/>
      <c r="EB257" s="87"/>
      <c r="EC257" s="87"/>
      <c r="ED257" s="87"/>
      <c r="EE257" s="87"/>
    </row>
    <row r="258" spans="2:135" outlineLevel="1" x14ac:dyDescent="0.25">
      <c r="CZ258" s="87"/>
      <c r="DA258" s="87"/>
      <c r="DB258" s="87"/>
      <c r="DC258" s="87"/>
      <c r="DD258" s="87"/>
      <c r="DE258" s="87"/>
      <c r="DF258" s="87"/>
      <c r="DG258" s="87"/>
      <c r="DH258" s="87"/>
      <c r="DI258" s="87"/>
      <c r="DJ258" s="87"/>
      <c r="DK258" s="87"/>
      <c r="DL258" s="87"/>
      <c r="DM258" s="87"/>
      <c r="DN258" s="87"/>
      <c r="DO258" s="87"/>
      <c r="DP258" s="87"/>
      <c r="DQ258" s="87"/>
      <c r="DR258" s="87"/>
      <c r="DS258" s="87"/>
      <c r="DT258" s="87"/>
      <c r="DU258" s="87"/>
      <c r="DV258" s="87"/>
      <c r="DW258" s="87"/>
      <c r="DX258" s="87"/>
      <c r="DY258" s="87"/>
      <c r="DZ258" s="87"/>
      <c r="EA258" s="87"/>
      <c r="EB258" s="87"/>
      <c r="EC258" s="87"/>
      <c r="ED258" s="87"/>
      <c r="EE258" s="87"/>
    </row>
    <row r="259" spans="2:135" ht="17.25" outlineLevel="1" thickBot="1" x14ac:dyDescent="0.3">
      <c r="B259" s="19" t="s">
        <v>324</v>
      </c>
      <c r="C259" s="19"/>
      <c r="D259" s="96"/>
      <c r="E259" s="96"/>
      <c r="F259" s="96"/>
      <c r="G259" s="96"/>
      <c r="H259" s="96"/>
      <c r="I259" s="96"/>
      <c r="J259" s="96"/>
      <c r="K259" s="96"/>
      <c r="L259" s="96"/>
      <c r="M259" s="96"/>
      <c r="N259" s="96"/>
      <c r="O259" s="96"/>
      <c r="P259" s="96"/>
      <c r="CZ259" s="87"/>
      <c r="DA259" s="87"/>
      <c r="DB259" s="87"/>
      <c r="DC259" s="87"/>
      <c r="DD259" s="87"/>
      <c r="DE259" s="87"/>
      <c r="DF259" s="87"/>
      <c r="DG259" s="87"/>
      <c r="DH259" s="87"/>
      <c r="DI259" s="87"/>
      <c r="DJ259" s="87"/>
      <c r="DK259" s="87"/>
      <c r="DL259" s="87"/>
      <c r="DM259" s="87"/>
      <c r="DN259" s="87"/>
      <c r="DO259" s="87"/>
      <c r="DP259" s="87"/>
      <c r="DQ259" s="87"/>
      <c r="DR259" s="87"/>
      <c r="DS259" s="87"/>
      <c r="DT259" s="87"/>
      <c r="DU259" s="87"/>
      <c r="DV259" s="87"/>
      <c r="DW259" s="87"/>
      <c r="DX259" s="87"/>
      <c r="DY259" s="87"/>
      <c r="DZ259" s="87"/>
      <c r="EA259" s="87"/>
      <c r="EB259" s="87"/>
      <c r="EC259" s="87"/>
      <c r="ED259" s="87"/>
      <c r="EE259" s="87"/>
    </row>
    <row r="260" spans="2:135" ht="16.5" outlineLevel="1" thickTop="1" thickBot="1" x14ac:dyDescent="0.3">
      <c r="B260" s="20"/>
      <c r="C260" s="20"/>
      <c r="D260" s="101">
        <v>0</v>
      </c>
      <c r="E260" s="102" t="s">
        <v>243</v>
      </c>
      <c r="F260" s="102" t="s">
        <v>247</v>
      </c>
      <c r="G260" s="102" t="s">
        <v>320</v>
      </c>
      <c r="H260" s="102">
        <v>2</v>
      </c>
      <c r="I260" s="102">
        <v>6</v>
      </c>
      <c r="J260" s="102" t="s">
        <v>249</v>
      </c>
      <c r="K260" s="102" t="s">
        <v>321</v>
      </c>
      <c r="L260" s="102" t="s">
        <v>250</v>
      </c>
      <c r="M260" s="102" t="s">
        <v>251</v>
      </c>
      <c r="N260" s="102" t="s">
        <v>253</v>
      </c>
      <c r="O260" s="102" t="s">
        <v>322</v>
      </c>
      <c r="P260" s="102">
        <v>12</v>
      </c>
      <c r="CY260" s="87"/>
      <c r="CZ260" s="87"/>
      <c r="DA260" s="87"/>
      <c r="DB260" s="87"/>
      <c r="DC260" s="87"/>
      <c r="DD260" s="87"/>
      <c r="DE260" s="87"/>
      <c r="DF260" s="87"/>
      <c r="DG260" s="87"/>
      <c r="DH260" s="87"/>
      <c r="DI260" s="87"/>
      <c r="DJ260" s="87"/>
      <c r="DK260" s="87"/>
      <c r="DL260" s="87"/>
      <c r="DM260" s="87"/>
      <c r="DN260" s="87"/>
      <c r="DO260" s="87"/>
      <c r="DP260" s="87"/>
      <c r="DQ260" s="87"/>
      <c r="DR260" s="87"/>
      <c r="DS260" s="87"/>
      <c r="DT260" s="87"/>
      <c r="DU260" s="87"/>
      <c r="DV260" s="87"/>
      <c r="DW260" s="87"/>
      <c r="DX260" s="87"/>
      <c r="DY260" s="87"/>
      <c r="DZ260" s="87"/>
      <c r="EA260" s="87"/>
      <c r="EB260" s="87"/>
      <c r="EC260" s="87"/>
      <c r="ED260" s="87"/>
      <c r="EE260" s="87"/>
    </row>
    <row r="261" spans="2:135" outlineLevel="1" x14ac:dyDescent="0.25">
      <c r="B261" t="s">
        <v>141</v>
      </c>
      <c r="C261" t="s">
        <v>325</v>
      </c>
      <c r="D261" s="51">
        <f>D254*Cost_elec</f>
        <v>17022268.601189665</v>
      </c>
      <c r="E261" s="51">
        <f>E254*Cost_elec</f>
        <v>65353891.763364539</v>
      </c>
      <c r="F261" s="51">
        <f>F254*Cost_elec</f>
        <v>92251001.327183664</v>
      </c>
      <c r="G261" s="51">
        <f>G254*Cost_elec*(1-Cost_elec_TS_delta)</f>
        <v>83025901.194465294</v>
      </c>
      <c r="H261" s="51">
        <f t="shared" ref="H261:N261" si="68">H254*Cost_elec</f>
        <v>0</v>
      </c>
      <c r="I261" s="51">
        <f t="shared" si="68"/>
        <v>80007201.392865181</v>
      </c>
      <c r="J261" s="51">
        <f t="shared" si="68"/>
        <v>101770576.39727481</v>
      </c>
      <c r="K261" s="51">
        <f t="shared" si="68"/>
        <v>97467288.396622658</v>
      </c>
      <c r="L261" s="51">
        <f t="shared" si="68"/>
        <v>67333695.57410793</v>
      </c>
      <c r="M261" s="51">
        <f t="shared" si="68"/>
        <v>55069021.421482429</v>
      </c>
      <c r="N261" s="51">
        <f t="shared" si="68"/>
        <v>81966130.985301539</v>
      </c>
      <c r="O261" s="51">
        <f>O254*Cost_elec*(1-Cost_elec_TS_delta)</f>
        <v>73769517.886771381</v>
      </c>
      <c r="P261" s="51">
        <f>P254*Cost_elec*(1-Cost_elec_TS_delta)</f>
        <v>72164174.083154351</v>
      </c>
      <c r="CY261" s="87"/>
      <c r="CZ261" s="87"/>
      <c r="DA261" s="87"/>
      <c r="DB261" s="87"/>
      <c r="DC261" s="87"/>
      <c r="DD261" s="87"/>
      <c r="DE261" s="87"/>
      <c r="DF261" s="87"/>
      <c r="DG261" s="87"/>
      <c r="DH261" s="87"/>
      <c r="DI261" s="87"/>
      <c r="DJ261" s="87"/>
      <c r="DK261" s="87"/>
      <c r="DL261" s="87"/>
      <c r="DM261" s="87"/>
      <c r="DN261" s="87"/>
      <c r="DO261" s="87"/>
      <c r="DP261" s="87"/>
      <c r="DQ261" s="87"/>
      <c r="DR261" s="87"/>
      <c r="DS261" s="87"/>
      <c r="DT261" s="87"/>
      <c r="DU261" s="87"/>
      <c r="DV261" s="87"/>
      <c r="DW261" s="87"/>
      <c r="DX261" s="87"/>
      <c r="DY261" s="87"/>
      <c r="DZ261" s="87"/>
      <c r="EA261" s="87"/>
      <c r="EB261" s="87"/>
      <c r="EC261" s="87"/>
      <c r="ED261" s="87"/>
      <c r="EE261" s="87"/>
    </row>
    <row r="262" spans="2:135" outlineLevel="1" x14ac:dyDescent="0.25">
      <c r="B262" t="s">
        <v>136</v>
      </c>
      <c r="C262" t="s">
        <v>325</v>
      </c>
      <c r="D262" s="51">
        <f t="shared" ref="D262:P262" si="69">D255*Cost_gas</f>
        <v>55874025.105762906</v>
      </c>
      <c r="E262" s="51">
        <f t="shared" si="69"/>
        <v>19009994.176475164</v>
      </c>
      <c r="F262" s="51">
        <f t="shared" si="69"/>
        <v>0</v>
      </c>
      <c r="G262" s="51">
        <f t="shared" si="69"/>
        <v>0</v>
      </c>
      <c r="H262" s="51">
        <f t="shared" si="69"/>
        <v>33059302.774736781</v>
      </c>
      <c r="I262" s="51">
        <f t="shared" si="69"/>
        <v>20658035.486481585</v>
      </c>
      <c r="J262" s="51">
        <f t="shared" si="69"/>
        <v>0</v>
      </c>
      <c r="K262" s="51">
        <f t="shared" si="69"/>
        <v>0</v>
      </c>
      <c r="L262" s="51">
        <f t="shared" si="69"/>
        <v>47395748.185435019</v>
      </c>
      <c r="M262" s="51">
        <f t="shared" si="69"/>
        <v>19009994.176475164</v>
      </c>
      <c r="N262" s="51">
        <f t="shared" si="69"/>
        <v>0</v>
      </c>
      <c r="O262" s="51">
        <f t="shared" si="69"/>
        <v>0</v>
      </c>
      <c r="P262" s="51">
        <f t="shared" si="69"/>
        <v>8360745.2749735992</v>
      </c>
      <c r="CY262" s="87"/>
      <c r="CZ262" s="87"/>
      <c r="DA262" s="87"/>
      <c r="DB262" s="87"/>
      <c r="DC262" s="87"/>
      <c r="DD262" s="87"/>
      <c r="DE262" s="87"/>
      <c r="DF262" s="87"/>
      <c r="DG262" s="87"/>
      <c r="DH262" s="87"/>
      <c r="DI262" s="87"/>
      <c r="DJ262" s="87"/>
      <c r="DK262" s="87"/>
      <c r="DL262" s="87"/>
      <c r="DM262" s="87"/>
      <c r="DN262" s="87"/>
      <c r="DO262" s="87"/>
      <c r="DP262" s="87"/>
      <c r="DQ262" s="87"/>
      <c r="DR262" s="87"/>
      <c r="DS262" s="87"/>
      <c r="DT262" s="87"/>
      <c r="DU262" s="87"/>
      <c r="DV262" s="87"/>
      <c r="DW262" s="87"/>
      <c r="DX262" s="87"/>
      <c r="DY262" s="87"/>
      <c r="DZ262" s="87"/>
      <c r="EA262" s="87"/>
      <c r="EB262" s="87"/>
      <c r="EC262" s="87"/>
      <c r="ED262" s="87"/>
      <c r="EE262" s="87"/>
    </row>
    <row r="263" spans="2:135" outlineLevel="1" x14ac:dyDescent="0.25">
      <c r="B263" t="s">
        <v>154</v>
      </c>
      <c r="C263" t="s">
        <v>325</v>
      </c>
      <c r="D263" s="51">
        <f t="shared" ref="D263:P263" si="70">D256*Cost_water</f>
        <v>14537553.349123104</v>
      </c>
      <c r="E263" s="51">
        <f t="shared" si="70"/>
        <v>8215462.1204970386</v>
      </c>
      <c r="F263" s="51">
        <f t="shared" si="70"/>
        <v>8215462.1204970386</v>
      </c>
      <c r="G263" s="51">
        <f t="shared" si="70"/>
        <v>8215462.1204970386</v>
      </c>
      <c r="H263" s="51">
        <f t="shared" si="70"/>
        <v>11701509.393593464</v>
      </c>
      <c r="I263" s="51">
        <f t="shared" si="70"/>
        <v>11699172.236609837</v>
      </c>
      <c r="J263" s="51">
        <f t="shared" si="70"/>
        <v>11699172.236609837</v>
      </c>
      <c r="K263" s="51">
        <f t="shared" si="70"/>
        <v>11699172.236609837</v>
      </c>
      <c r="L263" s="51">
        <f t="shared" si="70"/>
        <v>14537553.349123104</v>
      </c>
      <c r="M263" s="51">
        <f t="shared" si="70"/>
        <v>8215462.1204970386</v>
      </c>
      <c r="N263" s="51">
        <f t="shared" si="70"/>
        <v>8215462.1204970386</v>
      </c>
      <c r="O263" s="51">
        <f t="shared" si="70"/>
        <v>8215462.1204970386</v>
      </c>
      <c r="P263" s="51">
        <f t="shared" si="70"/>
        <v>10129760.546091255</v>
      </c>
      <c r="CY263" s="87"/>
      <c r="CZ263" s="87"/>
      <c r="DA263" s="87"/>
      <c r="DB263" s="87"/>
      <c r="DC263" s="87"/>
      <c r="DD263" s="87"/>
      <c r="DE263" s="87"/>
      <c r="DF263" s="87"/>
      <c r="DG263" s="87"/>
      <c r="DH263" s="87"/>
      <c r="DI263" s="87"/>
      <c r="DJ263" s="87"/>
      <c r="DK263" s="87"/>
      <c r="DL263" s="87"/>
      <c r="DM263" s="87"/>
      <c r="DN263" s="87"/>
      <c r="DO263" s="87"/>
      <c r="DP263" s="87"/>
      <c r="DQ263" s="87"/>
      <c r="DR263" s="87"/>
      <c r="DS263" s="87"/>
      <c r="DT263" s="87"/>
      <c r="DU263" s="87"/>
      <c r="DV263" s="87"/>
      <c r="DW263" s="87"/>
      <c r="DX263" s="87"/>
      <c r="DY263" s="87"/>
      <c r="DZ263" s="87"/>
      <c r="EA263" s="87"/>
      <c r="EB263" s="87"/>
      <c r="EC263" s="87"/>
      <c r="ED263" s="87"/>
      <c r="EE263" s="87"/>
    </row>
    <row r="264" spans="2:135" outlineLevel="1" x14ac:dyDescent="0.25">
      <c r="B264" t="s">
        <v>312</v>
      </c>
      <c r="C264" t="s">
        <v>325</v>
      </c>
      <c r="D264" s="51">
        <f t="shared" ref="D264:P264" si="71">D257*Cost_carbon</f>
        <v>25171573.586538542</v>
      </c>
      <c r="E264" s="51">
        <f t="shared" si="71"/>
        <v>8564113.0451412499</v>
      </c>
      <c r="F264" s="51">
        <f t="shared" si="71"/>
        <v>0</v>
      </c>
      <c r="G264" s="51">
        <f t="shared" si="71"/>
        <v>0</v>
      </c>
      <c r="H264" s="51">
        <f t="shared" si="71"/>
        <v>14893408.358155238</v>
      </c>
      <c r="I264" s="51">
        <f t="shared" si="71"/>
        <v>9306565.2495413814</v>
      </c>
      <c r="J264" s="51">
        <f t="shared" si="71"/>
        <v>0</v>
      </c>
      <c r="K264" s="51">
        <f t="shared" si="71"/>
        <v>0</v>
      </c>
      <c r="L264" s="51">
        <f t="shared" si="71"/>
        <v>21352060.476768453</v>
      </c>
      <c r="M264" s="51">
        <f t="shared" si="71"/>
        <v>8564113.0451412499</v>
      </c>
      <c r="N264" s="51">
        <f t="shared" si="71"/>
        <v>0</v>
      </c>
      <c r="O264" s="51">
        <f t="shared" si="71"/>
        <v>0</v>
      </c>
      <c r="P264" s="51">
        <f t="shared" si="71"/>
        <v>3766564.4193154084</v>
      </c>
      <c r="CY264" s="87"/>
      <c r="CZ264" s="87"/>
      <c r="DA264" s="87"/>
      <c r="DB264" s="87"/>
      <c r="DC264" s="87"/>
      <c r="DD264" s="87"/>
      <c r="DE264" s="87"/>
      <c r="DF264" s="87"/>
      <c r="DG264" s="87"/>
      <c r="DH264" s="87"/>
      <c r="DI264" s="87"/>
      <c r="DJ264" s="87"/>
      <c r="DK264" s="87"/>
      <c r="DL264" s="87"/>
      <c r="DM264" s="87"/>
      <c r="DN264" s="87"/>
      <c r="DO264" s="87"/>
      <c r="DP264" s="87"/>
      <c r="DQ264" s="87"/>
      <c r="DR264" s="87"/>
      <c r="DS264" s="87"/>
      <c r="DT264" s="87"/>
      <c r="DU264" s="87"/>
      <c r="DV264" s="87"/>
      <c r="DW264" s="87"/>
      <c r="DX264" s="87"/>
      <c r="DY264" s="87"/>
      <c r="DZ264" s="87"/>
      <c r="EA264" s="87"/>
      <c r="EB264" s="87"/>
      <c r="EC264" s="87"/>
      <c r="ED264" s="87"/>
      <c r="EE264" s="87"/>
    </row>
    <row r="265" spans="2:135" outlineLevel="1" x14ac:dyDescent="0.25">
      <c r="B265" t="s">
        <v>224</v>
      </c>
      <c r="C265" t="s">
        <v>325</v>
      </c>
      <c r="D265" s="98">
        <f>SUM(D261:D264)</f>
        <v>112605420.64261422</v>
      </c>
      <c r="E265" s="98">
        <f t="shared" ref="E265" si="72">SUM(E261:E264)</f>
        <v>101143461.10547799</v>
      </c>
      <c r="F265" s="98">
        <f t="shared" ref="F265:G265" si="73">SUM(F261:F264)</f>
        <v>100466463.4476807</v>
      </c>
      <c r="G265" s="98">
        <f t="shared" si="73"/>
        <v>91241363.314962327</v>
      </c>
      <c r="H265" s="98">
        <f t="shared" ref="H265" si="74">SUM(H261:H264)</f>
        <v>59654220.52648548</v>
      </c>
      <c r="I265" s="98">
        <f t="shared" ref="I265:O265" si="75">SUM(I261:I264)</f>
        <v>121670974.36549798</v>
      </c>
      <c r="J265" s="98">
        <f t="shared" si="75"/>
        <v>113469748.63388464</v>
      </c>
      <c r="K265" s="98">
        <f t="shared" si="75"/>
        <v>109166460.63323249</v>
      </c>
      <c r="L265" s="98">
        <f t="shared" si="75"/>
        <v>150619057.5854345</v>
      </c>
      <c r="M265" s="98">
        <f t="shared" si="75"/>
        <v>90858590.763595879</v>
      </c>
      <c r="N265" s="98">
        <f t="shared" si="75"/>
        <v>90181593.105798572</v>
      </c>
      <c r="O265" s="98">
        <f t="shared" si="75"/>
        <v>81984980.007268414</v>
      </c>
      <c r="P265" s="98">
        <f>SUM(P261:P264)</f>
        <v>94421244.323534623</v>
      </c>
      <c r="CY265" s="87"/>
      <c r="CZ265" s="87"/>
      <c r="DA265" s="87"/>
      <c r="DB265" s="87"/>
      <c r="DC265" s="87"/>
      <c r="DD265" s="87"/>
      <c r="DE265" s="87"/>
      <c r="DF265" s="87"/>
      <c r="DG265" s="87"/>
      <c r="DH265" s="87"/>
      <c r="DI265" s="87"/>
      <c r="DJ265" s="87"/>
      <c r="DK265" s="87"/>
      <c r="DL265" s="87"/>
      <c r="DM265" s="87"/>
      <c r="DN265" s="87"/>
      <c r="DO265" s="87"/>
      <c r="DP265" s="87"/>
      <c r="DQ265" s="87"/>
      <c r="DR265" s="87"/>
      <c r="DS265" s="87"/>
      <c r="DT265" s="87"/>
      <c r="DU265" s="87"/>
      <c r="DV265" s="87"/>
      <c r="DW265" s="87"/>
      <c r="DX265" s="87"/>
      <c r="DY265" s="87"/>
      <c r="DZ265" s="87"/>
      <c r="EA265" s="87"/>
      <c r="EB265" s="87"/>
      <c r="EC265" s="87"/>
      <c r="ED265" s="87"/>
      <c r="EE265" s="87"/>
    </row>
    <row r="266" spans="2:135" outlineLevel="1" x14ac:dyDescent="0.25">
      <c r="CY266" s="87"/>
      <c r="CZ266" s="87"/>
      <c r="DA266" s="87"/>
      <c r="DB266" s="87"/>
      <c r="DC266" s="87"/>
      <c r="DD266" s="87"/>
      <c r="DE266" s="87"/>
      <c r="DF266" s="87"/>
      <c r="DG266" s="87"/>
      <c r="DH266" s="87"/>
      <c r="DI266" s="87"/>
      <c r="DJ266" s="87"/>
      <c r="DK266" s="87"/>
      <c r="DL266" s="87"/>
      <c r="DM266" s="87"/>
      <c r="DN266" s="87"/>
      <c r="DO266" s="87"/>
      <c r="DP266" s="87"/>
      <c r="DQ266" s="87"/>
      <c r="DR266" s="87"/>
      <c r="DS266" s="87"/>
      <c r="DT266" s="87"/>
      <c r="DU266" s="87"/>
      <c r="DV266" s="87"/>
      <c r="DW266" s="87"/>
      <c r="DX266" s="87"/>
      <c r="DY266" s="87"/>
      <c r="DZ266" s="87"/>
      <c r="EA266" s="87"/>
      <c r="EB266" s="87"/>
      <c r="EC266" s="87"/>
      <c r="ED266" s="87"/>
      <c r="EE266" s="87"/>
    </row>
    <row r="267" spans="2:135" ht="17.25" outlineLevel="1" thickBot="1" x14ac:dyDescent="0.3">
      <c r="B267" s="19" t="s">
        <v>326</v>
      </c>
      <c r="C267" s="19"/>
      <c r="D267" s="96"/>
      <c r="E267" s="96"/>
      <c r="F267" s="96"/>
      <c r="G267" s="96"/>
      <c r="H267" s="96"/>
      <c r="I267" s="96"/>
      <c r="J267" s="96"/>
      <c r="K267" s="96"/>
      <c r="L267" s="96"/>
      <c r="M267" s="96"/>
      <c r="N267" s="96"/>
      <c r="O267" s="96"/>
      <c r="P267" s="96"/>
      <c r="CY267" s="87"/>
      <c r="CZ267" s="87"/>
      <c r="DA267" s="87"/>
      <c r="DB267" s="87"/>
      <c r="DC267" s="87"/>
      <c r="DD267" s="87"/>
      <c r="DE267" s="87"/>
      <c r="DF267" s="87"/>
      <c r="DG267" s="87"/>
      <c r="DH267" s="87"/>
      <c r="DI267" s="87"/>
      <c r="DJ267" s="87"/>
      <c r="DK267" s="87"/>
      <c r="DL267" s="87"/>
      <c r="DM267" s="87"/>
      <c r="DN267" s="87"/>
      <c r="DO267" s="87"/>
      <c r="DP267" s="87"/>
      <c r="DQ267" s="87"/>
      <c r="DR267" s="87"/>
      <c r="DS267" s="87"/>
      <c r="DT267" s="87"/>
      <c r="DU267" s="87"/>
      <c r="DV267" s="87"/>
      <c r="DW267" s="87"/>
      <c r="DX267" s="87"/>
      <c r="DY267" s="87"/>
      <c r="DZ267" s="87"/>
      <c r="EA267" s="87"/>
      <c r="EB267" s="87"/>
      <c r="EC267" s="87"/>
      <c r="ED267" s="87"/>
      <c r="EE267" s="87"/>
    </row>
    <row r="268" spans="2:135" ht="16.5" outlineLevel="1" thickTop="1" thickBot="1" x14ac:dyDescent="0.3">
      <c r="B268" s="20"/>
      <c r="C268" s="20"/>
      <c r="D268" s="101">
        <v>0</v>
      </c>
      <c r="E268" s="102" t="s">
        <v>243</v>
      </c>
      <c r="F268" s="102" t="s">
        <v>247</v>
      </c>
      <c r="G268" s="102" t="s">
        <v>320</v>
      </c>
      <c r="H268" s="102">
        <v>2</v>
      </c>
      <c r="I268" s="102">
        <v>6</v>
      </c>
      <c r="J268" s="102" t="s">
        <v>249</v>
      </c>
      <c r="K268" s="102" t="s">
        <v>321</v>
      </c>
      <c r="L268" s="102" t="s">
        <v>250</v>
      </c>
      <c r="M268" s="102" t="s">
        <v>251</v>
      </c>
      <c r="N268" s="102" t="s">
        <v>253</v>
      </c>
      <c r="O268" s="102" t="s">
        <v>322</v>
      </c>
      <c r="P268" s="102">
        <v>12</v>
      </c>
      <c r="CY268" s="87"/>
      <c r="CZ268" s="87"/>
      <c r="DA268" s="87"/>
      <c r="DB268" s="87"/>
      <c r="DC268" s="87"/>
      <c r="DD268" s="87"/>
      <c r="DE268" s="87"/>
      <c r="DF268" s="87"/>
      <c r="DG268" s="87"/>
      <c r="DH268" s="87"/>
      <c r="DI268" s="87"/>
      <c r="DJ268" s="87"/>
      <c r="DK268" s="87"/>
      <c r="DL268" s="87"/>
      <c r="DM268" s="87"/>
      <c r="DN268" s="87"/>
      <c r="DO268" s="87"/>
      <c r="DP268" s="87"/>
      <c r="DQ268" s="87"/>
      <c r="DR268" s="87"/>
      <c r="DS268" s="87"/>
      <c r="DT268" s="87"/>
      <c r="DU268" s="87"/>
      <c r="DV268" s="87"/>
      <c r="DW268" s="87"/>
      <c r="DX268" s="87"/>
      <c r="DY268" s="87"/>
      <c r="DZ268" s="87"/>
      <c r="EA268" s="87"/>
      <c r="EB268" s="87"/>
      <c r="EC268" s="87"/>
      <c r="ED268" s="87"/>
      <c r="EE268" s="87"/>
    </row>
    <row r="269" spans="2:135" outlineLevel="1" x14ac:dyDescent="0.25">
      <c r="B269" t="s">
        <v>327</v>
      </c>
      <c r="C269" t="s">
        <v>328</v>
      </c>
      <c r="D269" s="104">
        <v>15273000</v>
      </c>
      <c r="E269" s="104">
        <v>16363400</v>
      </c>
      <c r="F269" s="104">
        <v>16857500</v>
      </c>
      <c r="G269" s="104">
        <v>18160800</v>
      </c>
      <c r="H269" s="104">
        <v>20138100</v>
      </c>
      <c r="I269" s="104">
        <v>13274900</v>
      </c>
      <c r="J269" s="104">
        <v>13455500</v>
      </c>
      <c r="K269" s="104">
        <v>16941300</v>
      </c>
      <c r="L269" s="104">
        <v>9066700</v>
      </c>
      <c r="M269" s="104">
        <v>15640900</v>
      </c>
      <c r="N269" s="104">
        <v>17140000</v>
      </c>
      <c r="O269" s="104">
        <v>17140000</v>
      </c>
      <c r="P269" s="104">
        <v>28554600</v>
      </c>
      <c r="CY269" s="87"/>
      <c r="CZ269" s="87"/>
      <c r="DA269" s="87"/>
      <c r="DB269" s="87"/>
      <c r="DC269" s="87"/>
      <c r="DD269" s="87"/>
      <c r="DE269" s="87"/>
      <c r="DF269" s="87"/>
      <c r="DG269" s="87"/>
      <c r="DH269" s="87"/>
      <c r="DI269" s="87"/>
      <c r="DJ269" s="87"/>
      <c r="DK269" s="87"/>
      <c r="DL269" s="87"/>
      <c r="DM269" s="87"/>
      <c r="DN269" s="87"/>
      <c r="DO269" s="87"/>
      <c r="DP269" s="87"/>
      <c r="DQ269" s="87"/>
      <c r="DR269" s="87"/>
      <c r="DS269" s="87"/>
      <c r="DT269" s="87"/>
      <c r="DU269" s="87"/>
      <c r="DV269" s="87"/>
      <c r="DW269" s="87"/>
      <c r="DX269" s="87"/>
      <c r="DY269" s="87"/>
      <c r="DZ269" s="87"/>
      <c r="EA269" s="87"/>
      <c r="EB269" s="87"/>
      <c r="EC269" s="87"/>
      <c r="ED269" s="87"/>
      <c r="EE269" s="87"/>
    </row>
    <row r="270" spans="2:135" outlineLevel="1" x14ac:dyDescent="0.25">
      <c r="B270" t="s">
        <v>327</v>
      </c>
      <c r="C270" t="s">
        <v>329</v>
      </c>
      <c r="D270" s="103">
        <f t="shared" ref="D270:K270" si="76">D269/1000000</f>
        <v>15.273</v>
      </c>
      <c r="E270" s="103">
        <f t="shared" si="76"/>
        <v>16.363399999999999</v>
      </c>
      <c r="F270" s="103">
        <f t="shared" si="76"/>
        <v>16.857500000000002</v>
      </c>
      <c r="G270" s="103">
        <f t="shared" si="76"/>
        <v>18.160799999999998</v>
      </c>
      <c r="H270" s="103">
        <f t="shared" si="76"/>
        <v>20.138100000000001</v>
      </c>
      <c r="I270" s="103">
        <f t="shared" si="76"/>
        <v>13.274900000000001</v>
      </c>
      <c r="J270" s="103">
        <f t="shared" si="76"/>
        <v>13.455500000000001</v>
      </c>
      <c r="K270" s="103">
        <f t="shared" si="76"/>
        <v>16.941299999999998</v>
      </c>
      <c r="L270" s="103">
        <f t="shared" ref="L270:M270" si="77">L269/1000000</f>
        <v>9.0667000000000009</v>
      </c>
      <c r="M270" s="103">
        <f t="shared" si="77"/>
        <v>15.6409</v>
      </c>
      <c r="N270" s="103">
        <f>N269/1000000</f>
        <v>17.14</v>
      </c>
      <c r="O270" s="103">
        <f>O269/1000000</f>
        <v>17.14</v>
      </c>
      <c r="P270" s="103">
        <f>P269/1000000</f>
        <v>28.554600000000001</v>
      </c>
      <c r="CY270" s="87"/>
      <c r="CZ270" s="87"/>
      <c r="DA270" s="87"/>
      <c r="DB270" s="87"/>
      <c r="DC270" s="87"/>
      <c r="DD270" s="87"/>
      <c r="DE270" s="87"/>
      <c r="DF270" s="87"/>
      <c r="DG270" s="87"/>
      <c r="DH270" s="87"/>
      <c r="DI270" s="87"/>
      <c r="DJ270" s="87"/>
      <c r="DK270" s="87"/>
      <c r="DL270" s="87"/>
      <c r="DM270" s="87"/>
      <c r="DN270" s="87"/>
      <c r="DO270" s="87"/>
      <c r="DP270" s="87"/>
      <c r="DQ270" s="87"/>
      <c r="DR270" s="87"/>
      <c r="DS270" s="87"/>
      <c r="DT270" s="87"/>
      <c r="DU270" s="87"/>
      <c r="DV270" s="87"/>
      <c r="DW270" s="87"/>
      <c r="DX270" s="87"/>
      <c r="DY270" s="87"/>
      <c r="DZ270" s="87"/>
      <c r="EA270" s="87"/>
      <c r="EB270" s="87"/>
      <c r="EC270" s="87"/>
      <c r="ED270" s="87"/>
      <c r="EE270" s="87"/>
    </row>
    <row r="271" spans="2:135" outlineLevel="1" x14ac:dyDescent="0.25">
      <c r="CY271" s="87"/>
      <c r="CZ271" s="87"/>
      <c r="DA271" s="87"/>
      <c r="DB271" s="87"/>
      <c r="DC271" s="87"/>
      <c r="DD271" s="87"/>
      <c r="DE271" s="87"/>
      <c r="DF271" s="87"/>
      <c r="DG271" s="87"/>
      <c r="DH271" s="87"/>
      <c r="DI271" s="87"/>
      <c r="DJ271" s="87"/>
      <c r="DK271" s="87"/>
      <c r="DL271" s="87"/>
      <c r="DM271" s="87"/>
      <c r="DN271" s="87"/>
      <c r="DO271" s="87"/>
      <c r="DP271" s="87"/>
      <c r="DQ271" s="87"/>
      <c r="DR271" s="87"/>
      <c r="DS271" s="87"/>
      <c r="DT271" s="87"/>
      <c r="DU271" s="87"/>
      <c r="DV271" s="87"/>
      <c r="DW271" s="87"/>
      <c r="DX271" s="87"/>
      <c r="DY271" s="87"/>
      <c r="DZ271" s="87"/>
      <c r="EA271" s="87"/>
      <c r="EB271" s="87"/>
      <c r="EC271" s="87"/>
      <c r="ED271" s="87"/>
      <c r="EE271" s="87"/>
    </row>
    <row r="272" spans="2:135" ht="17.25" outlineLevel="1" thickBot="1" x14ac:dyDescent="0.3">
      <c r="B272" s="19" t="s">
        <v>330</v>
      </c>
      <c r="C272" s="19"/>
      <c r="D272" s="96"/>
      <c r="E272" s="96"/>
      <c r="F272" s="96"/>
      <c r="G272" s="96"/>
      <c r="H272" s="96"/>
      <c r="I272" s="96"/>
      <c r="J272" s="96"/>
      <c r="K272" s="96"/>
      <c r="L272" s="96"/>
      <c r="M272" s="96"/>
      <c r="N272" s="96"/>
      <c r="O272" s="96"/>
      <c r="P272" s="96"/>
      <c r="CY272" s="87"/>
      <c r="CZ272" s="87"/>
      <c r="DA272" s="87"/>
      <c r="DB272" s="87"/>
      <c r="DC272" s="87"/>
      <c r="DD272" s="87"/>
      <c r="DE272" s="87"/>
      <c r="DF272" s="87"/>
      <c r="DG272" s="87"/>
      <c r="DH272" s="87"/>
      <c r="DI272" s="87"/>
      <c r="DJ272" s="87"/>
      <c r="DK272" s="87"/>
      <c r="DL272" s="87"/>
      <c r="DM272" s="87"/>
      <c r="DN272" s="87"/>
      <c r="DO272" s="87"/>
      <c r="DP272" s="87"/>
      <c r="DQ272" s="87"/>
      <c r="DR272" s="87"/>
      <c r="DS272" s="87"/>
      <c r="DT272" s="87"/>
      <c r="DU272" s="87"/>
      <c r="DV272" s="87"/>
      <c r="DW272" s="87"/>
      <c r="DX272" s="87"/>
      <c r="DY272" s="87"/>
      <c r="DZ272" s="87"/>
      <c r="EA272" s="87"/>
      <c r="EB272" s="87"/>
      <c r="EC272" s="87"/>
      <c r="ED272" s="87"/>
      <c r="EE272" s="87"/>
    </row>
    <row r="273" spans="2:135" ht="16.5" outlineLevel="1" thickTop="1" thickBot="1" x14ac:dyDescent="0.3">
      <c r="B273" s="20"/>
      <c r="C273" s="20"/>
      <c r="D273" s="101">
        <v>0</v>
      </c>
      <c r="E273" s="102" t="s">
        <v>243</v>
      </c>
      <c r="F273" s="102" t="s">
        <v>247</v>
      </c>
      <c r="G273" s="102" t="s">
        <v>320</v>
      </c>
      <c r="H273" s="102">
        <v>2</v>
      </c>
      <c r="I273" s="102">
        <v>6</v>
      </c>
      <c r="J273" s="102" t="s">
        <v>249</v>
      </c>
      <c r="K273" s="102" t="s">
        <v>321</v>
      </c>
      <c r="L273" s="102" t="s">
        <v>250</v>
      </c>
      <c r="M273" s="102" t="s">
        <v>251</v>
      </c>
      <c r="N273" s="102" t="s">
        <v>253</v>
      </c>
      <c r="O273" s="102" t="s">
        <v>322</v>
      </c>
      <c r="P273" s="102">
        <v>12</v>
      </c>
      <c r="CY273" s="87"/>
      <c r="CZ273" s="87"/>
      <c r="DA273" s="87"/>
      <c r="DB273" s="87"/>
      <c r="DC273" s="87"/>
      <c r="DD273" s="87"/>
      <c r="DE273" s="87"/>
      <c r="DF273" s="87"/>
      <c r="DG273" s="87"/>
      <c r="DH273" s="87"/>
      <c r="DI273" s="87"/>
      <c r="DJ273" s="87"/>
      <c r="DK273" s="87"/>
      <c r="DL273" s="87"/>
      <c r="DM273" s="87"/>
      <c r="DN273" s="87"/>
      <c r="DO273" s="87"/>
      <c r="DP273" s="87"/>
      <c r="DQ273" s="87"/>
      <c r="DR273" s="87"/>
      <c r="DS273" s="87"/>
      <c r="DT273" s="87"/>
      <c r="DU273" s="87"/>
      <c r="DV273" s="87"/>
      <c r="DW273" s="87"/>
      <c r="DX273" s="87"/>
      <c r="DY273" s="87"/>
      <c r="DZ273" s="87"/>
      <c r="EA273" s="87"/>
      <c r="EB273" s="87"/>
      <c r="EC273" s="87"/>
      <c r="ED273" s="87"/>
      <c r="EE273" s="87"/>
    </row>
    <row r="274" spans="2:135" outlineLevel="1" x14ac:dyDescent="0.25">
      <c r="B274" t="s">
        <v>141</v>
      </c>
      <c r="C274" t="s">
        <v>329</v>
      </c>
      <c r="D274" s="103">
        <f>D261/1000000</f>
        <v>17.022268601189666</v>
      </c>
      <c r="E274" s="103">
        <f t="shared" ref="E274:H274" si="78">E261/1000000</f>
        <v>65.353891763364544</v>
      </c>
      <c r="F274" s="103">
        <f t="shared" si="78"/>
        <v>92.251001327183658</v>
      </c>
      <c r="G274" s="103">
        <f t="shared" si="78"/>
        <v>83.025901194465291</v>
      </c>
      <c r="H274" s="103">
        <f t="shared" si="78"/>
        <v>0</v>
      </c>
      <c r="I274" s="103">
        <f t="shared" ref="I274:O274" si="79">I261/1000000</f>
        <v>80.007201392865184</v>
      </c>
      <c r="J274" s="103">
        <f t="shared" si="79"/>
        <v>101.77057639727481</v>
      </c>
      <c r="K274" s="103">
        <f t="shared" si="79"/>
        <v>97.467288396622664</v>
      </c>
      <c r="L274" s="103">
        <f t="shared" si="79"/>
        <v>67.333695574107935</v>
      </c>
      <c r="M274" s="103">
        <f t="shared" si="79"/>
        <v>55.069021421482432</v>
      </c>
      <c r="N274" s="103">
        <f t="shared" si="79"/>
        <v>81.966130985301533</v>
      </c>
      <c r="O274" s="103">
        <f t="shared" si="79"/>
        <v>73.769517886771382</v>
      </c>
      <c r="P274" s="103">
        <f>P261/1000000</f>
        <v>72.16417408315435</v>
      </c>
      <c r="CY274" s="87"/>
      <c r="CZ274" s="87"/>
      <c r="DA274" s="87"/>
      <c r="DB274" s="87"/>
      <c r="DC274" s="87"/>
      <c r="DD274" s="87"/>
      <c r="DE274" s="87"/>
      <c r="DF274" s="87"/>
      <c r="DG274" s="87"/>
      <c r="DH274" s="87"/>
      <c r="DI274" s="87"/>
      <c r="DJ274" s="87"/>
      <c r="DK274" s="87"/>
      <c r="DL274" s="87"/>
      <c r="DM274" s="87"/>
      <c r="DN274" s="87"/>
      <c r="DO274" s="87"/>
      <c r="DP274" s="87"/>
      <c r="DQ274" s="87"/>
      <c r="DR274" s="87"/>
      <c r="DS274" s="87"/>
      <c r="DT274" s="87"/>
      <c r="DU274" s="87"/>
      <c r="DV274" s="87"/>
      <c r="DW274" s="87"/>
      <c r="DX274" s="87"/>
      <c r="DY274" s="87"/>
      <c r="DZ274" s="87"/>
      <c r="EA274" s="87"/>
      <c r="EB274" s="87"/>
      <c r="EC274" s="87"/>
      <c r="ED274" s="87"/>
      <c r="EE274" s="87"/>
    </row>
    <row r="275" spans="2:135" outlineLevel="1" x14ac:dyDescent="0.25">
      <c r="B275" t="s">
        <v>136</v>
      </c>
      <c r="C275" t="s">
        <v>329</v>
      </c>
      <c r="D275" s="103">
        <f t="shared" ref="D275:H275" si="80">D262/1000000</f>
        <v>55.874025105762904</v>
      </c>
      <c r="E275" s="103">
        <f t="shared" si="80"/>
        <v>19.009994176475164</v>
      </c>
      <c r="F275" s="103">
        <f t="shared" si="80"/>
        <v>0</v>
      </c>
      <c r="G275" s="103">
        <f t="shared" si="80"/>
        <v>0</v>
      </c>
      <c r="H275" s="103">
        <f t="shared" si="80"/>
        <v>33.059302774736778</v>
      </c>
      <c r="I275" s="103">
        <f t="shared" ref="I275:O275" si="81">I262/1000000</f>
        <v>20.658035486481584</v>
      </c>
      <c r="J275" s="103">
        <f t="shared" si="81"/>
        <v>0</v>
      </c>
      <c r="K275" s="103">
        <f t="shared" si="81"/>
        <v>0</v>
      </c>
      <c r="L275" s="103">
        <f t="shared" si="81"/>
        <v>47.395748185435018</v>
      </c>
      <c r="M275" s="103">
        <f t="shared" si="81"/>
        <v>19.009994176475164</v>
      </c>
      <c r="N275" s="103">
        <f t="shared" si="81"/>
        <v>0</v>
      </c>
      <c r="O275" s="103">
        <f t="shared" si="81"/>
        <v>0</v>
      </c>
      <c r="P275" s="103">
        <f>P262/1000000</f>
        <v>8.3607452749735991</v>
      </c>
      <c r="CY275" s="87"/>
      <c r="CZ275" s="87"/>
      <c r="DA275" s="87"/>
      <c r="DB275" s="87"/>
      <c r="DC275" s="87"/>
      <c r="DD275" s="87"/>
      <c r="DE275" s="87"/>
      <c r="DF275" s="87"/>
      <c r="DG275" s="87"/>
      <c r="DH275" s="87"/>
      <c r="DI275" s="87"/>
      <c r="DJ275" s="87"/>
      <c r="DK275" s="87"/>
      <c r="DL275" s="87"/>
      <c r="DM275" s="87"/>
      <c r="DN275" s="87"/>
      <c r="DO275" s="87"/>
      <c r="DP275" s="87"/>
      <c r="DQ275" s="87"/>
      <c r="DR275" s="87"/>
      <c r="DS275" s="87"/>
      <c r="DT275" s="87"/>
      <c r="DU275" s="87"/>
      <c r="DV275" s="87"/>
      <c r="DW275" s="87"/>
      <c r="DX275" s="87"/>
      <c r="DY275" s="87"/>
      <c r="DZ275" s="87"/>
      <c r="EA275" s="87"/>
      <c r="EB275" s="87"/>
      <c r="EC275" s="87"/>
      <c r="ED275" s="87"/>
      <c r="EE275" s="87"/>
    </row>
    <row r="276" spans="2:135" outlineLevel="1" x14ac:dyDescent="0.25">
      <c r="B276" t="s">
        <v>154</v>
      </c>
      <c r="C276" t="s">
        <v>329</v>
      </c>
      <c r="D276" s="103">
        <f t="shared" ref="D276:H276" si="82">D263/1000000</f>
        <v>14.537553349123103</v>
      </c>
      <c r="E276" s="103">
        <f t="shared" si="82"/>
        <v>8.2154621204970386</v>
      </c>
      <c r="F276" s="103">
        <f t="shared" si="82"/>
        <v>8.2154621204970386</v>
      </c>
      <c r="G276" s="103">
        <f t="shared" si="82"/>
        <v>8.2154621204970386</v>
      </c>
      <c r="H276" s="103">
        <f t="shared" si="82"/>
        <v>11.701509393593463</v>
      </c>
      <c r="I276" s="103">
        <f t="shared" ref="I276:O276" si="83">I263/1000000</f>
        <v>11.699172236609837</v>
      </c>
      <c r="J276" s="103">
        <f t="shared" si="83"/>
        <v>11.699172236609837</v>
      </c>
      <c r="K276" s="103">
        <f t="shared" si="83"/>
        <v>11.699172236609837</v>
      </c>
      <c r="L276" s="103">
        <f t="shared" si="83"/>
        <v>14.537553349123103</v>
      </c>
      <c r="M276" s="103">
        <f t="shared" si="83"/>
        <v>8.2154621204970386</v>
      </c>
      <c r="N276" s="103">
        <f t="shared" si="83"/>
        <v>8.2154621204970386</v>
      </c>
      <c r="O276" s="103">
        <f t="shared" si="83"/>
        <v>8.2154621204970386</v>
      </c>
      <c r="P276" s="103">
        <f>P263/1000000</f>
        <v>10.129760546091255</v>
      </c>
      <c r="CY276" s="87"/>
      <c r="CZ276" s="87"/>
      <c r="DA276" s="87"/>
      <c r="DB276" s="87"/>
      <c r="DC276" s="87"/>
      <c r="DD276" s="87"/>
      <c r="DE276" s="87"/>
      <c r="DF276" s="87"/>
      <c r="DG276" s="87"/>
      <c r="DH276" s="87"/>
      <c r="DI276" s="87"/>
      <c r="DJ276" s="87"/>
      <c r="DK276" s="87"/>
      <c r="DL276" s="87"/>
      <c r="DM276" s="87"/>
      <c r="DN276" s="87"/>
      <c r="DO276" s="87"/>
      <c r="DP276" s="87"/>
      <c r="DQ276" s="87"/>
      <c r="DR276" s="87"/>
      <c r="DS276" s="87"/>
      <c r="DT276" s="87"/>
      <c r="DU276" s="87"/>
      <c r="DV276" s="87"/>
      <c r="DW276" s="87"/>
      <c r="DX276" s="87"/>
      <c r="DY276" s="87"/>
      <c r="DZ276" s="87"/>
      <c r="EA276" s="87"/>
      <c r="EB276" s="87"/>
      <c r="EC276" s="87"/>
      <c r="ED276" s="87"/>
      <c r="EE276" s="87"/>
    </row>
    <row r="277" spans="2:135" outlineLevel="1" x14ac:dyDescent="0.25">
      <c r="B277" t="s">
        <v>312</v>
      </c>
      <c r="C277" t="s">
        <v>329</v>
      </c>
      <c r="D277" s="103">
        <f t="shared" ref="D277:H277" si="84">D264/1000000</f>
        <v>25.171573586538543</v>
      </c>
      <c r="E277" s="103">
        <f t="shared" si="84"/>
        <v>8.5641130451412497</v>
      </c>
      <c r="F277" s="103">
        <f t="shared" si="84"/>
        <v>0</v>
      </c>
      <c r="G277" s="103">
        <f t="shared" si="84"/>
        <v>0</v>
      </c>
      <c r="H277" s="103">
        <f t="shared" si="84"/>
        <v>14.893408358155238</v>
      </c>
      <c r="I277" s="103">
        <f t="shared" ref="I277:O277" si="85">I264/1000000</f>
        <v>9.3065652495413822</v>
      </c>
      <c r="J277" s="103">
        <f t="shared" si="85"/>
        <v>0</v>
      </c>
      <c r="K277" s="103">
        <f t="shared" si="85"/>
        <v>0</v>
      </c>
      <c r="L277" s="103">
        <f t="shared" si="85"/>
        <v>21.352060476768454</v>
      </c>
      <c r="M277" s="103">
        <f t="shared" si="85"/>
        <v>8.5641130451412497</v>
      </c>
      <c r="N277" s="103">
        <f t="shared" si="85"/>
        <v>0</v>
      </c>
      <c r="O277" s="103">
        <f t="shared" si="85"/>
        <v>0</v>
      </c>
      <c r="P277" s="103">
        <f>P264/1000000</f>
        <v>3.7665644193154084</v>
      </c>
      <c r="CY277" s="87"/>
      <c r="CZ277" s="87"/>
      <c r="DA277" s="87"/>
      <c r="DB277" s="87"/>
      <c r="DC277" s="87"/>
      <c r="DD277" s="87"/>
      <c r="DE277" s="87"/>
      <c r="DF277" s="87"/>
      <c r="DG277" s="87"/>
      <c r="DH277" s="87"/>
      <c r="DI277" s="87"/>
      <c r="DJ277" s="87"/>
      <c r="DK277" s="87"/>
      <c r="DL277" s="87"/>
      <c r="DM277" s="87"/>
      <c r="DN277" s="87"/>
      <c r="DO277" s="87"/>
      <c r="DP277" s="87"/>
      <c r="DQ277" s="87"/>
      <c r="DR277" s="87"/>
      <c r="DS277" s="87"/>
      <c r="DT277" s="87"/>
      <c r="DU277" s="87"/>
      <c r="DV277" s="87"/>
      <c r="DW277" s="87"/>
      <c r="DX277" s="87"/>
      <c r="DY277" s="87"/>
      <c r="DZ277" s="87"/>
      <c r="EA277" s="87"/>
      <c r="EB277" s="87"/>
      <c r="EC277" s="87"/>
      <c r="ED277" s="87"/>
      <c r="EE277" s="87"/>
    </row>
    <row r="278" spans="2:135" outlineLevel="1" x14ac:dyDescent="0.25">
      <c r="B278" t="s">
        <v>224</v>
      </c>
      <c r="C278" t="s">
        <v>329</v>
      </c>
      <c r="D278" s="109">
        <f t="shared" ref="D278:H278" si="86">D265/1000000</f>
        <v>112.60542064261422</v>
      </c>
      <c r="E278" s="109">
        <f t="shared" si="86"/>
        <v>101.14346110547798</v>
      </c>
      <c r="F278" s="109">
        <f t="shared" si="86"/>
        <v>100.4664634476807</v>
      </c>
      <c r="G278" s="109">
        <f t="shared" si="86"/>
        <v>91.241363314962328</v>
      </c>
      <c r="H278" s="109">
        <f t="shared" si="86"/>
        <v>59.654220526485481</v>
      </c>
      <c r="I278" s="109">
        <f t="shared" ref="I278:O278" si="87">I265/1000000</f>
        <v>121.67097436549798</v>
      </c>
      <c r="J278" s="109">
        <f t="shared" si="87"/>
        <v>113.46974863388463</v>
      </c>
      <c r="K278" s="109">
        <f t="shared" si="87"/>
        <v>109.16646063323249</v>
      </c>
      <c r="L278" s="109">
        <f t="shared" si="87"/>
        <v>150.61905758543449</v>
      </c>
      <c r="M278" s="109">
        <f t="shared" si="87"/>
        <v>90.858590763595885</v>
      </c>
      <c r="N278" s="109">
        <f t="shared" si="87"/>
        <v>90.181593105798569</v>
      </c>
      <c r="O278" s="109">
        <f t="shared" si="87"/>
        <v>81.984980007268419</v>
      </c>
      <c r="P278" s="109">
        <f>P265/1000000</f>
        <v>94.421244323534623</v>
      </c>
      <c r="CY278" s="87"/>
      <c r="CZ278" s="87"/>
      <c r="DA278" s="87"/>
      <c r="DB278" s="87"/>
      <c r="DC278" s="87"/>
      <c r="DD278" s="87"/>
      <c r="DE278" s="87"/>
      <c r="DF278" s="87"/>
      <c r="DG278" s="87"/>
      <c r="DH278" s="87"/>
      <c r="DI278" s="87"/>
      <c r="DJ278" s="87"/>
      <c r="DK278" s="87"/>
      <c r="DL278" s="87"/>
      <c r="DM278" s="87"/>
      <c r="DN278" s="87"/>
      <c r="DO278" s="87"/>
      <c r="DP278" s="87"/>
      <c r="DQ278" s="87"/>
      <c r="DR278" s="87"/>
      <c r="DS278" s="87"/>
      <c r="DT278" s="87"/>
      <c r="DU278" s="87"/>
      <c r="DV278" s="87"/>
      <c r="DW278" s="87"/>
      <c r="DX278" s="87"/>
      <c r="DY278" s="87"/>
      <c r="DZ278" s="87"/>
      <c r="EA278" s="87"/>
      <c r="EB278" s="87"/>
      <c r="EC278" s="87"/>
      <c r="ED278" s="87"/>
      <c r="EE278" s="87"/>
    </row>
    <row r="279" spans="2:135" outlineLevel="1" x14ac:dyDescent="0.25">
      <c r="CY279" s="87"/>
      <c r="CZ279" s="87"/>
      <c r="DA279" s="87"/>
      <c r="DB279" s="87"/>
      <c r="DC279" s="87"/>
      <c r="DD279" s="87"/>
      <c r="DE279" s="87"/>
      <c r="DF279" s="87"/>
      <c r="DG279" s="87"/>
      <c r="DH279" s="87"/>
      <c r="DI279" s="87"/>
      <c r="DJ279" s="87"/>
      <c r="DK279" s="87"/>
      <c r="DL279" s="87"/>
      <c r="DM279" s="87"/>
      <c r="DN279" s="87"/>
      <c r="DO279" s="87"/>
      <c r="DP279" s="87"/>
      <c r="DQ279" s="87"/>
      <c r="DR279" s="87"/>
      <c r="DS279" s="87"/>
      <c r="DT279" s="87"/>
      <c r="DU279" s="87"/>
      <c r="DV279" s="87"/>
      <c r="DW279" s="87"/>
      <c r="DX279" s="87"/>
      <c r="DY279" s="87"/>
      <c r="DZ279" s="87"/>
      <c r="EA279" s="87"/>
      <c r="EB279" s="87"/>
      <c r="EC279" s="87"/>
      <c r="ED279" s="87"/>
      <c r="EE279" s="87"/>
    </row>
    <row r="280" spans="2:135" ht="17.25" outlineLevel="1" thickBot="1" x14ac:dyDescent="0.3">
      <c r="B280" s="19" t="s">
        <v>331</v>
      </c>
      <c r="C280" s="19"/>
      <c r="D280" s="96"/>
      <c r="E280" s="96"/>
      <c r="F280" s="96"/>
      <c r="G280" s="96"/>
      <c r="H280" s="96"/>
      <c r="I280" s="96"/>
      <c r="J280" s="96"/>
      <c r="K280" s="96"/>
      <c r="L280" s="96"/>
      <c r="M280" s="96"/>
      <c r="N280" s="96"/>
      <c r="O280" s="96"/>
      <c r="P280" s="96"/>
      <c r="CY280" s="87"/>
      <c r="CZ280" s="87"/>
      <c r="DA280" s="87"/>
      <c r="DB280" s="87"/>
      <c r="DC280" s="87"/>
      <c r="DD280" s="87"/>
      <c r="DE280" s="87"/>
      <c r="DF280" s="87"/>
      <c r="DG280" s="87"/>
      <c r="DH280" s="87"/>
      <c r="DI280" s="87"/>
      <c r="DJ280" s="87"/>
      <c r="DK280" s="87"/>
      <c r="DL280" s="87"/>
      <c r="DM280" s="87"/>
      <c r="DN280" s="87"/>
      <c r="DO280" s="87"/>
      <c r="DP280" s="87"/>
      <c r="DQ280" s="87"/>
      <c r="DR280" s="87"/>
      <c r="DS280" s="87"/>
      <c r="DT280" s="87"/>
      <c r="DU280" s="87"/>
      <c r="DV280" s="87"/>
      <c r="DW280" s="87"/>
      <c r="DX280" s="87"/>
      <c r="DY280" s="87"/>
      <c r="DZ280" s="87"/>
      <c r="EA280" s="87"/>
      <c r="EB280" s="87"/>
      <c r="EC280" s="87"/>
      <c r="ED280" s="87"/>
      <c r="EE280" s="87"/>
    </row>
    <row r="281" spans="2:135" ht="16.5" outlineLevel="1" thickTop="1" thickBot="1" x14ac:dyDescent="0.3">
      <c r="B281" s="20"/>
      <c r="C281" s="20"/>
      <c r="D281" s="101">
        <v>0</v>
      </c>
      <c r="E281" s="102" t="s">
        <v>243</v>
      </c>
      <c r="F281" s="102" t="s">
        <v>247</v>
      </c>
      <c r="G281" s="102" t="s">
        <v>320</v>
      </c>
      <c r="H281" s="102">
        <v>2</v>
      </c>
      <c r="I281" s="102">
        <v>6</v>
      </c>
      <c r="J281" s="102" t="s">
        <v>249</v>
      </c>
      <c r="K281" s="102" t="s">
        <v>321</v>
      </c>
      <c r="L281" s="102" t="s">
        <v>250</v>
      </c>
      <c r="M281" s="102" t="s">
        <v>251</v>
      </c>
      <c r="N281" s="102" t="s">
        <v>253</v>
      </c>
      <c r="O281" s="102" t="s">
        <v>322</v>
      </c>
      <c r="P281" s="102">
        <v>12</v>
      </c>
      <c r="CY281" s="87"/>
      <c r="CZ281" s="87"/>
      <c r="DA281" s="87"/>
      <c r="DB281" s="87"/>
      <c r="DC281" s="87"/>
      <c r="DD281" s="87"/>
      <c r="DE281" s="87"/>
      <c r="DF281" s="87"/>
      <c r="DG281" s="87"/>
      <c r="DH281" s="87"/>
      <c r="DI281" s="87"/>
      <c r="DJ281" s="87"/>
      <c r="DK281" s="87"/>
      <c r="DL281" s="87"/>
      <c r="DM281" s="87"/>
      <c r="DN281" s="87"/>
      <c r="DO281" s="87"/>
      <c r="DP281" s="87"/>
      <c r="DQ281" s="87"/>
      <c r="DR281" s="87"/>
      <c r="DS281" s="87"/>
      <c r="DT281" s="87"/>
      <c r="DU281" s="87"/>
      <c r="DV281" s="87"/>
      <c r="DW281" s="87"/>
      <c r="DX281" s="87"/>
      <c r="DY281" s="87"/>
      <c r="DZ281" s="87"/>
      <c r="EA281" s="87"/>
      <c r="EB281" s="87"/>
      <c r="EC281" s="87"/>
      <c r="ED281" s="87"/>
      <c r="EE281" s="87"/>
    </row>
    <row r="282" spans="2:135" outlineLevel="1" x14ac:dyDescent="0.25">
      <c r="B282" t="s">
        <v>141</v>
      </c>
      <c r="C282" t="s">
        <v>329</v>
      </c>
      <c r="D282" s="110">
        <f>D274</f>
        <v>17.022268601189666</v>
      </c>
      <c r="E282" s="110">
        <f t="shared" ref="E282:P282" si="88">E274</f>
        <v>65.353891763364544</v>
      </c>
      <c r="F282" s="110">
        <f t="shared" si="88"/>
        <v>92.251001327183658</v>
      </c>
      <c r="G282" s="110">
        <f t="shared" si="88"/>
        <v>83.025901194465291</v>
      </c>
      <c r="H282" s="110">
        <f t="shared" si="88"/>
        <v>0</v>
      </c>
      <c r="I282" s="110">
        <f t="shared" si="88"/>
        <v>80.007201392865184</v>
      </c>
      <c r="J282" s="110">
        <f t="shared" si="88"/>
        <v>101.77057639727481</v>
      </c>
      <c r="K282" s="110">
        <f t="shared" si="88"/>
        <v>97.467288396622664</v>
      </c>
      <c r="L282" s="110">
        <f t="shared" si="88"/>
        <v>67.333695574107935</v>
      </c>
      <c r="M282" s="110">
        <f t="shared" si="88"/>
        <v>55.069021421482432</v>
      </c>
      <c r="N282" s="110">
        <f t="shared" si="88"/>
        <v>81.966130985301533</v>
      </c>
      <c r="O282" s="110">
        <f t="shared" si="88"/>
        <v>73.769517886771382</v>
      </c>
      <c r="P282" s="110">
        <f t="shared" si="88"/>
        <v>72.16417408315435</v>
      </c>
      <c r="CY282" s="87"/>
      <c r="CZ282" s="87"/>
      <c r="DA282" s="87"/>
      <c r="DB282" s="87"/>
      <c r="DC282" s="87"/>
      <c r="DD282" s="87"/>
      <c r="DE282" s="87"/>
      <c r="DF282" s="87"/>
      <c r="DG282" s="87"/>
      <c r="DH282" s="87"/>
      <c r="DI282" s="87"/>
      <c r="DJ282" s="87"/>
      <c r="DK282" s="87"/>
      <c r="DL282" s="87"/>
      <c r="DM282" s="87"/>
      <c r="DN282" s="87"/>
      <c r="DO282" s="87"/>
      <c r="DP282" s="87"/>
      <c r="DQ282" s="87"/>
      <c r="DR282" s="87"/>
      <c r="DS282" s="87"/>
      <c r="DT282" s="87"/>
      <c r="DU282" s="87"/>
      <c r="DV282" s="87"/>
      <c r="DW282" s="87"/>
      <c r="DX282" s="87"/>
      <c r="DY282" s="87"/>
      <c r="DZ282" s="87"/>
      <c r="EA282" s="87"/>
      <c r="EB282" s="87"/>
      <c r="EC282" s="87"/>
      <c r="ED282" s="87"/>
      <c r="EE282" s="87"/>
    </row>
    <row r="283" spans="2:135" outlineLevel="1" x14ac:dyDescent="0.25">
      <c r="B283" t="s">
        <v>136</v>
      </c>
      <c r="C283" t="s">
        <v>329</v>
      </c>
      <c r="D283" s="110">
        <f t="shared" ref="D283" si="89">D275</f>
        <v>55.874025105762904</v>
      </c>
      <c r="E283" s="110">
        <f t="shared" ref="E283:P283" si="90">E275</f>
        <v>19.009994176475164</v>
      </c>
      <c r="F283" s="110">
        <f t="shared" si="90"/>
        <v>0</v>
      </c>
      <c r="G283" s="110">
        <f t="shared" si="90"/>
        <v>0</v>
      </c>
      <c r="H283" s="110">
        <f t="shared" si="90"/>
        <v>33.059302774736778</v>
      </c>
      <c r="I283" s="110">
        <f t="shared" si="90"/>
        <v>20.658035486481584</v>
      </c>
      <c r="J283" s="110">
        <f t="shared" si="90"/>
        <v>0</v>
      </c>
      <c r="K283" s="110">
        <f t="shared" si="90"/>
        <v>0</v>
      </c>
      <c r="L283" s="110">
        <f t="shared" si="90"/>
        <v>47.395748185435018</v>
      </c>
      <c r="M283" s="110">
        <f t="shared" si="90"/>
        <v>19.009994176475164</v>
      </c>
      <c r="N283" s="110">
        <f t="shared" si="90"/>
        <v>0</v>
      </c>
      <c r="O283" s="110">
        <f t="shared" si="90"/>
        <v>0</v>
      </c>
      <c r="P283" s="110">
        <f t="shared" si="90"/>
        <v>8.3607452749735991</v>
      </c>
      <c r="CY283" s="87"/>
      <c r="CZ283" s="87"/>
      <c r="DA283" s="87"/>
      <c r="DB283" s="87"/>
      <c r="DC283" s="87"/>
      <c r="DD283" s="87"/>
      <c r="DE283" s="87"/>
      <c r="DF283" s="87"/>
      <c r="DG283" s="87"/>
      <c r="DH283" s="87"/>
      <c r="DI283" s="87"/>
      <c r="DJ283" s="87"/>
      <c r="DK283" s="87"/>
      <c r="DL283" s="87"/>
      <c r="DM283" s="87"/>
      <c r="DN283" s="87"/>
      <c r="DO283" s="87"/>
      <c r="DP283" s="87"/>
      <c r="DQ283" s="87"/>
      <c r="DR283" s="87"/>
      <c r="DS283" s="87"/>
      <c r="DT283" s="87"/>
      <c r="DU283" s="87"/>
      <c r="DV283" s="87"/>
      <c r="DW283" s="87"/>
      <c r="DX283" s="87"/>
      <c r="DY283" s="87"/>
      <c r="DZ283" s="87"/>
      <c r="EA283" s="87"/>
      <c r="EB283" s="87"/>
      <c r="EC283" s="87"/>
      <c r="ED283" s="87"/>
      <c r="EE283" s="87"/>
    </row>
    <row r="284" spans="2:135" outlineLevel="1" x14ac:dyDescent="0.25">
      <c r="B284" t="s">
        <v>154</v>
      </c>
      <c r="C284" t="s">
        <v>329</v>
      </c>
      <c r="D284" s="110">
        <f t="shared" ref="D284" si="91">D276</f>
        <v>14.537553349123103</v>
      </c>
      <c r="E284" s="110">
        <f t="shared" ref="E284:P284" si="92">E276</f>
        <v>8.2154621204970386</v>
      </c>
      <c r="F284" s="110">
        <f t="shared" si="92"/>
        <v>8.2154621204970386</v>
      </c>
      <c r="G284" s="110">
        <f t="shared" si="92"/>
        <v>8.2154621204970386</v>
      </c>
      <c r="H284" s="110">
        <f t="shared" si="92"/>
        <v>11.701509393593463</v>
      </c>
      <c r="I284" s="110">
        <f t="shared" si="92"/>
        <v>11.699172236609837</v>
      </c>
      <c r="J284" s="110">
        <f t="shared" si="92"/>
        <v>11.699172236609837</v>
      </c>
      <c r="K284" s="110">
        <f t="shared" si="92"/>
        <v>11.699172236609837</v>
      </c>
      <c r="L284" s="110">
        <f t="shared" si="92"/>
        <v>14.537553349123103</v>
      </c>
      <c r="M284" s="110">
        <f t="shared" si="92"/>
        <v>8.2154621204970386</v>
      </c>
      <c r="N284" s="110">
        <f t="shared" si="92"/>
        <v>8.2154621204970386</v>
      </c>
      <c r="O284" s="110">
        <f t="shared" si="92"/>
        <v>8.2154621204970386</v>
      </c>
      <c r="P284" s="110">
        <f t="shared" si="92"/>
        <v>10.129760546091255</v>
      </c>
      <c r="CY284" s="87"/>
      <c r="CZ284" s="87"/>
      <c r="DA284" s="87"/>
      <c r="DB284" s="87"/>
      <c r="DC284" s="87"/>
      <c r="DD284" s="87"/>
      <c r="DE284" s="87"/>
      <c r="DF284" s="87"/>
      <c r="DG284" s="87"/>
      <c r="DH284" s="87"/>
      <c r="DI284" s="87"/>
      <c r="DJ284" s="87"/>
      <c r="DK284" s="87"/>
      <c r="DL284" s="87"/>
      <c r="DM284" s="87"/>
      <c r="DN284" s="87"/>
      <c r="DO284" s="87"/>
      <c r="DP284" s="87"/>
      <c r="DQ284" s="87"/>
      <c r="DR284" s="87"/>
      <c r="DS284" s="87"/>
      <c r="DT284" s="87"/>
      <c r="DU284" s="87"/>
      <c r="DV284" s="87"/>
      <c r="DW284" s="87"/>
      <c r="DX284" s="87"/>
      <c r="DY284" s="87"/>
      <c r="DZ284" s="87"/>
      <c r="EA284" s="87"/>
      <c r="EB284" s="87"/>
      <c r="EC284" s="87"/>
      <c r="ED284" s="87"/>
      <c r="EE284" s="87"/>
    </row>
    <row r="285" spans="2:135" outlineLevel="1" x14ac:dyDescent="0.25">
      <c r="B285" t="s">
        <v>312</v>
      </c>
      <c r="C285" t="s">
        <v>329</v>
      </c>
      <c r="D285" s="110">
        <f t="shared" ref="D285" si="93">D277</f>
        <v>25.171573586538543</v>
      </c>
      <c r="E285" s="110">
        <f t="shared" ref="E285:P285" si="94">E277</f>
        <v>8.5641130451412497</v>
      </c>
      <c r="F285" s="110">
        <f t="shared" si="94"/>
        <v>0</v>
      </c>
      <c r="G285" s="110">
        <f t="shared" si="94"/>
        <v>0</v>
      </c>
      <c r="H285" s="110">
        <f t="shared" si="94"/>
        <v>14.893408358155238</v>
      </c>
      <c r="I285" s="110">
        <f t="shared" si="94"/>
        <v>9.3065652495413822</v>
      </c>
      <c r="J285" s="110">
        <f t="shared" si="94"/>
        <v>0</v>
      </c>
      <c r="K285" s="110">
        <f t="shared" si="94"/>
        <v>0</v>
      </c>
      <c r="L285" s="110">
        <f t="shared" si="94"/>
        <v>21.352060476768454</v>
      </c>
      <c r="M285" s="110">
        <f t="shared" si="94"/>
        <v>8.5641130451412497</v>
      </c>
      <c r="N285" s="110">
        <f t="shared" si="94"/>
        <v>0</v>
      </c>
      <c r="O285" s="110">
        <f t="shared" si="94"/>
        <v>0</v>
      </c>
      <c r="P285" s="110">
        <f t="shared" si="94"/>
        <v>3.7665644193154084</v>
      </c>
      <c r="CY285" s="87"/>
      <c r="CZ285" s="87"/>
      <c r="DA285" s="87"/>
      <c r="DB285" s="87"/>
      <c r="DC285" s="87"/>
      <c r="DD285" s="87"/>
      <c r="DE285" s="87"/>
      <c r="DF285" s="87"/>
      <c r="DG285" s="87"/>
      <c r="DH285" s="87"/>
      <c r="DI285" s="87"/>
      <c r="DJ285" s="87"/>
      <c r="DK285" s="87"/>
      <c r="DL285" s="87"/>
      <c r="DM285" s="87"/>
      <c r="DN285" s="87"/>
      <c r="DO285" s="87"/>
      <c r="DP285" s="87"/>
      <c r="DQ285" s="87"/>
      <c r="DR285" s="87"/>
      <c r="DS285" s="87"/>
      <c r="DT285" s="87"/>
      <c r="DU285" s="87"/>
      <c r="DV285" s="87"/>
      <c r="DW285" s="87"/>
      <c r="DX285" s="87"/>
      <c r="DY285" s="87"/>
      <c r="DZ285" s="87"/>
      <c r="EA285" s="87"/>
      <c r="EB285" s="87"/>
      <c r="EC285" s="87"/>
      <c r="ED285" s="87"/>
      <c r="EE285" s="87"/>
    </row>
    <row r="286" spans="2:135" outlineLevel="1" x14ac:dyDescent="0.25">
      <c r="B286" t="s">
        <v>327</v>
      </c>
      <c r="C286" t="s">
        <v>329</v>
      </c>
      <c r="D286" s="110">
        <f>D270</f>
        <v>15.273</v>
      </c>
      <c r="E286" s="110">
        <f t="shared" ref="E286:P286" si="95">E270</f>
        <v>16.363399999999999</v>
      </c>
      <c r="F286" s="110">
        <f t="shared" si="95"/>
        <v>16.857500000000002</v>
      </c>
      <c r="G286" s="110">
        <f t="shared" si="95"/>
        <v>18.160799999999998</v>
      </c>
      <c r="H286" s="110">
        <f t="shared" si="95"/>
        <v>20.138100000000001</v>
      </c>
      <c r="I286" s="110">
        <f t="shared" si="95"/>
        <v>13.274900000000001</v>
      </c>
      <c r="J286" s="110">
        <f t="shared" si="95"/>
        <v>13.455500000000001</v>
      </c>
      <c r="K286" s="110">
        <f t="shared" si="95"/>
        <v>16.941299999999998</v>
      </c>
      <c r="L286" s="110">
        <f t="shared" si="95"/>
        <v>9.0667000000000009</v>
      </c>
      <c r="M286" s="110">
        <f t="shared" si="95"/>
        <v>15.6409</v>
      </c>
      <c r="N286" s="110">
        <f t="shared" si="95"/>
        <v>17.14</v>
      </c>
      <c r="O286" s="110">
        <f t="shared" si="95"/>
        <v>17.14</v>
      </c>
      <c r="P286" s="110">
        <f t="shared" si="95"/>
        <v>28.554600000000001</v>
      </c>
      <c r="CY286" s="87"/>
      <c r="CZ286" s="87"/>
      <c r="DA286" s="87"/>
      <c r="DB286" s="87"/>
      <c r="DC286" s="87"/>
      <c r="DD286" s="87"/>
      <c r="DE286" s="87"/>
      <c r="DF286" s="87"/>
      <c r="DG286" s="87"/>
      <c r="DH286" s="87"/>
      <c r="DI286" s="87"/>
      <c r="DJ286" s="87"/>
      <c r="DK286" s="87"/>
      <c r="DL286" s="87"/>
      <c r="DM286" s="87"/>
      <c r="DN286" s="87"/>
      <c r="DO286" s="87"/>
      <c r="DP286" s="87"/>
      <c r="DQ286" s="87"/>
      <c r="DR286" s="87"/>
      <c r="DS286" s="87"/>
      <c r="DT286" s="87"/>
      <c r="DU286" s="87"/>
      <c r="DV286" s="87"/>
      <c r="DW286" s="87"/>
      <c r="DX286" s="87"/>
      <c r="DY286" s="87"/>
      <c r="DZ286" s="87"/>
      <c r="EA286" s="87"/>
      <c r="EB286" s="87"/>
      <c r="EC286" s="87"/>
      <c r="ED286" s="87"/>
      <c r="EE286" s="87"/>
    </row>
    <row r="287" spans="2:135" outlineLevel="1" x14ac:dyDescent="0.25">
      <c r="B287" t="s">
        <v>224</v>
      </c>
      <c r="C287" t="s">
        <v>329</v>
      </c>
      <c r="D287" s="109">
        <f>SUM(D282:D286)</f>
        <v>127.87842064261422</v>
      </c>
      <c r="E287" s="109">
        <f t="shared" ref="E287:P287" si="96">SUM(E282:E286)</f>
        <v>117.506861105478</v>
      </c>
      <c r="F287" s="109">
        <f t="shared" si="96"/>
        <v>117.3239634476807</v>
      </c>
      <c r="G287" s="109">
        <f t="shared" si="96"/>
        <v>109.40216331496232</v>
      </c>
      <c r="H287" s="109">
        <f t="shared" si="96"/>
        <v>79.792320526485469</v>
      </c>
      <c r="I287" s="109">
        <f t="shared" si="96"/>
        <v>134.94587436549799</v>
      </c>
      <c r="J287" s="109">
        <f t="shared" si="96"/>
        <v>126.92524863388465</v>
      </c>
      <c r="K287" s="109">
        <f t="shared" si="96"/>
        <v>126.1077606332325</v>
      </c>
      <c r="L287" s="109">
        <f t="shared" si="96"/>
        <v>159.68575758543452</v>
      </c>
      <c r="M287" s="109">
        <f t="shared" si="96"/>
        <v>106.49949076359589</v>
      </c>
      <c r="N287" s="109">
        <f t="shared" si="96"/>
        <v>107.32159310579857</v>
      </c>
      <c r="O287" s="109">
        <f t="shared" si="96"/>
        <v>99.12498000726842</v>
      </c>
      <c r="P287" s="109">
        <f t="shared" si="96"/>
        <v>122.9758443235346</v>
      </c>
      <c r="CY287" s="87"/>
      <c r="CZ287" s="87"/>
      <c r="DA287" s="87"/>
      <c r="DB287" s="87"/>
      <c r="DC287" s="87"/>
      <c r="DD287" s="87"/>
      <c r="DE287" s="87"/>
      <c r="DF287" s="87"/>
      <c r="DG287" s="87"/>
      <c r="DH287" s="87"/>
      <c r="DI287" s="87"/>
      <c r="DJ287" s="87"/>
      <c r="DK287" s="87"/>
      <c r="DL287" s="87"/>
      <c r="DM287" s="87"/>
      <c r="DN287" s="87"/>
      <c r="DO287" s="87"/>
      <c r="DP287" s="87"/>
      <c r="DQ287" s="87"/>
      <c r="DR287" s="87"/>
      <c r="DS287" s="87"/>
      <c r="DT287" s="87"/>
      <c r="DU287" s="87"/>
      <c r="DV287" s="87"/>
      <c r="DW287" s="87"/>
      <c r="DX287" s="87"/>
      <c r="DY287" s="87"/>
      <c r="DZ287" s="87"/>
      <c r="EA287" s="87"/>
      <c r="EB287" s="87"/>
      <c r="EC287" s="87"/>
      <c r="ED287" s="87"/>
      <c r="EE287" s="87"/>
    </row>
    <row r="288" spans="2:135" x14ac:dyDescent="0.25">
      <c r="CY288" s="87"/>
      <c r="CZ288" s="87"/>
      <c r="DA288" s="87"/>
      <c r="DB288" s="87"/>
      <c r="DC288" s="87"/>
      <c r="DD288" s="87"/>
      <c r="DE288" s="87"/>
      <c r="DF288" s="87"/>
      <c r="DG288" s="87"/>
      <c r="DH288" s="87"/>
      <c r="DI288" s="87"/>
      <c r="DJ288" s="87"/>
      <c r="DK288" s="87"/>
      <c r="DL288" s="87"/>
      <c r="DM288" s="87"/>
      <c r="DN288" s="87"/>
      <c r="DO288" s="87"/>
      <c r="DP288" s="87"/>
      <c r="DQ288" s="87"/>
      <c r="DR288" s="87"/>
      <c r="DS288" s="87"/>
      <c r="DT288" s="87"/>
      <c r="DU288" s="87"/>
      <c r="DV288" s="87"/>
      <c r="DW288" s="87"/>
      <c r="DX288" s="87"/>
      <c r="DY288" s="87"/>
      <c r="DZ288" s="87"/>
      <c r="EA288" s="87"/>
      <c r="EB288" s="87"/>
      <c r="EC288" s="87"/>
      <c r="ED288" s="87"/>
      <c r="EE288" s="87"/>
    </row>
    <row r="289" spans="2:135" x14ac:dyDescent="0.25">
      <c r="CY289" s="87"/>
      <c r="CZ289" s="87"/>
      <c r="DA289" s="87"/>
      <c r="DB289" s="87"/>
      <c r="DC289" s="87"/>
      <c r="DD289" s="87"/>
      <c r="DE289" s="87"/>
      <c r="DF289" s="87"/>
      <c r="DG289" s="87"/>
      <c r="DH289" s="87"/>
      <c r="DI289" s="87"/>
      <c r="DJ289" s="87"/>
      <c r="DK289" s="87"/>
      <c r="DL289" s="87"/>
      <c r="DM289" s="87"/>
      <c r="DN289" s="87"/>
      <c r="DO289" s="87"/>
      <c r="DP289" s="87"/>
      <c r="DQ289" s="87"/>
      <c r="DR289" s="87"/>
      <c r="DS289" s="87"/>
      <c r="DT289" s="87"/>
      <c r="DU289" s="87"/>
      <c r="DV289" s="87"/>
      <c r="DW289" s="87"/>
      <c r="DX289" s="87"/>
      <c r="DY289" s="87"/>
      <c r="DZ289" s="87"/>
      <c r="EA289" s="87"/>
      <c r="EB289" s="87"/>
      <c r="EC289" s="87"/>
      <c r="ED289" s="87"/>
      <c r="EE289" s="87"/>
    </row>
    <row r="290" spans="2:135" x14ac:dyDescent="0.25">
      <c r="CY290" s="87"/>
      <c r="CZ290" s="87"/>
      <c r="DA290" s="87"/>
      <c r="DB290" s="87"/>
      <c r="DC290" s="87"/>
      <c r="DD290" s="87"/>
      <c r="DE290" s="87"/>
      <c r="DF290" s="87"/>
      <c r="DG290" s="87"/>
      <c r="DH290" s="87"/>
      <c r="DI290" s="87"/>
      <c r="DJ290" s="87"/>
      <c r="DK290" s="87"/>
      <c r="DL290" s="87"/>
      <c r="DM290" s="87"/>
      <c r="DN290" s="87"/>
      <c r="DO290" s="87"/>
      <c r="DP290" s="87"/>
      <c r="DQ290" s="87"/>
      <c r="DR290" s="87"/>
      <c r="DS290" s="87"/>
      <c r="DT290" s="87"/>
      <c r="DU290" s="87"/>
      <c r="DV290" s="87"/>
      <c r="DW290" s="87"/>
      <c r="DX290" s="87"/>
      <c r="DY290" s="87"/>
      <c r="DZ290" s="87"/>
      <c r="EA290" s="87"/>
      <c r="EB290" s="87"/>
      <c r="EC290" s="87"/>
      <c r="ED290" s="87"/>
      <c r="EE290" s="87"/>
    </row>
    <row r="291" spans="2:135" ht="20.25" thickBot="1" x14ac:dyDescent="0.35">
      <c r="B291" s="18" t="s">
        <v>332</v>
      </c>
      <c r="C291" s="18"/>
      <c r="D291" s="95"/>
      <c r="E291" s="95"/>
      <c r="F291" s="95"/>
      <c r="G291" s="95"/>
      <c r="H291" s="95"/>
      <c r="I291" s="95"/>
      <c r="J291" s="95"/>
      <c r="K291" s="95"/>
      <c r="L291" s="95"/>
      <c r="M291" s="95"/>
      <c r="N291" s="95"/>
      <c r="O291" s="95"/>
      <c r="P291" s="95"/>
      <c r="Q291" s="95"/>
      <c r="R291" s="95" t="s">
        <v>307</v>
      </c>
      <c r="S291" s="95"/>
      <c r="T291" s="95"/>
      <c r="U291" s="95"/>
      <c r="V291" s="95"/>
      <c r="W291" s="95"/>
      <c r="X291" s="95"/>
      <c r="Y291" s="95"/>
      <c r="Z291" s="95"/>
      <c r="AA291" s="95"/>
      <c r="AB291" s="95"/>
      <c r="AC291" s="95"/>
      <c r="AD291" s="95"/>
      <c r="AE291" s="95"/>
      <c r="AF291" s="95"/>
      <c r="AG291" s="95"/>
      <c r="AH291" s="58"/>
      <c r="AI291" s="58"/>
      <c r="AJ291" s="18" t="s">
        <v>308</v>
      </c>
      <c r="AK291" s="18"/>
      <c r="AL291" s="18"/>
      <c r="AM291" s="18"/>
      <c r="AN291" s="18"/>
      <c r="AO291" s="18"/>
      <c r="AP291" s="18"/>
      <c r="AQ291" s="18"/>
      <c r="AR291" s="18"/>
      <c r="AS291" s="18"/>
      <c r="AT291" s="18"/>
      <c r="AU291" s="18"/>
      <c r="AV291" s="18"/>
      <c r="AW291" s="18"/>
      <c r="AX291" s="18"/>
      <c r="AY291" s="18"/>
      <c r="AZ291" s="18"/>
      <c r="BA291" s="18"/>
      <c r="BB291" s="18"/>
      <c r="BC291" s="18"/>
      <c r="BD291" s="18"/>
      <c r="BE291" s="18"/>
      <c r="BF291" s="18"/>
      <c r="BG291" s="18"/>
      <c r="BH291" s="18"/>
      <c r="BI291" s="18"/>
      <c r="BJ291" s="18"/>
      <c r="BK291" s="18"/>
      <c r="BL291" s="18"/>
      <c r="BM291" s="18"/>
      <c r="CY291" s="87"/>
      <c r="CZ291" s="87"/>
      <c r="DA291" s="87"/>
      <c r="DB291" s="87"/>
      <c r="DC291" s="87"/>
      <c r="DD291" s="87"/>
      <c r="DE291" s="87"/>
      <c r="DF291" s="87"/>
      <c r="DG291" s="87"/>
      <c r="DH291" s="87"/>
      <c r="DI291" s="87"/>
      <c r="DJ291" s="87"/>
      <c r="DK291" s="87"/>
      <c r="DL291" s="87"/>
      <c r="DM291" s="87"/>
      <c r="DN291" s="87"/>
      <c r="DO291" s="87"/>
      <c r="DP291" s="87"/>
      <c r="DQ291" s="87"/>
      <c r="DR291" s="87"/>
      <c r="DS291" s="87"/>
      <c r="DT291" s="87"/>
      <c r="DU291" s="87"/>
      <c r="DV291" s="87"/>
      <c r="DW291" s="87"/>
      <c r="DX291" s="87"/>
      <c r="DY291" s="87"/>
      <c r="DZ291" s="87"/>
      <c r="EA291" s="87"/>
      <c r="EB291" s="87"/>
      <c r="EC291" s="87"/>
      <c r="ED291" s="87"/>
      <c r="EE291" s="87"/>
    </row>
    <row r="292" spans="2:135" ht="18" outlineLevel="1" thickTop="1" thickBot="1" x14ac:dyDescent="0.3">
      <c r="B292" s="19" t="s">
        <v>333</v>
      </c>
      <c r="C292" s="19"/>
      <c r="D292" s="96"/>
      <c r="E292" s="96"/>
      <c r="F292" s="96"/>
      <c r="G292" s="96"/>
      <c r="H292" s="96"/>
      <c r="I292" s="96"/>
      <c r="J292" s="96"/>
      <c r="K292" s="96"/>
      <c r="L292" s="96"/>
      <c r="M292" s="96"/>
      <c r="CY292" s="87"/>
      <c r="CZ292" s="87"/>
      <c r="DA292" s="87"/>
      <c r="DB292" s="87"/>
      <c r="DC292" s="87"/>
      <c r="DD292" s="87"/>
      <c r="DE292" s="87"/>
      <c r="DF292" s="87"/>
      <c r="DG292" s="87"/>
      <c r="DH292" s="87"/>
      <c r="DI292" s="87"/>
      <c r="DJ292" s="87"/>
      <c r="DK292" s="87"/>
      <c r="DL292" s="87"/>
      <c r="DM292" s="87"/>
      <c r="DN292" s="87"/>
      <c r="DO292" s="87"/>
      <c r="DP292" s="87"/>
      <c r="DQ292" s="87"/>
      <c r="DR292" s="87"/>
      <c r="DS292" s="87"/>
      <c r="DT292" s="87"/>
      <c r="DU292" s="87"/>
      <c r="DV292" s="87"/>
      <c r="DW292" s="87"/>
      <c r="DX292" s="87"/>
      <c r="DY292" s="87"/>
      <c r="DZ292" s="87"/>
      <c r="EA292" s="87"/>
      <c r="EB292" s="87"/>
      <c r="EC292" s="87"/>
      <c r="ED292" s="87"/>
      <c r="EE292" s="87"/>
    </row>
    <row r="293" spans="2:135" ht="16.5" outlineLevel="1" thickTop="1" thickBot="1" x14ac:dyDescent="0.3">
      <c r="D293" s="101">
        <v>0</v>
      </c>
      <c r="E293" s="101" t="s">
        <v>243</v>
      </c>
      <c r="F293" s="101" t="s">
        <v>320</v>
      </c>
      <c r="G293" s="101">
        <v>2</v>
      </c>
      <c r="H293" s="101">
        <v>6</v>
      </c>
      <c r="I293" s="101" t="s">
        <v>321</v>
      </c>
      <c r="J293" s="101" t="s">
        <v>250</v>
      </c>
      <c r="K293" s="101" t="s">
        <v>251</v>
      </c>
      <c r="L293" s="101" t="s">
        <v>322</v>
      </c>
      <c r="M293" s="101">
        <v>12</v>
      </c>
      <c r="CY293" s="87"/>
      <c r="CZ293" s="87"/>
      <c r="DA293" s="87"/>
      <c r="DB293" s="87"/>
      <c r="DC293" s="87"/>
      <c r="DD293" s="87"/>
      <c r="DE293" s="87"/>
      <c r="DF293" s="87"/>
      <c r="DG293" s="87"/>
      <c r="DH293" s="87"/>
      <c r="DI293" s="87"/>
      <c r="DJ293" s="87"/>
      <c r="DK293" s="87"/>
      <c r="DL293" s="87"/>
      <c r="DM293" s="87"/>
      <c r="DN293" s="87"/>
      <c r="DO293" s="87"/>
      <c r="DP293" s="87"/>
      <c r="DQ293" s="87"/>
      <c r="DR293" s="87"/>
      <c r="DS293" s="87"/>
      <c r="DT293" s="87"/>
      <c r="DU293" s="87"/>
      <c r="DV293" s="87"/>
      <c r="DW293" s="87"/>
      <c r="DX293" s="87"/>
      <c r="DY293" s="87"/>
      <c r="DZ293" s="87"/>
      <c r="EA293" s="87"/>
      <c r="EB293" s="87"/>
      <c r="EC293" s="87"/>
      <c r="ED293" s="87"/>
      <c r="EE293" s="87"/>
    </row>
    <row r="294" spans="2:135" outlineLevel="1" x14ac:dyDescent="0.25">
      <c r="B294" t="s">
        <v>141</v>
      </c>
      <c r="C294" t="s">
        <v>109</v>
      </c>
      <c r="D294" s="79">
        <f t="shared" ref="D294:E297" si="97">D254</f>
        <v>55851163.225441098</v>
      </c>
      <c r="E294" s="79">
        <f t="shared" si="97"/>
        <v>214430341.91332072</v>
      </c>
      <c r="F294" s="79">
        <f t="shared" ref="F294:H297" si="98">G254</f>
        <v>302681496.42961389</v>
      </c>
      <c r="G294" s="79">
        <f t="shared" si="98"/>
        <v>0</v>
      </c>
      <c r="H294" s="79">
        <f t="shared" si="98"/>
        <v>262508797.67526135</v>
      </c>
      <c r="I294" s="79">
        <f t="shared" ref="I294:K297" si="99">K254</f>
        <v>319796471.3704766</v>
      </c>
      <c r="J294" s="79">
        <f t="shared" si="99"/>
        <v>220926206.14733073</v>
      </c>
      <c r="K294" s="79">
        <f t="shared" si="99"/>
        <v>180685017.73386261</v>
      </c>
      <c r="L294" s="79">
        <f t="shared" ref="L294:M297" si="100">O254</f>
        <v>268936172.25015575</v>
      </c>
      <c r="M294" s="79">
        <f t="shared" si="100"/>
        <v>263083686.96818683</v>
      </c>
      <c r="CY294" s="87"/>
      <c r="CZ294" s="87"/>
      <c r="DA294" s="87"/>
      <c r="DB294" s="87"/>
      <c r="DC294" s="87"/>
      <c r="DD294" s="87"/>
      <c r="DE294" s="87"/>
      <c r="DF294" s="87"/>
      <c r="DG294" s="87"/>
      <c r="DH294" s="87"/>
      <c r="DI294" s="87"/>
      <c r="DJ294" s="87"/>
      <c r="DK294" s="87"/>
      <c r="DL294" s="87"/>
      <c r="DM294" s="87"/>
      <c r="DN294" s="87"/>
      <c r="DO294" s="87"/>
      <c r="DP294" s="87"/>
      <c r="DQ294" s="87"/>
      <c r="DR294" s="87"/>
      <c r="DS294" s="87"/>
      <c r="DT294" s="87"/>
      <c r="DU294" s="87"/>
      <c r="DV294" s="87"/>
      <c r="DW294" s="87"/>
      <c r="DX294" s="87"/>
      <c r="DY294" s="87"/>
      <c r="DZ294" s="87"/>
      <c r="EA294" s="87"/>
      <c r="EB294" s="87"/>
      <c r="EC294" s="87"/>
      <c r="ED294" s="87"/>
      <c r="EE294" s="87"/>
    </row>
    <row r="295" spans="2:135" outlineLevel="1" x14ac:dyDescent="0.25">
      <c r="B295" t="s">
        <v>136</v>
      </c>
      <c r="C295" t="s">
        <v>169</v>
      </c>
      <c r="D295" s="79">
        <f t="shared" si="97"/>
        <v>20992982.374243401</v>
      </c>
      <c r="E295" s="79">
        <f t="shared" si="97"/>
        <v>7142432.8554423703</v>
      </c>
      <c r="F295" s="79">
        <f t="shared" si="98"/>
        <v>0</v>
      </c>
      <c r="G295" s="79">
        <f t="shared" si="98"/>
        <v>12421037.488191342</v>
      </c>
      <c r="H295" s="79">
        <f t="shared" si="98"/>
        <v>7761634.7494799159</v>
      </c>
      <c r="I295" s="79">
        <f t="shared" si="99"/>
        <v>0</v>
      </c>
      <c r="J295" s="79">
        <f t="shared" si="99"/>
        <v>17807525.131535459</v>
      </c>
      <c r="K295" s="79">
        <f t="shared" si="99"/>
        <v>7142432.8554423703</v>
      </c>
      <c r="L295" s="79">
        <f t="shared" si="100"/>
        <v>0</v>
      </c>
      <c r="M295" s="79">
        <f t="shared" si="100"/>
        <v>3141298.2662485251</v>
      </c>
      <c r="CY295" s="87"/>
      <c r="CZ295" s="87"/>
      <c r="DA295" s="87"/>
      <c r="DB295" s="87"/>
      <c r="DC295" s="87"/>
      <c r="DD295" s="87"/>
      <c r="DE295" s="87"/>
      <c r="DF295" s="87"/>
      <c r="DG295" s="87"/>
      <c r="DH295" s="87"/>
      <c r="DI295" s="87"/>
      <c r="DJ295" s="87"/>
      <c r="DK295" s="87"/>
      <c r="DL295" s="87"/>
      <c r="DM295" s="87"/>
      <c r="DN295" s="87"/>
      <c r="DO295" s="87"/>
      <c r="DP295" s="87"/>
      <c r="DQ295" s="87"/>
      <c r="DR295" s="87"/>
      <c r="DS295" s="87"/>
      <c r="DT295" s="87"/>
      <c r="DU295" s="87"/>
      <c r="DV295" s="87"/>
      <c r="DW295" s="87"/>
      <c r="DX295" s="87"/>
      <c r="DY295" s="87"/>
      <c r="DZ295" s="87"/>
      <c r="EA295" s="87"/>
      <c r="EB295" s="87"/>
      <c r="EC295" s="87"/>
      <c r="ED295" s="87"/>
      <c r="EE295" s="87"/>
    </row>
    <row r="296" spans="2:135" outlineLevel="1" x14ac:dyDescent="0.25">
      <c r="B296" t="s">
        <v>154</v>
      </c>
      <c r="C296" t="s">
        <v>170</v>
      </c>
      <c r="D296" s="79">
        <f t="shared" si="97"/>
        <v>291756.69440303242</v>
      </c>
      <c r="E296" s="79">
        <f t="shared" si="97"/>
        <v>164877.54257590559</v>
      </c>
      <c r="F296" s="79">
        <f t="shared" si="98"/>
        <v>164877.54257590559</v>
      </c>
      <c r="G296" s="79">
        <f t="shared" si="98"/>
        <v>234839.63347978302</v>
      </c>
      <c r="H296" s="79">
        <f t="shared" si="98"/>
        <v>234792.7286685353</v>
      </c>
      <c r="I296" s="79">
        <f t="shared" si="99"/>
        <v>234792.7286685353</v>
      </c>
      <c r="J296" s="79">
        <f t="shared" si="99"/>
        <v>291756.69440303242</v>
      </c>
      <c r="K296" s="79">
        <f t="shared" si="99"/>
        <v>164877.54257590559</v>
      </c>
      <c r="L296" s="79">
        <f t="shared" si="100"/>
        <v>164877.54257590559</v>
      </c>
      <c r="M296" s="79">
        <f t="shared" si="100"/>
        <v>203295.93165001943</v>
      </c>
      <c r="CY296" s="87"/>
      <c r="CZ296" s="87"/>
      <c r="DA296" s="87"/>
      <c r="DB296" s="87"/>
      <c r="DC296" s="87"/>
      <c r="DD296" s="87"/>
      <c r="DE296" s="87"/>
      <c r="DF296" s="87"/>
      <c r="DG296" s="87"/>
      <c r="DH296" s="87"/>
      <c r="DI296" s="87"/>
      <c r="DJ296" s="87"/>
      <c r="DK296" s="87"/>
      <c r="DL296" s="87"/>
      <c r="DM296" s="87"/>
      <c r="DN296" s="87"/>
      <c r="DO296" s="87"/>
      <c r="DP296" s="87"/>
      <c r="DQ296" s="87"/>
      <c r="DR296" s="87"/>
      <c r="DS296" s="87"/>
      <c r="DT296" s="87"/>
      <c r="DU296" s="87"/>
      <c r="DV296" s="87"/>
      <c r="DW296" s="87"/>
      <c r="DX296" s="87"/>
      <c r="DY296" s="87"/>
      <c r="DZ296" s="87"/>
      <c r="EA296" s="87"/>
      <c r="EB296" s="87"/>
      <c r="EC296" s="87"/>
      <c r="ED296" s="87"/>
      <c r="EE296" s="87"/>
    </row>
    <row r="297" spans="2:135" outlineLevel="1" x14ac:dyDescent="0.25">
      <c r="B297" t="s">
        <v>312</v>
      </c>
      <c r="C297" t="s">
        <v>323</v>
      </c>
      <c r="D297" s="79">
        <f t="shared" si="97"/>
        <v>141135.82050203838</v>
      </c>
      <c r="E297" s="79">
        <f t="shared" si="97"/>
        <v>48018.576087139052</v>
      </c>
      <c r="F297" s="79">
        <f t="shared" si="98"/>
        <v>0</v>
      </c>
      <c r="G297" s="79">
        <f t="shared" si="98"/>
        <v>83506.635033110389</v>
      </c>
      <c r="H297" s="79">
        <f t="shared" si="98"/>
        <v>52181.470420753474</v>
      </c>
      <c r="I297" s="79">
        <f t="shared" si="99"/>
        <v>0</v>
      </c>
      <c r="J297" s="79">
        <f t="shared" si="99"/>
        <v>119719.99145931289</v>
      </c>
      <c r="K297" s="79">
        <f t="shared" si="99"/>
        <v>48018.576087139052</v>
      </c>
      <c r="L297" s="79">
        <f t="shared" si="100"/>
        <v>0</v>
      </c>
      <c r="M297" s="79">
        <f t="shared" si="100"/>
        <v>21118.948243988834</v>
      </c>
      <c r="CY297" s="87"/>
      <c r="CZ297" s="87"/>
      <c r="DA297" s="87"/>
      <c r="DB297" s="87"/>
      <c r="DC297" s="87"/>
      <c r="DD297" s="87"/>
      <c r="DE297" s="87"/>
      <c r="DF297" s="87"/>
      <c r="DG297" s="87"/>
      <c r="DH297" s="87"/>
      <c r="DI297" s="87"/>
      <c r="DJ297" s="87"/>
      <c r="DK297" s="87"/>
      <c r="DL297" s="87"/>
      <c r="DM297" s="87"/>
      <c r="DN297" s="87"/>
      <c r="DO297" s="87"/>
      <c r="DP297" s="87"/>
      <c r="DQ297" s="87"/>
      <c r="DR297" s="87"/>
      <c r="DS297" s="87"/>
      <c r="DT297" s="87"/>
      <c r="DU297" s="87"/>
      <c r="DV297" s="87"/>
      <c r="DW297" s="87"/>
      <c r="DX297" s="87"/>
      <c r="DY297" s="87"/>
      <c r="DZ297" s="87"/>
      <c r="EA297" s="87"/>
      <c r="EB297" s="87"/>
      <c r="EC297" s="87"/>
      <c r="ED297" s="87"/>
      <c r="EE297" s="87"/>
    </row>
    <row r="298" spans="2:135" outlineLevel="1" x14ac:dyDescent="0.25">
      <c r="CY298" s="87"/>
      <c r="CZ298" s="87"/>
      <c r="DA298" s="87"/>
      <c r="DB298" s="87"/>
      <c r="DC298" s="87"/>
      <c r="DD298" s="87"/>
      <c r="DE298" s="87"/>
      <c r="DF298" s="87"/>
      <c r="DG298" s="87"/>
      <c r="DH298" s="87"/>
      <c r="DI298" s="87"/>
      <c r="DJ298" s="87"/>
      <c r="DK298" s="87"/>
      <c r="DL298" s="87"/>
      <c r="DM298" s="87"/>
      <c r="DN298" s="87"/>
      <c r="DO298" s="87"/>
      <c r="DP298" s="87"/>
      <c r="DQ298" s="87"/>
      <c r="DR298" s="87"/>
      <c r="DS298" s="87"/>
      <c r="DT298" s="87"/>
      <c r="DU298" s="87"/>
      <c r="DV298" s="87"/>
      <c r="DW298" s="87"/>
      <c r="DX298" s="87"/>
      <c r="DY298" s="87"/>
      <c r="DZ298" s="87"/>
      <c r="EA298" s="87"/>
      <c r="EB298" s="87"/>
      <c r="EC298" s="87"/>
      <c r="ED298" s="87"/>
      <c r="EE298" s="87"/>
    </row>
    <row r="299" spans="2:135" ht="17.25" outlineLevel="1" thickBot="1" x14ac:dyDescent="0.3">
      <c r="B299" s="19" t="s">
        <v>333</v>
      </c>
      <c r="C299" s="19"/>
      <c r="D299" s="96"/>
      <c r="E299" s="96"/>
      <c r="F299" s="96"/>
      <c r="G299" s="96"/>
      <c r="H299" s="96"/>
      <c r="I299" s="96"/>
      <c r="J299" s="96"/>
      <c r="K299" s="96"/>
      <c r="L299" s="96"/>
      <c r="M299" s="96"/>
      <c r="CY299" s="87"/>
      <c r="CZ299" s="87"/>
      <c r="DA299" s="87"/>
      <c r="DB299" s="87"/>
      <c r="DC299" s="87"/>
      <c r="DD299" s="87"/>
      <c r="DE299" s="87"/>
      <c r="DF299" s="87"/>
      <c r="DG299" s="87"/>
      <c r="DH299" s="87"/>
      <c r="DI299" s="87"/>
      <c r="DJ299" s="87"/>
      <c r="DK299" s="87"/>
      <c r="DL299" s="87"/>
      <c r="DM299" s="87"/>
      <c r="DN299" s="87"/>
      <c r="DO299" s="87"/>
      <c r="DP299" s="87"/>
      <c r="DQ299" s="87"/>
      <c r="DR299" s="87"/>
      <c r="DS299" s="87"/>
      <c r="DT299" s="87"/>
      <c r="DU299" s="87"/>
      <c r="DV299" s="87"/>
      <c r="DW299" s="87"/>
      <c r="DX299" s="87"/>
      <c r="DY299" s="87"/>
      <c r="DZ299" s="87"/>
      <c r="EA299" s="87"/>
      <c r="EB299" s="87"/>
      <c r="EC299" s="87"/>
      <c r="ED299" s="87"/>
      <c r="EE299" s="87"/>
    </row>
    <row r="300" spans="2:135" ht="16.5" outlineLevel="1" thickTop="1" thickBot="1" x14ac:dyDescent="0.3">
      <c r="D300" s="101">
        <v>0</v>
      </c>
      <c r="E300" s="101" t="s">
        <v>243</v>
      </c>
      <c r="F300" s="101" t="s">
        <v>320</v>
      </c>
      <c r="G300" s="101">
        <v>2</v>
      </c>
      <c r="H300" s="101">
        <v>6</v>
      </c>
      <c r="I300" s="101" t="s">
        <v>321</v>
      </c>
      <c r="J300" s="101" t="s">
        <v>250</v>
      </c>
      <c r="K300" s="101" t="s">
        <v>251</v>
      </c>
      <c r="L300" s="101" t="s">
        <v>322</v>
      </c>
      <c r="M300" s="101">
        <v>12</v>
      </c>
      <c r="CY300" s="87"/>
      <c r="CZ300" s="87"/>
      <c r="DA300" s="87"/>
      <c r="DB300" s="87"/>
      <c r="DC300" s="87"/>
      <c r="DD300" s="87"/>
      <c r="DE300" s="87"/>
      <c r="DF300" s="87"/>
      <c r="DG300" s="87"/>
      <c r="DH300" s="87"/>
      <c r="DI300" s="87"/>
      <c r="DJ300" s="87"/>
      <c r="DK300" s="87"/>
      <c r="DL300" s="87"/>
      <c r="DM300" s="87"/>
      <c r="DN300" s="87"/>
      <c r="DO300" s="87"/>
      <c r="DP300" s="87"/>
      <c r="DQ300" s="87"/>
      <c r="DR300" s="87"/>
      <c r="DS300" s="87"/>
      <c r="DT300" s="87"/>
      <c r="DU300" s="87"/>
      <c r="DV300" s="87"/>
      <c r="DW300" s="87"/>
      <c r="DX300" s="87"/>
      <c r="DY300" s="87"/>
      <c r="DZ300" s="87"/>
      <c r="EA300" s="87"/>
      <c r="EB300" s="87"/>
      <c r="EC300" s="87"/>
      <c r="ED300" s="87"/>
      <c r="EE300" s="87"/>
    </row>
    <row r="301" spans="2:135" outlineLevel="1" x14ac:dyDescent="0.25">
      <c r="B301" t="s">
        <v>141</v>
      </c>
      <c r="C301" t="s">
        <v>334</v>
      </c>
      <c r="D301" s="51">
        <f t="shared" ref="D301:M301" si="101">D294/1000000</f>
        <v>55.851163225441098</v>
      </c>
      <c r="E301" s="51">
        <f t="shared" si="101"/>
        <v>214.43034191332072</v>
      </c>
      <c r="F301" s="51">
        <f t="shared" si="101"/>
        <v>302.6814964296139</v>
      </c>
      <c r="G301" s="51">
        <f t="shared" si="101"/>
        <v>0</v>
      </c>
      <c r="H301" s="51">
        <f t="shared" si="101"/>
        <v>262.50879767526135</v>
      </c>
      <c r="I301" s="51">
        <f t="shared" si="101"/>
        <v>319.79647137047658</v>
      </c>
      <c r="J301" s="51">
        <f t="shared" si="101"/>
        <v>220.92620614733073</v>
      </c>
      <c r="K301" s="51">
        <f t="shared" si="101"/>
        <v>180.68501773386262</v>
      </c>
      <c r="L301" s="51">
        <f t="shared" si="101"/>
        <v>268.93617225015572</v>
      </c>
      <c r="M301" s="51">
        <f t="shared" si="101"/>
        <v>263.08368696818684</v>
      </c>
      <c r="CY301" s="87"/>
      <c r="CZ301" s="87"/>
      <c r="DA301" s="87"/>
      <c r="DB301" s="87"/>
      <c r="DC301" s="87"/>
      <c r="DD301" s="87"/>
      <c r="DE301" s="87"/>
      <c r="DF301" s="87"/>
      <c r="DG301" s="87"/>
      <c r="DH301" s="87"/>
      <c r="DI301" s="87"/>
      <c r="DJ301" s="87"/>
      <c r="DK301" s="87"/>
      <c r="DL301" s="87"/>
      <c r="DM301" s="87"/>
      <c r="DN301" s="87"/>
      <c r="DO301" s="87"/>
      <c r="DP301" s="87"/>
      <c r="DQ301" s="87"/>
      <c r="DR301" s="87"/>
      <c r="DS301" s="87"/>
      <c r="DT301" s="87"/>
      <c r="DU301" s="87"/>
      <c r="DV301" s="87"/>
      <c r="DW301" s="87"/>
      <c r="DX301" s="87"/>
      <c r="DY301" s="87"/>
      <c r="DZ301" s="87"/>
      <c r="EA301" s="87"/>
      <c r="EB301" s="87"/>
      <c r="EC301" s="87"/>
      <c r="ED301" s="87"/>
      <c r="EE301" s="87"/>
    </row>
    <row r="302" spans="2:135" outlineLevel="1" x14ac:dyDescent="0.25">
      <c r="B302" t="s">
        <v>136</v>
      </c>
      <c r="C302" t="s">
        <v>335</v>
      </c>
      <c r="D302" s="51">
        <f t="shared" ref="D302:M302" si="102">D295/1000</f>
        <v>20992.982374243402</v>
      </c>
      <c r="E302" s="51">
        <f t="shared" si="102"/>
        <v>7142.4328554423701</v>
      </c>
      <c r="F302" s="51">
        <f t="shared" si="102"/>
        <v>0</v>
      </c>
      <c r="G302" s="51">
        <f t="shared" si="102"/>
        <v>12421.037488191341</v>
      </c>
      <c r="H302" s="51">
        <f t="shared" si="102"/>
        <v>7761.6347494799156</v>
      </c>
      <c r="I302" s="51">
        <f t="shared" si="102"/>
        <v>0</v>
      </c>
      <c r="J302" s="51">
        <f t="shared" si="102"/>
        <v>17807.525131535458</v>
      </c>
      <c r="K302" s="51">
        <f t="shared" si="102"/>
        <v>7142.4328554423701</v>
      </c>
      <c r="L302" s="51">
        <f t="shared" si="102"/>
        <v>0</v>
      </c>
      <c r="M302" s="51">
        <f t="shared" si="102"/>
        <v>3141.2982662485251</v>
      </c>
      <c r="CY302" s="87"/>
      <c r="CZ302" s="87"/>
      <c r="DA302" s="87"/>
      <c r="DB302" s="87"/>
      <c r="DC302" s="87"/>
      <c r="DD302" s="87"/>
      <c r="DE302" s="87"/>
      <c r="DF302" s="87"/>
      <c r="DG302" s="87"/>
      <c r="DH302" s="87"/>
      <c r="DI302" s="87"/>
      <c r="DJ302" s="87"/>
      <c r="DK302" s="87"/>
      <c r="DL302" s="87"/>
      <c r="DM302" s="87"/>
      <c r="DN302" s="87"/>
      <c r="DO302" s="87"/>
      <c r="DP302" s="87"/>
      <c r="DQ302" s="87"/>
      <c r="DR302" s="87"/>
      <c r="DS302" s="87"/>
      <c r="DT302" s="87"/>
      <c r="DU302" s="87"/>
      <c r="DV302" s="87"/>
      <c r="DW302" s="87"/>
      <c r="DX302" s="87"/>
      <c r="DY302" s="87"/>
      <c r="DZ302" s="87"/>
      <c r="EA302" s="87"/>
      <c r="EB302" s="87"/>
      <c r="EC302" s="87"/>
      <c r="ED302" s="87"/>
      <c r="EE302" s="87"/>
    </row>
    <row r="303" spans="2:135" outlineLevel="1" x14ac:dyDescent="0.25">
      <c r="B303" t="s">
        <v>154</v>
      </c>
      <c r="C303" t="s">
        <v>336</v>
      </c>
      <c r="D303" s="51">
        <f t="shared" ref="D303:M303" si="103">D296/1000</f>
        <v>291.75669440303244</v>
      </c>
      <c r="E303" s="51">
        <f t="shared" si="103"/>
        <v>164.87754257590561</v>
      </c>
      <c r="F303" s="51">
        <f t="shared" si="103"/>
        <v>164.87754257590561</v>
      </c>
      <c r="G303" s="51">
        <f t="shared" si="103"/>
        <v>234.83963347978303</v>
      </c>
      <c r="H303" s="51">
        <f t="shared" si="103"/>
        <v>234.79272866853529</v>
      </c>
      <c r="I303" s="51">
        <f t="shared" si="103"/>
        <v>234.79272866853529</v>
      </c>
      <c r="J303" s="51">
        <f t="shared" si="103"/>
        <v>291.75669440303244</v>
      </c>
      <c r="K303" s="51">
        <f t="shared" si="103"/>
        <v>164.87754257590561</v>
      </c>
      <c r="L303" s="51">
        <f t="shared" si="103"/>
        <v>164.87754257590561</v>
      </c>
      <c r="M303" s="51">
        <f t="shared" si="103"/>
        <v>203.29593165001941</v>
      </c>
      <c r="CY303" s="87"/>
      <c r="CZ303" s="87"/>
      <c r="DA303" s="87"/>
      <c r="DB303" s="87"/>
      <c r="DC303" s="87"/>
      <c r="DD303" s="87"/>
      <c r="DE303" s="87"/>
      <c r="DF303" s="87"/>
      <c r="DG303" s="87"/>
      <c r="DH303" s="87"/>
      <c r="DI303" s="87"/>
      <c r="DJ303" s="87"/>
      <c r="DK303" s="87"/>
      <c r="DL303" s="87"/>
      <c r="DM303" s="87"/>
      <c r="DN303" s="87"/>
      <c r="DO303" s="87"/>
      <c r="DP303" s="87"/>
      <c r="DQ303" s="87"/>
      <c r="DR303" s="87"/>
      <c r="DS303" s="87"/>
      <c r="DT303" s="87"/>
      <c r="DU303" s="87"/>
      <c r="DV303" s="87"/>
      <c r="DW303" s="87"/>
      <c r="DX303" s="87"/>
      <c r="DY303" s="87"/>
      <c r="DZ303" s="87"/>
      <c r="EA303" s="87"/>
      <c r="EB303" s="87"/>
      <c r="EC303" s="87"/>
      <c r="ED303" s="87"/>
      <c r="EE303" s="87"/>
    </row>
    <row r="304" spans="2:135" outlineLevel="1" x14ac:dyDescent="0.25">
      <c r="B304" t="s">
        <v>312</v>
      </c>
      <c r="C304" t="s">
        <v>337</v>
      </c>
      <c r="D304" s="51">
        <f t="shared" ref="D304:M304" si="104">D297/1000</f>
        <v>141.13582050203837</v>
      </c>
      <c r="E304" s="51">
        <f t="shared" si="104"/>
        <v>48.018576087139053</v>
      </c>
      <c r="F304" s="51">
        <f t="shared" si="104"/>
        <v>0</v>
      </c>
      <c r="G304" s="51">
        <f t="shared" si="104"/>
        <v>83.506635033110385</v>
      </c>
      <c r="H304" s="51">
        <f t="shared" si="104"/>
        <v>52.181470420753477</v>
      </c>
      <c r="I304" s="51">
        <f t="shared" si="104"/>
        <v>0</v>
      </c>
      <c r="J304" s="51">
        <f t="shared" si="104"/>
        <v>119.71999145931289</v>
      </c>
      <c r="K304" s="51">
        <f t="shared" si="104"/>
        <v>48.018576087139053</v>
      </c>
      <c r="L304" s="51">
        <f t="shared" si="104"/>
        <v>0</v>
      </c>
      <c r="M304" s="51">
        <f t="shared" si="104"/>
        <v>21.118948243988836</v>
      </c>
      <c r="CY304" s="87"/>
      <c r="CZ304" s="87"/>
      <c r="DA304" s="87"/>
      <c r="DB304" s="87"/>
      <c r="DC304" s="87"/>
      <c r="DD304" s="87"/>
      <c r="DE304" s="87"/>
      <c r="DF304" s="87"/>
      <c r="DG304" s="87"/>
      <c r="DH304" s="87"/>
      <c r="DI304" s="87"/>
      <c r="DJ304" s="87"/>
      <c r="DK304" s="87"/>
      <c r="DL304" s="87"/>
      <c r="DM304" s="87"/>
      <c r="DN304" s="87"/>
      <c r="DO304" s="87"/>
      <c r="DP304" s="87"/>
      <c r="DQ304" s="87"/>
      <c r="DR304" s="87"/>
      <c r="DS304" s="87"/>
      <c r="DT304" s="87"/>
      <c r="DU304" s="87"/>
      <c r="DV304" s="87"/>
      <c r="DW304" s="87"/>
      <c r="DX304" s="87"/>
      <c r="DY304" s="87"/>
      <c r="DZ304" s="87"/>
      <c r="EA304" s="87"/>
      <c r="EB304" s="87"/>
      <c r="EC304" s="87"/>
      <c r="ED304" s="87"/>
      <c r="EE304" s="87"/>
    </row>
    <row r="305" spans="2:135" outlineLevel="1" x14ac:dyDescent="0.25">
      <c r="D305" s="99"/>
      <c r="E305" s="99"/>
      <c r="F305" s="99"/>
      <c r="G305" s="99"/>
      <c r="H305" s="99"/>
      <c r="I305" s="99"/>
      <c r="J305" s="99"/>
      <c r="K305" s="99"/>
      <c r="L305" s="99"/>
      <c r="M305" s="99"/>
      <c r="CY305" s="87"/>
      <c r="CZ305" s="87"/>
      <c r="DA305" s="87"/>
      <c r="DB305" s="87"/>
      <c r="DC305" s="87"/>
      <c r="DD305" s="87"/>
      <c r="DE305" s="87"/>
      <c r="DF305" s="87"/>
      <c r="DG305" s="87"/>
      <c r="DH305" s="87"/>
      <c r="DI305" s="87"/>
      <c r="DJ305" s="87"/>
      <c r="DK305" s="87"/>
      <c r="DL305" s="87"/>
      <c r="DM305" s="87"/>
      <c r="DN305" s="87"/>
      <c r="DO305" s="87"/>
      <c r="DP305" s="87"/>
      <c r="DQ305" s="87"/>
      <c r="DR305" s="87"/>
      <c r="DS305" s="87"/>
      <c r="DT305" s="87"/>
      <c r="DU305" s="87"/>
      <c r="DV305" s="87"/>
      <c r="DW305" s="87"/>
      <c r="DX305" s="87"/>
      <c r="DY305" s="87"/>
      <c r="DZ305" s="87"/>
      <c r="EA305" s="87"/>
      <c r="EB305" s="87"/>
      <c r="EC305" s="87"/>
      <c r="ED305" s="87"/>
      <c r="EE305" s="87"/>
    </row>
    <row r="306" spans="2:135" ht="17.25" outlineLevel="1" thickBot="1" x14ac:dyDescent="0.3">
      <c r="B306" s="19" t="s">
        <v>338</v>
      </c>
      <c r="C306" s="19"/>
      <c r="D306" s="96"/>
      <c r="E306" s="96"/>
      <c r="F306" s="96"/>
      <c r="G306" s="96"/>
      <c r="H306" s="96"/>
      <c r="I306" s="96"/>
      <c r="J306" s="96"/>
      <c r="K306" s="96"/>
      <c r="L306" s="96"/>
      <c r="M306" s="96"/>
      <c r="CY306" s="87"/>
      <c r="CZ306" s="87"/>
      <c r="DA306" s="87"/>
      <c r="DB306" s="87"/>
      <c r="DC306" s="87"/>
      <c r="DD306" s="87"/>
      <c r="DE306" s="87"/>
      <c r="DF306" s="87"/>
      <c r="DG306" s="87"/>
      <c r="DH306" s="87"/>
      <c r="DI306" s="87"/>
      <c r="DJ306" s="87"/>
      <c r="DK306" s="87"/>
      <c r="DL306" s="87"/>
      <c r="DM306" s="87"/>
      <c r="DN306" s="87"/>
      <c r="DO306" s="87"/>
      <c r="DP306" s="87"/>
      <c r="DQ306" s="87"/>
      <c r="DR306" s="87"/>
      <c r="DS306" s="87"/>
      <c r="DT306" s="87"/>
      <c r="DU306" s="87"/>
      <c r="DV306" s="87"/>
      <c r="DW306" s="87"/>
      <c r="DX306" s="87"/>
      <c r="DY306" s="87"/>
      <c r="DZ306" s="87"/>
      <c r="EA306" s="87"/>
      <c r="EB306" s="87"/>
      <c r="EC306" s="87"/>
      <c r="ED306" s="87"/>
      <c r="EE306" s="87"/>
    </row>
    <row r="307" spans="2:135" ht="16.5" outlineLevel="1" thickTop="1" thickBot="1" x14ac:dyDescent="0.3">
      <c r="D307" s="101">
        <v>0</v>
      </c>
      <c r="E307" s="101" t="s">
        <v>243</v>
      </c>
      <c r="F307" s="101" t="s">
        <v>320</v>
      </c>
      <c r="G307" s="101">
        <v>2</v>
      </c>
      <c r="H307" s="101">
        <v>6</v>
      </c>
      <c r="I307" s="101" t="s">
        <v>321</v>
      </c>
      <c r="J307" s="101" t="s">
        <v>250</v>
      </c>
      <c r="K307" s="101" t="s">
        <v>251</v>
      </c>
      <c r="L307" s="101" t="s">
        <v>322</v>
      </c>
      <c r="M307" s="101">
        <v>12</v>
      </c>
      <c r="CY307" s="87"/>
      <c r="CZ307" s="87"/>
      <c r="DA307" s="87"/>
      <c r="DB307" s="87"/>
      <c r="DC307" s="87"/>
      <c r="DD307" s="87"/>
      <c r="DE307" s="87"/>
      <c r="DF307" s="87"/>
      <c r="DG307" s="87"/>
      <c r="DH307" s="87"/>
      <c r="DI307" s="87"/>
      <c r="DJ307" s="87"/>
      <c r="DK307" s="87"/>
      <c r="DL307" s="87"/>
      <c r="DM307" s="87"/>
      <c r="DN307" s="87"/>
      <c r="DO307" s="87"/>
      <c r="DP307" s="87"/>
      <c r="DQ307" s="87"/>
      <c r="DR307" s="87"/>
      <c r="DS307" s="87"/>
      <c r="DT307" s="87"/>
      <c r="DU307" s="87"/>
      <c r="DV307" s="87"/>
      <c r="DW307" s="87"/>
      <c r="DX307" s="87"/>
      <c r="DY307" s="87"/>
      <c r="DZ307" s="87"/>
      <c r="EA307" s="87"/>
      <c r="EB307" s="87"/>
      <c r="EC307" s="87"/>
      <c r="ED307" s="87"/>
      <c r="EE307" s="87"/>
    </row>
    <row r="308" spans="2:135" outlineLevel="1" x14ac:dyDescent="0.25">
      <c r="B308" t="s">
        <v>141</v>
      </c>
      <c r="C308" t="s">
        <v>329</v>
      </c>
      <c r="D308" s="110">
        <f t="shared" ref="D308:E312" si="105">D274</f>
        <v>17.022268601189666</v>
      </c>
      <c r="E308" s="110">
        <f t="shared" si="105"/>
        <v>65.353891763364544</v>
      </c>
      <c r="F308" s="110">
        <f t="shared" ref="F308:H312" si="106">G274</f>
        <v>83.025901194465291</v>
      </c>
      <c r="G308" s="110">
        <f t="shared" si="106"/>
        <v>0</v>
      </c>
      <c r="H308" s="110">
        <f t="shared" si="106"/>
        <v>80.007201392865184</v>
      </c>
      <c r="I308" s="110">
        <f t="shared" ref="I308:K312" si="107">K274</f>
        <v>97.467288396622664</v>
      </c>
      <c r="J308" s="110">
        <f t="shared" si="107"/>
        <v>67.333695574107935</v>
      </c>
      <c r="K308" s="110">
        <f t="shared" si="107"/>
        <v>55.069021421482432</v>
      </c>
      <c r="L308" s="110">
        <f t="shared" ref="L308:M312" si="108">O274</f>
        <v>73.769517886771382</v>
      </c>
      <c r="M308" s="110">
        <f t="shared" si="108"/>
        <v>72.16417408315435</v>
      </c>
      <c r="CY308" s="87"/>
      <c r="CZ308" s="87"/>
      <c r="DA308" s="87"/>
      <c r="DB308" s="87"/>
      <c r="DC308" s="87"/>
      <c r="DD308" s="87"/>
      <c r="DE308" s="87"/>
      <c r="DF308" s="87"/>
      <c r="DG308" s="87"/>
      <c r="DH308" s="87"/>
      <c r="DI308" s="87"/>
      <c r="DJ308" s="87"/>
      <c r="DK308" s="87"/>
      <c r="DL308" s="87"/>
      <c r="DM308" s="87"/>
      <c r="DN308" s="87"/>
      <c r="DO308" s="87"/>
      <c r="DP308" s="87"/>
      <c r="DQ308" s="87"/>
      <c r="DR308" s="87"/>
      <c r="DS308" s="87"/>
      <c r="DT308" s="87"/>
      <c r="DU308" s="87"/>
      <c r="DV308" s="87"/>
      <c r="DW308" s="87"/>
      <c r="DX308" s="87"/>
      <c r="DY308" s="87"/>
      <c r="DZ308" s="87"/>
      <c r="EA308" s="87"/>
      <c r="EB308" s="87"/>
      <c r="EC308" s="87"/>
      <c r="ED308" s="87"/>
      <c r="EE308" s="87"/>
    </row>
    <row r="309" spans="2:135" outlineLevel="1" x14ac:dyDescent="0.25">
      <c r="B309" t="s">
        <v>136</v>
      </c>
      <c r="C309" t="s">
        <v>329</v>
      </c>
      <c r="D309" s="110">
        <f t="shared" si="105"/>
        <v>55.874025105762904</v>
      </c>
      <c r="E309" s="110">
        <f t="shared" si="105"/>
        <v>19.009994176475164</v>
      </c>
      <c r="F309" s="110">
        <f t="shared" si="106"/>
        <v>0</v>
      </c>
      <c r="G309" s="110">
        <f t="shared" si="106"/>
        <v>33.059302774736778</v>
      </c>
      <c r="H309" s="110">
        <f t="shared" si="106"/>
        <v>20.658035486481584</v>
      </c>
      <c r="I309" s="110">
        <f t="shared" si="107"/>
        <v>0</v>
      </c>
      <c r="J309" s="110">
        <f t="shared" si="107"/>
        <v>47.395748185435018</v>
      </c>
      <c r="K309" s="110">
        <f t="shared" si="107"/>
        <v>19.009994176475164</v>
      </c>
      <c r="L309" s="110">
        <f t="shared" si="108"/>
        <v>0</v>
      </c>
      <c r="M309" s="110">
        <f t="shared" si="108"/>
        <v>8.3607452749735991</v>
      </c>
      <c r="CY309" s="87"/>
      <c r="CZ309" s="87"/>
      <c r="DA309" s="87"/>
      <c r="DB309" s="87"/>
      <c r="DC309" s="87"/>
      <c r="DD309" s="87"/>
      <c r="DE309" s="87"/>
      <c r="DF309" s="87"/>
      <c r="DG309" s="87"/>
      <c r="DH309" s="87"/>
      <c r="DI309" s="87"/>
      <c r="DJ309" s="87"/>
      <c r="DK309" s="87"/>
      <c r="DL309" s="87"/>
      <c r="DM309" s="87"/>
      <c r="DN309" s="87"/>
      <c r="DO309" s="87"/>
      <c r="DP309" s="87"/>
      <c r="DQ309" s="87"/>
      <c r="DR309" s="87"/>
      <c r="DS309" s="87"/>
      <c r="DT309" s="87"/>
      <c r="DU309" s="87"/>
      <c r="DV309" s="87"/>
      <c r="DW309" s="87"/>
      <c r="DX309" s="87"/>
      <c r="DY309" s="87"/>
      <c r="DZ309" s="87"/>
      <c r="EA309" s="87"/>
      <c r="EB309" s="87"/>
      <c r="EC309" s="87"/>
      <c r="ED309" s="87"/>
      <c r="EE309" s="87"/>
    </row>
    <row r="310" spans="2:135" outlineLevel="1" x14ac:dyDescent="0.25">
      <c r="B310" t="s">
        <v>154</v>
      </c>
      <c r="C310" t="s">
        <v>329</v>
      </c>
      <c r="D310" s="110">
        <f t="shared" si="105"/>
        <v>14.537553349123103</v>
      </c>
      <c r="E310" s="110">
        <f t="shared" si="105"/>
        <v>8.2154621204970386</v>
      </c>
      <c r="F310" s="110">
        <f t="shared" si="106"/>
        <v>8.2154621204970386</v>
      </c>
      <c r="G310" s="110">
        <f t="shared" si="106"/>
        <v>11.701509393593463</v>
      </c>
      <c r="H310" s="110">
        <f t="shared" si="106"/>
        <v>11.699172236609837</v>
      </c>
      <c r="I310" s="110">
        <f t="shared" si="107"/>
        <v>11.699172236609837</v>
      </c>
      <c r="J310" s="110">
        <f t="shared" si="107"/>
        <v>14.537553349123103</v>
      </c>
      <c r="K310" s="110">
        <f t="shared" si="107"/>
        <v>8.2154621204970386</v>
      </c>
      <c r="L310" s="110">
        <f t="shared" si="108"/>
        <v>8.2154621204970386</v>
      </c>
      <c r="M310" s="110">
        <f t="shared" si="108"/>
        <v>10.129760546091255</v>
      </c>
      <c r="CY310" s="87"/>
      <c r="CZ310" s="87"/>
      <c r="DA310" s="87"/>
      <c r="DB310" s="87"/>
      <c r="DC310" s="87"/>
      <c r="DD310" s="87"/>
      <c r="DE310" s="87"/>
      <c r="DF310" s="87"/>
      <c r="DG310" s="87"/>
      <c r="DH310" s="87"/>
      <c r="DI310" s="87"/>
      <c r="DJ310" s="87"/>
      <c r="DK310" s="87"/>
      <c r="DL310" s="87"/>
      <c r="DM310" s="87"/>
      <c r="DN310" s="87"/>
      <c r="DO310" s="87"/>
      <c r="DP310" s="87"/>
      <c r="DQ310" s="87"/>
      <c r="DR310" s="87"/>
      <c r="DS310" s="87"/>
      <c r="DT310" s="87"/>
      <c r="DU310" s="87"/>
      <c r="DV310" s="87"/>
      <c r="DW310" s="87"/>
      <c r="DX310" s="87"/>
      <c r="DY310" s="87"/>
      <c r="DZ310" s="87"/>
      <c r="EA310" s="87"/>
      <c r="EB310" s="87"/>
      <c r="EC310" s="87"/>
      <c r="ED310" s="87"/>
      <c r="EE310" s="87"/>
    </row>
    <row r="311" spans="2:135" outlineLevel="1" x14ac:dyDescent="0.25">
      <c r="B311" t="s">
        <v>312</v>
      </c>
      <c r="C311" t="s">
        <v>329</v>
      </c>
      <c r="D311" s="110">
        <f t="shared" si="105"/>
        <v>25.171573586538543</v>
      </c>
      <c r="E311" s="110">
        <f t="shared" si="105"/>
        <v>8.5641130451412497</v>
      </c>
      <c r="F311" s="110">
        <f t="shared" si="106"/>
        <v>0</v>
      </c>
      <c r="G311" s="110">
        <f t="shared" si="106"/>
        <v>14.893408358155238</v>
      </c>
      <c r="H311" s="110">
        <f t="shared" si="106"/>
        <v>9.3065652495413822</v>
      </c>
      <c r="I311" s="110">
        <f t="shared" si="107"/>
        <v>0</v>
      </c>
      <c r="J311" s="110">
        <f t="shared" si="107"/>
        <v>21.352060476768454</v>
      </c>
      <c r="K311" s="110">
        <f t="shared" si="107"/>
        <v>8.5641130451412497</v>
      </c>
      <c r="L311" s="110">
        <f t="shared" si="108"/>
        <v>0</v>
      </c>
      <c r="M311" s="110">
        <f t="shared" si="108"/>
        <v>3.7665644193154084</v>
      </c>
      <c r="CY311" s="87"/>
      <c r="CZ311" s="87"/>
      <c r="DA311" s="87"/>
      <c r="DB311" s="87"/>
      <c r="DC311" s="87"/>
      <c r="DD311" s="87"/>
      <c r="DE311" s="87"/>
      <c r="DF311" s="87"/>
      <c r="DG311" s="87"/>
      <c r="DH311" s="87"/>
      <c r="DI311" s="87"/>
      <c r="DJ311" s="87"/>
      <c r="DK311" s="87"/>
      <c r="DL311" s="87"/>
      <c r="DM311" s="87"/>
      <c r="DN311" s="87"/>
      <c r="DO311" s="87"/>
      <c r="DP311" s="87"/>
      <c r="DQ311" s="87"/>
      <c r="DR311" s="87"/>
      <c r="DS311" s="87"/>
      <c r="DT311" s="87"/>
      <c r="DU311" s="87"/>
      <c r="DV311" s="87"/>
      <c r="DW311" s="87"/>
      <c r="DX311" s="87"/>
      <c r="DY311" s="87"/>
      <c r="DZ311" s="87"/>
      <c r="EA311" s="87"/>
      <c r="EB311" s="87"/>
      <c r="EC311" s="87"/>
      <c r="ED311" s="87"/>
      <c r="EE311" s="87"/>
    </row>
    <row r="312" spans="2:135" outlineLevel="1" x14ac:dyDescent="0.25">
      <c r="B312" t="s">
        <v>224</v>
      </c>
      <c r="C312" t="s">
        <v>329</v>
      </c>
      <c r="D312" s="110">
        <f t="shared" si="105"/>
        <v>112.60542064261422</v>
      </c>
      <c r="E312" s="110">
        <f t="shared" si="105"/>
        <v>101.14346110547798</v>
      </c>
      <c r="F312" s="110">
        <f t="shared" si="106"/>
        <v>91.241363314962328</v>
      </c>
      <c r="G312" s="110">
        <f t="shared" si="106"/>
        <v>59.654220526485481</v>
      </c>
      <c r="H312" s="110">
        <f t="shared" si="106"/>
        <v>121.67097436549798</v>
      </c>
      <c r="I312" s="110">
        <f t="shared" si="107"/>
        <v>109.16646063323249</v>
      </c>
      <c r="J312" s="110">
        <f t="shared" si="107"/>
        <v>150.61905758543449</v>
      </c>
      <c r="K312" s="110">
        <f t="shared" si="107"/>
        <v>90.858590763595885</v>
      </c>
      <c r="L312" s="110">
        <f t="shared" si="108"/>
        <v>81.984980007268419</v>
      </c>
      <c r="M312" s="110">
        <f t="shared" si="108"/>
        <v>94.421244323534623</v>
      </c>
      <c r="CY312" s="87"/>
      <c r="CZ312" s="87"/>
      <c r="DA312" s="87"/>
      <c r="DB312" s="87"/>
      <c r="DC312" s="87"/>
      <c r="DD312" s="87"/>
      <c r="DE312" s="87"/>
      <c r="DF312" s="87"/>
      <c r="DG312" s="87"/>
      <c r="DH312" s="87"/>
      <c r="DI312" s="87"/>
      <c r="DJ312" s="87"/>
      <c r="DK312" s="87"/>
      <c r="DL312" s="87"/>
      <c r="DM312" s="87"/>
      <c r="DN312" s="87"/>
      <c r="DO312" s="87"/>
      <c r="DP312" s="87"/>
      <c r="DQ312" s="87"/>
      <c r="DR312" s="87"/>
      <c r="DS312" s="87"/>
      <c r="DT312" s="87"/>
      <c r="DU312" s="87"/>
      <c r="DV312" s="87"/>
      <c r="DW312" s="87"/>
      <c r="DX312" s="87"/>
      <c r="DY312" s="87"/>
      <c r="DZ312" s="87"/>
      <c r="EA312" s="87"/>
      <c r="EB312" s="87"/>
      <c r="EC312" s="87"/>
      <c r="ED312" s="87"/>
      <c r="EE312" s="87"/>
    </row>
    <row r="313" spans="2:135" outlineLevel="1" x14ac:dyDescent="0.25">
      <c r="CY313" s="87"/>
      <c r="CZ313" s="87"/>
      <c r="DA313" s="87"/>
      <c r="DB313" s="87"/>
      <c r="DC313" s="87"/>
      <c r="DD313" s="87"/>
      <c r="DE313" s="87"/>
      <c r="DF313" s="87"/>
      <c r="DG313" s="87"/>
      <c r="DH313" s="87"/>
      <c r="DI313" s="87"/>
      <c r="DJ313" s="87"/>
      <c r="DK313" s="87"/>
      <c r="DL313" s="87"/>
      <c r="DM313" s="87"/>
      <c r="DN313" s="87"/>
      <c r="DO313" s="87"/>
      <c r="DP313" s="87"/>
      <c r="DQ313" s="87"/>
      <c r="DR313" s="87"/>
      <c r="DS313" s="87"/>
      <c r="DT313" s="87"/>
      <c r="DU313" s="87"/>
      <c r="DV313" s="87"/>
      <c r="DW313" s="87"/>
      <c r="DX313" s="87"/>
      <c r="DY313" s="87"/>
      <c r="DZ313" s="87"/>
      <c r="EA313" s="87"/>
      <c r="EB313" s="87"/>
      <c r="EC313" s="87"/>
      <c r="ED313" s="87"/>
      <c r="EE313" s="87"/>
    </row>
    <row r="314" spans="2:135" ht="17.25" outlineLevel="1" thickBot="1" x14ac:dyDescent="0.3">
      <c r="B314" s="19" t="s">
        <v>339</v>
      </c>
      <c r="C314" s="19"/>
      <c r="D314" s="96"/>
      <c r="E314" s="96"/>
      <c r="F314" s="96"/>
      <c r="G314" s="96"/>
      <c r="H314" s="96"/>
      <c r="I314" s="96"/>
      <c r="J314" s="96"/>
      <c r="K314" s="96"/>
      <c r="L314" s="96"/>
      <c r="M314" s="96"/>
      <c r="CY314" s="87"/>
      <c r="CZ314" s="87"/>
      <c r="DA314" s="87"/>
      <c r="DB314" s="87"/>
      <c r="DC314" s="87"/>
      <c r="DD314" s="87"/>
      <c r="DE314" s="87"/>
      <c r="DF314" s="87"/>
      <c r="DG314" s="87"/>
      <c r="DH314" s="87"/>
      <c r="DI314" s="87"/>
      <c r="DJ314" s="87"/>
      <c r="DK314" s="87"/>
      <c r="DL314" s="87"/>
      <c r="DM314" s="87"/>
      <c r="DN314" s="87"/>
      <c r="DO314" s="87"/>
      <c r="DP314" s="87"/>
      <c r="DQ314" s="87"/>
      <c r="DR314" s="87"/>
      <c r="DS314" s="87"/>
      <c r="DT314" s="87"/>
      <c r="DU314" s="87"/>
      <c r="DV314" s="87"/>
      <c r="DW314" s="87"/>
      <c r="DX314" s="87"/>
      <c r="DY314" s="87"/>
      <c r="DZ314" s="87"/>
      <c r="EA314" s="87"/>
      <c r="EB314" s="87"/>
      <c r="EC314" s="87"/>
      <c r="ED314" s="87"/>
      <c r="EE314" s="87"/>
    </row>
    <row r="315" spans="2:135" ht="16.5" outlineLevel="1" thickTop="1" thickBot="1" x14ac:dyDescent="0.3">
      <c r="D315" s="101">
        <v>0</v>
      </c>
      <c r="E315" s="101" t="s">
        <v>243</v>
      </c>
      <c r="F315" s="101" t="s">
        <v>320</v>
      </c>
      <c r="G315" s="101">
        <v>2</v>
      </c>
      <c r="H315" s="101">
        <v>6</v>
      </c>
      <c r="I315" s="101" t="s">
        <v>321</v>
      </c>
      <c r="J315" s="101" t="s">
        <v>250</v>
      </c>
      <c r="K315" s="101" t="s">
        <v>251</v>
      </c>
      <c r="L315" s="101" t="s">
        <v>322</v>
      </c>
      <c r="M315" s="101">
        <v>12</v>
      </c>
      <c r="CY315" s="87"/>
      <c r="CZ315" s="87"/>
      <c r="DA315" s="87"/>
      <c r="DB315" s="87"/>
      <c r="DC315" s="87"/>
      <c r="DD315" s="87"/>
      <c r="DE315" s="87"/>
      <c r="DF315" s="87"/>
      <c r="DG315" s="87"/>
      <c r="DH315" s="87"/>
      <c r="DI315" s="87"/>
      <c r="DJ315" s="87"/>
      <c r="DK315" s="87"/>
      <c r="DL315" s="87"/>
      <c r="DM315" s="87"/>
      <c r="DN315" s="87"/>
      <c r="DO315" s="87"/>
      <c r="DP315" s="87"/>
      <c r="DQ315" s="87"/>
      <c r="DR315" s="87"/>
      <c r="DS315" s="87"/>
      <c r="DT315" s="87"/>
      <c r="DU315" s="87"/>
      <c r="DV315" s="87"/>
      <c r="DW315" s="87"/>
      <c r="DX315" s="87"/>
      <c r="DY315" s="87"/>
      <c r="DZ315" s="87"/>
      <c r="EA315" s="87"/>
      <c r="EB315" s="87"/>
      <c r="EC315" s="87"/>
      <c r="ED315" s="87"/>
      <c r="EE315" s="87"/>
    </row>
    <row r="316" spans="2:135" outlineLevel="1" x14ac:dyDescent="0.25">
      <c r="B316" t="s">
        <v>141</v>
      </c>
      <c r="C316" t="s">
        <v>329</v>
      </c>
      <c r="D316" s="110">
        <f>D308</f>
        <v>17.022268601189666</v>
      </c>
      <c r="E316" s="110">
        <f t="shared" ref="E316:M316" si="109">E308</f>
        <v>65.353891763364544</v>
      </c>
      <c r="F316" s="110">
        <f t="shared" si="109"/>
        <v>83.025901194465291</v>
      </c>
      <c r="G316" s="110">
        <f t="shared" si="109"/>
        <v>0</v>
      </c>
      <c r="H316" s="110">
        <f t="shared" si="109"/>
        <v>80.007201392865184</v>
      </c>
      <c r="I316" s="110">
        <f t="shared" si="109"/>
        <v>97.467288396622664</v>
      </c>
      <c r="J316" s="110">
        <f t="shared" si="109"/>
        <v>67.333695574107935</v>
      </c>
      <c r="K316" s="110">
        <f t="shared" si="109"/>
        <v>55.069021421482432</v>
      </c>
      <c r="L316" s="110">
        <f t="shared" si="109"/>
        <v>73.769517886771382</v>
      </c>
      <c r="M316" s="110">
        <f t="shared" si="109"/>
        <v>72.16417408315435</v>
      </c>
      <c r="CY316" s="87"/>
      <c r="CZ316" s="87"/>
      <c r="DA316" s="87"/>
      <c r="DB316" s="87"/>
      <c r="DC316" s="87"/>
      <c r="DD316" s="87"/>
      <c r="DE316" s="87"/>
      <c r="DF316" s="87"/>
      <c r="DG316" s="87"/>
      <c r="DH316" s="87"/>
      <c r="DI316" s="87"/>
      <c r="DJ316" s="87"/>
      <c r="DK316" s="87"/>
      <c r="DL316" s="87"/>
      <c r="DM316" s="87"/>
      <c r="DN316" s="87"/>
      <c r="DO316" s="87"/>
      <c r="DP316" s="87"/>
      <c r="DQ316" s="87"/>
      <c r="DR316" s="87"/>
      <c r="DS316" s="87"/>
      <c r="DT316" s="87"/>
      <c r="DU316" s="87"/>
      <c r="DV316" s="87"/>
      <c r="DW316" s="87"/>
      <c r="DX316" s="87"/>
      <c r="DY316" s="87"/>
      <c r="DZ316" s="87"/>
      <c r="EA316" s="87"/>
      <c r="EB316" s="87"/>
      <c r="EC316" s="87"/>
      <c r="ED316" s="87"/>
      <c r="EE316" s="87"/>
    </row>
    <row r="317" spans="2:135" outlineLevel="1" x14ac:dyDescent="0.25">
      <c r="B317" t="s">
        <v>136</v>
      </c>
      <c r="C317" t="s">
        <v>329</v>
      </c>
      <c r="D317" s="110">
        <f t="shared" ref="D317:D319" si="110">D309</f>
        <v>55.874025105762904</v>
      </c>
      <c r="E317" s="110">
        <f t="shared" ref="E317:M317" si="111">E309</f>
        <v>19.009994176475164</v>
      </c>
      <c r="F317" s="110">
        <f t="shared" si="111"/>
        <v>0</v>
      </c>
      <c r="G317" s="110">
        <f t="shared" si="111"/>
        <v>33.059302774736778</v>
      </c>
      <c r="H317" s="110">
        <f t="shared" si="111"/>
        <v>20.658035486481584</v>
      </c>
      <c r="I317" s="110">
        <f t="shared" si="111"/>
        <v>0</v>
      </c>
      <c r="J317" s="110">
        <f t="shared" si="111"/>
        <v>47.395748185435018</v>
      </c>
      <c r="K317" s="110">
        <f t="shared" si="111"/>
        <v>19.009994176475164</v>
      </c>
      <c r="L317" s="110">
        <f t="shared" si="111"/>
        <v>0</v>
      </c>
      <c r="M317" s="110">
        <f t="shared" si="111"/>
        <v>8.3607452749735991</v>
      </c>
      <c r="CY317" s="87"/>
      <c r="CZ317" s="87"/>
      <c r="DA317" s="87"/>
      <c r="DB317" s="87"/>
      <c r="DC317" s="87"/>
      <c r="DD317" s="87"/>
      <c r="DE317" s="87"/>
      <c r="DF317" s="87"/>
      <c r="DG317" s="87"/>
      <c r="DH317" s="87"/>
      <c r="DI317" s="87"/>
      <c r="DJ317" s="87"/>
      <c r="DK317" s="87"/>
      <c r="DL317" s="87"/>
      <c r="DM317" s="87"/>
      <c r="DN317" s="87"/>
      <c r="DO317" s="87"/>
      <c r="DP317" s="87"/>
      <c r="DQ317" s="87"/>
      <c r="DR317" s="87"/>
      <c r="DS317" s="87"/>
      <c r="DT317" s="87"/>
      <c r="DU317" s="87"/>
      <c r="DV317" s="87"/>
      <c r="DW317" s="87"/>
      <c r="DX317" s="87"/>
      <c r="DY317" s="87"/>
      <c r="DZ317" s="87"/>
      <c r="EA317" s="87"/>
      <c r="EB317" s="87"/>
      <c r="EC317" s="87"/>
      <c r="ED317" s="87"/>
      <c r="EE317" s="87"/>
    </row>
    <row r="318" spans="2:135" outlineLevel="1" x14ac:dyDescent="0.25">
      <c r="B318" t="s">
        <v>154</v>
      </c>
      <c r="C318" t="s">
        <v>329</v>
      </c>
      <c r="D318" s="110">
        <f t="shared" si="110"/>
        <v>14.537553349123103</v>
      </c>
      <c r="E318" s="110">
        <f t="shared" ref="E318:M318" si="112">E310</f>
        <v>8.2154621204970386</v>
      </c>
      <c r="F318" s="110">
        <f t="shared" si="112"/>
        <v>8.2154621204970386</v>
      </c>
      <c r="G318" s="110">
        <f t="shared" si="112"/>
        <v>11.701509393593463</v>
      </c>
      <c r="H318" s="110">
        <f t="shared" si="112"/>
        <v>11.699172236609837</v>
      </c>
      <c r="I318" s="110">
        <f t="shared" si="112"/>
        <v>11.699172236609837</v>
      </c>
      <c r="J318" s="110">
        <f t="shared" si="112"/>
        <v>14.537553349123103</v>
      </c>
      <c r="K318" s="110">
        <f t="shared" si="112"/>
        <v>8.2154621204970386</v>
      </c>
      <c r="L318" s="110">
        <f t="shared" si="112"/>
        <v>8.2154621204970386</v>
      </c>
      <c r="M318" s="110">
        <f t="shared" si="112"/>
        <v>10.129760546091255</v>
      </c>
      <c r="CY318" s="87"/>
      <c r="CZ318" s="87"/>
      <c r="DA318" s="87"/>
      <c r="DB318" s="87"/>
      <c r="DC318" s="87"/>
      <c r="DD318" s="87"/>
      <c r="DE318" s="87"/>
      <c r="DF318" s="87"/>
      <c r="DG318" s="87"/>
      <c r="DH318" s="87"/>
      <c r="DI318" s="87"/>
      <c r="DJ318" s="87"/>
      <c r="DK318" s="87"/>
      <c r="DL318" s="87"/>
      <c r="DM318" s="87"/>
      <c r="DN318" s="87"/>
      <c r="DO318" s="87"/>
      <c r="DP318" s="87"/>
      <c r="DQ318" s="87"/>
      <c r="DR318" s="87"/>
      <c r="DS318" s="87"/>
      <c r="DT318" s="87"/>
      <c r="DU318" s="87"/>
      <c r="DV318" s="87"/>
      <c r="DW318" s="87"/>
      <c r="DX318" s="87"/>
      <c r="DY318" s="87"/>
      <c r="DZ318" s="87"/>
      <c r="EA318" s="87"/>
      <c r="EB318" s="87"/>
      <c r="EC318" s="87"/>
      <c r="ED318" s="87"/>
      <c r="EE318" s="87"/>
    </row>
    <row r="319" spans="2:135" outlineLevel="1" x14ac:dyDescent="0.25">
      <c r="B319" t="s">
        <v>312</v>
      </c>
      <c r="C319" t="s">
        <v>329</v>
      </c>
      <c r="D319" s="110">
        <f t="shared" si="110"/>
        <v>25.171573586538543</v>
      </c>
      <c r="E319" s="110">
        <f t="shared" ref="E319:M319" si="113">E311</f>
        <v>8.5641130451412497</v>
      </c>
      <c r="F319" s="110">
        <f t="shared" si="113"/>
        <v>0</v>
      </c>
      <c r="G319" s="110">
        <f t="shared" si="113"/>
        <v>14.893408358155238</v>
      </c>
      <c r="H319" s="110">
        <f t="shared" si="113"/>
        <v>9.3065652495413822</v>
      </c>
      <c r="I319" s="110">
        <f t="shared" si="113"/>
        <v>0</v>
      </c>
      <c r="J319" s="110">
        <f t="shared" si="113"/>
        <v>21.352060476768454</v>
      </c>
      <c r="K319" s="110">
        <f t="shared" si="113"/>
        <v>8.5641130451412497</v>
      </c>
      <c r="L319" s="110">
        <f t="shared" si="113"/>
        <v>0</v>
      </c>
      <c r="M319" s="110">
        <f t="shared" si="113"/>
        <v>3.7665644193154084</v>
      </c>
      <c r="CY319" s="87"/>
      <c r="CZ319" s="87"/>
      <c r="DA319" s="87"/>
      <c r="DB319" s="87"/>
      <c r="DC319" s="87"/>
      <c r="DD319" s="87"/>
      <c r="DE319" s="87"/>
      <c r="DF319" s="87"/>
      <c r="DG319" s="87"/>
      <c r="DH319" s="87"/>
      <c r="DI319" s="87"/>
      <c r="DJ319" s="87"/>
      <c r="DK319" s="87"/>
      <c r="DL319" s="87"/>
      <c r="DM319" s="87"/>
      <c r="DN319" s="87"/>
      <c r="DO319" s="87"/>
      <c r="DP319" s="87"/>
      <c r="DQ319" s="87"/>
      <c r="DR319" s="87"/>
      <c r="DS319" s="87"/>
      <c r="DT319" s="87"/>
      <c r="DU319" s="87"/>
      <c r="DV319" s="87"/>
      <c r="DW319" s="87"/>
      <c r="DX319" s="87"/>
      <c r="DY319" s="87"/>
      <c r="DZ319" s="87"/>
      <c r="EA319" s="87"/>
      <c r="EB319" s="87"/>
      <c r="EC319" s="87"/>
      <c r="ED319" s="87"/>
      <c r="EE319" s="87"/>
    </row>
    <row r="320" spans="2:135" outlineLevel="1" x14ac:dyDescent="0.25">
      <c r="B320" t="s">
        <v>327</v>
      </c>
      <c r="C320" t="s">
        <v>329</v>
      </c>
      <c r="D320" s="110">
        <f>D270</f>
        <v>15.273</v>
      </c>
      <c r="E320" s="110">
        <f>E270</f>
        <v>16.363399999999999</v>
      </c>
      <c r="F320" s="110">
        <f>G270</f>
        <v>18.160799999999998</v>
      </c>
      <c r="G320" s="110">
        <f>H270</f>
        <v>20.138100000000001</v>
      </c>
      <c r="H320" s="110">
        <f>I270</f>
        <v>13.274900000000001</v>
      </c>
      <c r="I320" s="110">
        <f>K270</f>
        <v>16.941299999999998</v>
      </c>
      <c r="J320" s="110">
        <f>L270</f>
        <v>9.0667000000000009</v>
      </c>
      <c r="K320" s="110">
        <f>M270</f>
        <v>15.6409</v>
      </c>
      <c r="L320" s="110">
        <f>O270</f>
        <v>17.14</v>
      </c>
      <c r="M320" s="110">
        <f>P270</f>
        <v>28.554600000000001</v>
      </c>
      <c r="CY320" s="87"/>
      <c r="CZ320" s="87"/>
      <c r="DA320" s="87"/>
      <c r="DB320" s="87"/>
      <c r="DC320" s="87"/>
      <c r="DD320" s="87"/>
      <c r="DE320" s="87"/>
      <c r="DF320" s="87"/>
      <c r="DG320" s="87"/>
      <c r="DH320" s="87"/>
      <c r="DI320" s="87"/>
      <c r="DJ320" s="87"/>
      <c r="DK320" s="87"/>
      <c r="DL320" s="87"/>
      <c r="DM320" s="87"/>
      <c r="DN320" s="87"/>
      <c r="DO320" s="87"/>
      <c r="DP320" s="87"/>
      <c r="DQ320" s="87"/>
      <c r="DR320" s="87"/>
      <c r="DS320" s="87"/>
      <c r="DT320" s="87"/>
      <c r="DU320" s="87"/>
      <c r="DV320" s="87"/>
      <c r="DW320" s="87"/>
      <c r="DX320" s="87"/>
      <c r="DY320" s="87"/>
      <c r="DZ320" s="87"/>
      <c r="EA320" s="87"/>
      <c r="EB320" s="87"/>
      <c r="EC320" s="87"/>
      <c r="ED320" s="87"/>
      <c r="EE320" s="87"/>
    </row>
    <row r="321" spans="2:135" outlineLevel="1" x14ac:dyDescent="0.25">
      <c r="B321" t="s">
        <v>224</v>
      </c>
      <c r="C321" t="s">
        <v>329</v>
      </c>
      <c r="D321" s="103">
        <f>SUM(D316:D320)</f>
        <v>127.87842064261422</v>
      </c>
      <c r="E321" s="103">
        <f t="shared" ref="E321:M321" si="114">SUM(E316:E320)</f>
        <v>117.506861105478</v>
      </c>
      <c r="F321" s="103">
        <f t="shared" si="114"/>
        <v>109.40216331496232</v>
      </c>
      <c r="G321" s="103">
        <f t="shared" si="114"/>
        <v>79.792320526485469</v>
      </c>
      <c r="H321" s="103">
        <f t="shared" si="114"/>
        <v>134.94587436549799</v>
      </c>
      <c r="I321" s="103">
        <f t="shared" si="114"/>
        <v>126.1077606332325</v>
      </c>
      <c r="J321" s="103">
        <f t="shared" si="114"/>
        <v>159.68575758543452</v>
      </c>
      <c r="K321" s="103">
        <f t="shared" si="114"/>
        <v>106.49949076359589</v>
      </c>
      <c r="L321" s="103">
        <f t="shared" si="114"/>
        <v>99.12498000726842</v>
      </c>
      <c r="M321" s="103">
        <f t="shared" si="114"/>
        <v>122.9758443235346</v>
      </c>
      <c r="CY321" s="87"/>
      <c r="CZ321" s="87"/>
      <c r="DA321" s="87"/>
      <c r="DB321" s="87"/>
      <c r="DC321" s="87"/>
      <c r="DD321" s="87"/>
      <c r="DE321" s="87"/>
      <c r="DF321" s="87"/>
      <c r="DG321" s="87"/>
      <c r="DH321" s="87"/>
      <c r="DI321" s="87"/>
      <c r="DJ321" s="87"/>
      <c r="DK321" s="87"/>
      <c r="DL321" s="87"/>
      <c r="DM321" s="87"/>
      <c r="DN321" s="87"/>
      <c r="DO321" s="87"/>
      <c r="DP321" s="87"/>
      <c r="DQ321" s="87"/>
      <c r="DR321" s="87"/>
      <c r="DS321" s="87"/>
      <c r="DT321" s="87"/>
      <c r="DU321" s="87"/>
      <c r="DV321" s="87"/>
      <c r="DW321" s="87"/>
      <c r="DX321" s="87"/>
      <c r="DY321" s="87"/>
      <c r="DZ321" s="87"/>
      <c r="EA321" s="87"/>
      <c r="EB321" s="87"/>
      <c r="EC321" s="87"/>
      <c r="ED321" s="87"/>
      <c r="EE321" s="87"/>
    </row>
    <row r="322" spans="2:135" outlineLevel="1" x14ac:dyDescent="0.25">
      <c r="CY322" s="87"/>
      <c r="CZ322" s="87"/>
      <c r="DA322" s="87"/>
      <c r="DB322" s="87"/>
      <c r="DC322" s="87"/>
      <c r="DD322" s="87"/>
      <c r="DE322" s="87"/>
      <c r="DF322" s="87"/>
      <c r="DG322" s="87"/>
      <c r="DH322" s="87"/>
      <c r="DI322" s="87"/>
      <c r="DJ322" s="87"/>
      <c r="DK322" s="87"/>
      <c r="DL322" s="87"/>
      <c r="DM322" s="87"/>
      <c r="DN322" s="87"/>
      <c r="DO322" s="87"/>
      <c r="DP322" s="87"/>
      <c r="DQ322" s="87"/>
      <c r="DR322" s="87"/>
      <c r="DS322" s="87"/>
      <c r="DT322" s="87"/>
      <c r="DU322" s="87"/>
      <c r="DV322" s="87"/>
      <c r="DW322" s="87"/>
      <c r="DX322" s="87"/>
      <c r="DY322" s="87"/>
      <c r="DZ322" s="87"/>
      <c r="EA322" s="87"/>
      <c r="EB322" s="87"/>
      <c r="EC322" s="87"/>
      <c r="ED322" s="87"/>
      <c r="EE322" s="87"/>
    </row>
    <row r="323" spans="2:135" ht="17.25" outlineLevel="1" thickBot="1" x14ac:dyDescent="0.3">
      <c r="B323" s="19" t="s">
        <v>340</v>
      </c>
      <c r="C323" s="19"/>
      <c r="D323" s="96"/>
      <c r="E323" s="96"/>
      <c r="F323" s="96"/>
      <c r="G323" s="96"/>
      <c r="H323" s="96"/>
      <c r="I323" s="96"/>
      <c r="J323" s="96"/>
      <c r="K323" s="96"/>
      <c r="L323" s="96"/>
      <c r="M323" s="96"/>
      <c r="CY323" s="87"/>
      <c r="CZ323" s="87"/>
      <c r="DA323" s="87"/>
      <c r="DB323" s="87"/>
      <c r="DC323" s="87"/>
      <c r="DD323" s="87"/>
      <c r="DE323" s="87"/>
      <c r="DF323" s="87"/>
      <c r="DG323" s="87"/>
      <c r="DH323" s="87"/>
      <c r="DI323" s="87"/>
      <c r="DJ323" s="87"/>
      <c r="DK323" s="87"/>
      <c r="DL323" s="87"/>
      <c r="DM323" s="87"/>
      <c r="DN323" s="87"/>
      <c r="DO323" s="87"/>
      <c r="DP323" s="87"/>
      <c r="DQ323" s="87"/>
      <c r="DR323" s="87"/>
      <c r="DS323" s="87"/>
      <c r="DT323" s="87"/>
      <c r="DU323" s="87"/>
      <c r="DV323" s="87"/>
      <c r="DW323" s="87"/>
      <c r="DX323" s="87"/>
      <c r="DY323" s="87"/>
      <c r="DZ323" s="87"/>
      <c r="EA323" s="87"/>
      <c r="EB323" s="87"/>
      <c r="EC323" s="87"/>
      <c r="ED323" s="87"/>
      <c r="EE323" s="87"/>
    </row>
    <row r="324" spans="2:135" ht="16.5" outlineLevel="1" thickTop="1" thickBot="1" x14ac:dyDescent="0.3">
      <c r="D324" s="101">
        <v>0</v>
      </c>
      <c r="E324" s="101" t="s">
        <v>243</v>
      </c>
      <c r="F324" s="101" t="s">
        <v>320</v>
      </c>
      <c r="G324" s="101">
        <v>2</v>
      </c>
      <c r="H324" s="101">
        <v>6</v>
      </c>
      <c r="I324" s="101" t="s">
        <v>321</v>
      </c>
      <c r="J324" s="101" t="s">
        <v>250</v>
      </c>
      <c r="K324" s="101" t="s">
        <v>251</v>
      </c>
      <c r="L324" s="101" t="s">
        <v>322</v>
      </c>
      <c r="M324" s="101">
        <v>12</v>
      </c>
      <c r="CY324" s="87"/>
      <c r="CZ324" s="87"/>
      <c r="DA324" s="87"/>
      <c r="DB324" s="87"/>
      <c r="DC324" s="87"/>
      <c r="DD324" s="87"/>
      <c r="DE324" s="87"/>
      <c r="DF324" s="87"/>
      <c r="DG324" s="87"/>
      <c r="DH324" s="87"/>
      <c r="DI324" s="87"/>
      <c r="DJ324" s="87"/>
      <c r="DK324" s="87"/>
      <c r="DL324" s="87"/>
      <c r="DM324" s="87"/>
      <c r="DN324" s="87"/>
      <c r="DO324" s="87"/>
      <c r="DP324" s="87"/>
      <c r="DQ324" s="87"/>
      <c r="DR324" s="87"/>
      <c r="DS324" s="87"/>
      <c r="DT324" s="87"/>
      <c r="DU324" s="87"/>
      <c r="DV324" s="87"/>
      <c r="DW324" s="87"/>
      <c r="DX324" s="87"/>
      <c r="DY324" s="87"/>
      <c r="DZ324" s="87"/>
      <c r="EA324" s="87"/>
      <c r="EB324" s="87"/>
      <c r="EC324" s="87"/>
      <c r="ED324" s="87"/>
      <c r="EE324" s="87"/>
    </row>
    <row r="325" spans="2:135" outlineLevel="1" x14ac:dyDescent="0.25">
      <c r="B325" t="s">
        <v>141</v>
      </c>
      <c r="C325" t="s">
        <v>334</v>
      </c>
      <c r="D325" s="78">
        <f t="shared" ref="D325:M325" si="115">D301-$D301</f>
        <v>0</v>
      </c>
      <c r="E325" s="78">
        <f t="shared" si="115"/>
        <v>158.57917868787962</v>
      </c>
      <c r="F325" s="78">
        <f t="shared" si="115"/>
        <v>246.8303332041728</v>
      </c>
      <c r="G325" s="78">
        <f t="shared" si="115"/>
        <v>-55.851163225441098</v>
      </c>
      <c r="H325" s="78">
        <f t="shared" si="115"/>
        <v>206.65763444982025</v>
      </c>
      <c r="I325" s="78">
        <f t="shared" si="115"/>
        <v>263.94530814503548</v>
      </c>
      <c r="J325" s="78">
        <f t="shared" si="115"/>
        <v>165.07504292188963</v>
      </c>
      <c r="K325" s="78">
        <f t="shared" si="115"/>
        <v>124.83385450842152</v>
      </c>
      <c r="L325" s="78">
        <f t="shared" si="115"/>
        <v>213.08500902471462</v>
      </c>
      <c r="M325" s="78">
        <f t="shared" si="115"/>
        <v>207.23252374274574</v>
      </c>
      <c r="CY325" s="87"/>
      <c r="CZ325" s="87"/>
      <c r="DA325" s="87"/>
      <c r="DB325" s="87"/>
      <c r="DC325" s="87"/>
      <c r="DD325" s="87"/>
      <c r="DE325" s="87"/>
      <c r="DF325" s="87"/>
      <c r="DG325" s="87"/>
      <c r="DH325" s="87"/>
      <c r="DI325" s="87"/>
      <c r="DJ325" s="87"/>
      <c r="DK325" s="87"/>
      <c r="DL325" s="87"/>
      <c r="DM325" s="87"/>
      <c r="DN325" s="87"/>
      <c r="DO325" s="87"/>
      <c r="DP325" s="87"/>
      <c r="DQ325" s="87"/>
      <c r="DR325" s="87"/>
      <c r="DS325" s="87"/>
      <c r="DT325" s="87"/>
      <c r="DU325" s="87"/>
      <c r="DV325" s="87"/>
      <c r="DW325" s="87"/>
      <c r="DX325" s="87"/>
      <c r="DY325" s="87"/>
      <c r="DZ325" s="87"/>
      <c r="EA325" s="87"/>
      <c r="EB325" s="87"/>
      <c r="EC325" s="87"/>
      <c r="ED325" s="87"/>
      <c r="EE325" s="87"/>
    </row>
    <row r="326" spans="2:135" outlineLevel="1" x14ac:dyDescent="0.25">
      <c r="B326" t="s">
        <v>136</v>
      </c>
      <c r="C326" t="s">
        <v>335</v>
      </c>
      <c r="D326" s="78">
        <f t="shared" ref="D326:M326" si="116">D302-$D302</f>
        <v>0</v>
      </c>
      <c r="E326" s="78">
        <f t="shared" si="116"/>
        <v>-13850.549518801032</v>
      </c>
      <c r="F326" s="78">
        <f t="shared" si="116"/>
        <v>-20992.982374243402</v>
      </c>
      <c r="G326" s="78">
        <f t="shared" si="116"/>
        <v>-8571.9448860520606</v>
      </c>
      <c r="H326" s="78">
        <f t="shared" si="116"/>
        <v>-13231.347624763486</v>
      </c>
      <c r="I326" s="78">
        <f t="shared" si="116"/>
        <v>-20992.982374243402</v>
      </c>
      <c r="J326" s="78">
        <f t="shared" si="116"/>
        <v>-3185.4572427079438</v>
      </c>
      <c r="K326" s="78">
        <f t="shared" si="116"/>
        <v>-13850.549518801032</v>
      </c>
      <c r="L326" s="78">
        <f t="shared" si="116"/>
        <v>-20992.982374243402</v>
      </c>
      <c r="M326" s="78">
        <f t="shared" si="116"/>
        <v>-17851.684107994875</v>
      </c>
      <c r="CY326" s="87"/>
      <c r="CZ326" s="87"/>
      <c r="DA326" s="87"/>
      <c r="DB326" s="87"/>
      <c r="DC326" s="87"/>
      <c r="DD326" s="87"/>
      <c r="DE326" s="87"/>
      <c r="DF326" s="87"/>
      <c r="DG326" s="87"/>
      <c r="DH326" s="87"/>
      <c r="DI326" s="87"/>
      <c r="DJ326" s="87"/>
      <c r="DK326" s="87"/>
      <c r="DL326" s="87"/>
      <c r="DM326" s="87"/>
      <c r="DN326" s="87"/>
      <c r="DO326" s="87"/>
      <c r="DP326" s="87"/>
      <c r="DQ326" s="87"/>
      <c r="DR326" s="87"/>
      <c r="DS326" s="87"/>
      <c r="DT326" s="87"/>
      <c r="DU326" s="87"/>
      <c r="DV326" s="87"/>
      <c r="DW326" s="87"/>
      <c r="DX326" s="87"/>
      <c r="DY326" s="87"/>
      <c r="DZ326" s="87"/>
      <c r="EA326" s="87"/>
      <c r="EB326" s="87"/>
      <c r="EC326" s="87"/>
      <c r="ED326" s="87"/>
      <c r="EE326" s="87"/>
    </row>
    <row r="327" spans="2:135" outlineLevel="1" x14ac:dyDescent="0.25">
      <c r="B327" t="s">
        <v>154</v>
      </c>
      <c r="C327" t="s">
        <v>336</v>
      </c>
      <c r="D327" s="78">
        <f t="shared" ref="D327:M327" si="117">D303-$D303</f>
        <v>0</v>
      </c>
      <c r="E327" s="78">
        <f t="shared" si="117"/>
        <v>-126.87915182712683</v>
      </c>
      <c r="F327" s="78">
        <f t="shared" si="117"/>
        <v>-126.87915182712683</v>
      </c>
      <c r="G327" s="78">
        <f t="shared" si="117"/>
        <v>-56.917060923249409</v>
      </c>
      <c r="H327" s="78">
        <f t="shared" si="117"/>
        <v>-56.963965734497151</v>
      </c>
      <c r="I327" s="78">
        <f t="shared" si="117"/>
        <v>-56.963965734497151</v>
      </c>
      <c r="J327" s="78">
        <f t="shared" si="117"/>
        <v>0</v>
      </c>
      <c r="K327" s="78">
        <f t="shared" si="117"/>
        <v>-126.87915182712683</v>
      </c>
      <c r="L327" s="78">
        <f t="shared" si="117"/>
        <v>-126.87915182712683</v>
      </c>
      <c r="M327" s="78">
        <f t="shared" si="117"/>
        <v>-88.460762753013029</v>
      </c>
      <c r="CY327" s="87"/>
      <c r="CZ327" s="87"/>
      <c r="DA327" s="87"/>
      <c r="DB327" s="87"/>
      <c r="DC327" s="87"/>
      <c r="DD327" s="87"/>
      <c r="DE327" s="87"/>
      <c r="DF327" s="87"/>
      <c r="DG327" s="87"/>
      <c r="DH327" s="87"/>
      <c r="DI327" s="87"/>
      <c r="DJ327" s="87"/>
      <c r="DK327" s="87"/>
      <c r="DL327" s="87"/>
      <c r="DM327" s="87"/>
      <c r="DN327" s="87"/>
      <c r="DO327" s="87"/>
      <c r="DP327" s="87"/>
      <c r="DQ327" s="87"/>
      <c r="DR327" s="87"/>
      <c r="DS327" s="87"/>
      <c r="DT327" s="87"/>
      <c r="DU327" s="87"/>
      <c r="DV327" s="87"/>
      <c r="DW327" s="87"/>
      <c r="DX327" s="87"/>
      <c r="DY327" s="87"/>
      <c r="DZ327" s="87"/>
      <c r="EA327" s="87"/>
      <c r="EB327" s="87"/>
      <c r="EC327" s="87"/>
      <c r="ED327" s="87"/>
      <c r="EE327" s="87"/>
    </row>
    <row r="328" spans="2:135" outlineLevel="1" x14ac:dyDescent="0.25">
      <c r="B328" t="s">
        <v>312</v>
      </c>
      <c r="C328" t="s">
        <v>337</v>
      </c>
      <c r="D328" s="78">
        <f t="shared" ref="D328:M328" si="118">D304-$D304</f>
        <v>0</v>
      </c>
      <c r="E328" s="78">
        <f t="shared" si="118"/>
        <v>-93.117244414899318</v>
      </c>
      <c r="F328" s="78">
        <f t="shared" si="118"/>
        <v>-141.13582050203837</v>
      </c>
      <c r="G328" s="78">
        <f t="shared" si="118"/>
        <v>-57.629185468927986</v>
      </c>
      <c r="H328" s="78">
        <f t="shared" si="118"/>
        <v>-88.9543500812849</v>
      </c>
      <c r="I328" s="78">
        <f t="shared" si="118"/>
        <v>-141.13582050203837</v>
      </c>
      <c r="J328" s="78">
        <f t="shared" si="118"/>
        <v>-21.415829042725477</v>
      </c>
      <c r="K328" s="78">
        <f t="shared" si="118"/>
        <v>-93.117244414899318</v>
      </c>
      <c r="L328" s="78">
        <f t="shared" si="118"/>
        <v>-141.13582050203837</v>
      </c>
      <c r="M328" s="78">
        <f t="shared" si="118"/>
        <v>-120.01687225804953</v>
      </c>
      <c r="CY328" s="87"/>
      <c r="CZ328" s="87"/>
      <c r="DA328" s="87"/>
      <c r="DB328" s="87"/>
      <c r="DC328" s="87"/>
      <c r="DD328" s="87"/>
      <c r="DE328" s="87"/>
      <c r="DF328" s="87"/>
      <c r="DG328" s="87"/>
      <c r="DH328" s="87"/>
      <c r="DI328" s="87"/>
      <c r="DJ328" s="87"/>
      <c r="DK328" s="87"/>
      <c r="DL328" s="87"/>
      <c r="DM328" s="87"/>
      <c r="DN328" s="87"/>
      <c r="DO328" s="87"/>
      <c r="DP328" s="87"/>
      <c r="DQ328" s="87"/>
      <c r="DR328" s="87"/>
      <c r="DS328" s="87"/>
      <c r="DT328" s="87"/>
      <c r="DU328" s="87"/>
      <c r="DV328" s="87"/>
      <c r="DW328" s="87"/>
      <c r="DX328" s="87"/>
      <c r="DY328" s="87"/>
      <c r="DZ328" s="87"/>
      <c r="EA328" s="87"/>
      <c r="EB328" s="87"/>
      <c r="EC328" s="87"/>
      <c r="ED328" s="87"/>
      <c r="EE328" s="87"/>
    </row>
    <row r="329" spans="2:135" outlineLevel="1" x14ac:dyDescent="0.25">
      <c r="B329" t="s">
        <v>341</v>
      </c>
      <c r="C329" t="s">
        <v>329</v>
      </c>
      <c r="D329" s="51">
        <f>D312-$D312</f>
        <v>0</v>
      </c>
      <c r="E329" s="103">
        <f t="shared" ref="E329:M329" si="119">E312-$D312</f>
        <v>-11.461959537136238</v>
      </c>
      <c r="F329" s="103">
        <f t="shared" si="119"/>
        <v>-21.364057327651892</v>
      </c>
      <c r="G329" s="103">
        <f t="shared" si="119"/>
        <v>-52.951200116128739</v>
      </c>
      <c r="H329" s="103">
        <f t="shared" si="119"/>
        <v>9.065553722883763</v>
      </c>
      <c r="I329" s="103">
        <f t="shared" si="119"/>
        <v>-3.4389600093817307</v>
      </c>
      <c r="J329" s="103">
        <f t="shared" si="119"/>
        <v>38.01363694282027</v>
      </c>
      <c r="K329" s="103">
        <f t="shared" si="119"/>
        <v>-21.746829879018335</v>
      </c>
      <c r="L329" s="103">
        <f t="shared" si="119"/>
        <v>-30.620440635345801</v>
      </c>
      <c r="M329" s="103">
        <f t="shared" si="119"/>
        <v>-18.184176319079597</v>
      </c>
      <c r="CY329" s="87"/>
      <c r="CZ329" s="87"/>
      <c r="DA329" s="87"/>
      <c r="DB329" s="87"/>
      <c r="DC329" s="87"/>
      <c r="DD329" s="87"/>
      <c r="DE329" s="87"/>
      <c r="DF329" s="87"/>
      <c r="DG329" s="87"/>
      <c r="DH329" s="87"/>
      <c r="DI329" s="87"/>
      <c r="DJ329" s="87"/>
      <c r="DK329" s="87"/>
      <c r="DL329" s="87"/>
      <c r="DM329" s="87"/>
      <c r="DN329" s="87"/>
      <c r="DO329" s="87"/>
      <c r="DP329" s="87"/>
      <c r="DQ329" s="87"/>
      <c r="DR329" s="87"/>
      <c r="DS329" s="87"/>
      <c r="DT329" s="87"/>
      <c r="DU329" s="87"/>
      <c r="DV329" s="87"/>
      <c r="DW329" s="87"/>
      <c r="DX329" s="87"/>
      <c r="DY329" s="87"/>
      <c r="DZ329" s="87"/>
      <c r="EA329" s="87"/>
      <c r="EB329" s="87"/>
      <c r="EC329" s="87"/>
      <c r="ED329" s="87"/>
      <c r="EE329" s="87"/>
    </row>
    <row r="330" spans="2:135" outlineLevel="1" x14ac:dyDescent="0.25">
      <c r="B330" t="s">
        <v>342</v>
      </c>
      <c r="C330" t="s">
        <v>329</v>
      </c>
      <c r="D330" s="51">
        <f t="shared" ref="D330" si="120">D321-$D321</f>
        <v>0</v>
      </c>
      <c r="E330" s="103">
        <f t="shared" ref="E330:M330" si="121">E321-$D321</f>
        <v>-10.371559537136221</v>
      </c>
      <c r="F330" s="103">
        <f t="shared" si="121"/>
        <v>-18.476257327651894</v>
      </c>
      <c r="G330" s="103">
        <f t="shared" si="121"/>
        <v>-48.086100116128748</v>
      </c>
      <c r="H330" s="103">
        <f t="shared" si="121"/>
        <v>7.0674537228837693</v>
      </c>
      <c r="I330" s="103">
        <f t="shared" si="121"/>
        <v>-1.7706600093817144</v>
      </c>
      <c r="J330" s="103">
        <f t="shared" si="121"/>
        <v>31.807336942820299</v>
      </c>
      <c r="K330" s="103">
        <f t="shared" si="121"/>
        <v>-21.37892987901833</v>
      </c>
      <c r="L330" s="103">
        <f t="shared" si="121"/>
        <v>-28.753440635345797</v>
      </c>
      <c r="M330" s="103">
        <f t="shared" si="121"/>
        <v>-4.9025763190796141</v>
      </c>
      <c r="CY330" s="87"/>
      <c r="CZ330" s="87"/>
      <c r="DA330" s="87"/>
      <c r="DB330" s="87"/>
      <c r="DC330" s="87"/>
      <c r="DD330" s="87"/>
      <c r="DE330" s="87"/>
      <c r="DF330" s="87"/>
      <c r="DG330" s="87"/>
      <c r="DH330" s="87"/>
      <c r="DI330" s="87"/>
      <c r="DJ330" s="87"/>
      <c r="DK330" s="87"/>
      <c r="DL330" s="87"/>
      <c r="DM330" s="87"/>
      <c r="DN330" s="87"/>
      <c r="DO330" s="87"/>
      <c r="DP330" s="87"/>
      <c r="DQ330" s="87"/>
      <c r="DR330" s="87"/>
      <c r="DS330" s="87"/>
      <c r="DT330" s="87"/>
      <c r="DU330" s="87"/>
      <c r="DV330" s="87"/>
      <c r="DW330" s="87"/>
      <c r="DX330" s="87"/>
      <c r="DY330" s="87"/>
      <c r="DZ330" s="87"/>
      <c r="EA330" s="87"/>
      <c r="EB330" s="87"/>
      <c r="EC330" s="87"/>
      <c r="ED330" s="87"/>
      <c r="EE330" s="87"/>
    </row>
    <row r="331" spans="2:135" outlineLevel="1" x14ac:dyDescent="0.25">
      <c r="B331" t="s">
        <v>343</v>
      </c>
      <c r="C331" t="s">
        <v>344</v>
      </c>
      <c r="D331" s="104">
        <v>0</v>
      </c>
      <c r="E331" s="104">
        <v>139</v>
      </c>
      <c r="F331" s="104">
        <v>165</v>
      </c>
      <c r="G331" s="104">
        <v>118</v>
      </c>
      <c r="H331" s="104">
        <v>59</v>
      </c>
      <c r="I331" s="104">
        <v>155</v>
      </c>
      <c r="J331" s="104">
        <v>-17</v>
      </c>
      <c r="K331" s="104">
        <v>166</v>
      </c>
      <c r="L331" s="104">
        <v>198</v>
      </c>
      <c r="M331" s="104">
        <v>141</v>
      </c>
      <c r="CY331" s="87"/>
      <c r="CZ331" s="87"/>
      <c r="DA331" s="87"/>
      <c r="DB331" s="87"/>
      <c r="DC331" s="87"/>
      <c r="DD331" s="87"/>
      <c r="DE331" s="87"/>
      <c r="DF331" s="87"/>
      <c r="DG331" s="87"/>
      <c r="DH331" s="87"/>
      <c r="DI331" s="87"/>
      <c r="DJ331" s="87"/>
      <c r="DK331" s="87"/>
      <c r="DL331" s="87"/>
      <c r="DM331" s="87"/>
      <c r="DN331" s="87"/>
      <c r="DO331" s="87"/>
      <c r="DP331" s="87"/>
      <c r="DQ331" s="87"/>
      <c r="DR331" s="87"/>
      <c r="DS331" s="87"/>
      <c r="DT331" s="87"/>
      <c r="DU331" s="87"/>
      <c r="DV331" s="87"/>
      <c r="DW331" s="87"/>
      <c r="DX331" s="87"/>
      <c r="DY331" s="87"/>
      <c r="DZ331" s="87"/>
      <c r="EA331" s="87"/>
      <c r="EB331" s="87"/>
      <c r="EC331" s="87"/>
      <c r="ED331" s="87"/>
      <c r="EE331" s="87"/>
    </row>
    <row r="332" spans="2:135" outlineLevel="1" x14ac:dyDescent="0.25">
      <c r="B332" t="s">
        <v>345</v>
      </c>
      <c r="C332" t="s">
        <v>346</v>
      </c>
      <c r="D332" s="104">
        <v>0</v>
      </c>
      <c r="E332" s="104">
        <v>69</v>
      </c>
      <c r="F332" s="104">
        <v>29</v>
      </c>
      <c r="G332" s="104">
        <v>-378</v>
      </c>
      <c r="H332" s="104">
        <v>127</v>
      </c>
      <c r="I332" s="104">
        <v>62</v>
      </c>
      <c r="J332" s="104">
        <v>310</v>
      </c>
      <c r="K332" s="104">
        <v>6</v>
      </c>
      <c r="L332" s="104">
        <v>-81</v>
      </c>
      <c r="M332" s="104">
        <v>90</v>
      </c>
      <c r="CY332" s="87"/>
      <c r="CZ332" s="87"/>
      <c r="DA332" s="87"/>
      <c r="DB332" s="87"/>
      <c r="DC332" s="87"/>
      <c r="DD332" s="87"/>
      <c r="DE332" s="87"/>
      <c r="DF332" s="87"/>
      <c r="DG332" s="87"/>
      <c r="DH332" s="87"/>
      <c r="DI332" s="87"/>
      <c r="DJ332" s="87"/>
      <c r="DK332" s="87"/>
      <c r="DL332" s="87"/>
      <c r="DM332" s="87"/>
      <c r="DN332" s="87"/>
      <c r="DO332" s="87"/>
      <c r="DP332" s="87"/>
      <c r="DQ332" s="87"/>
      <c r="DR332" s="87"/>
      <c r="DS332" s="87"/>
      <c r="DT332" s="87"/>
      <c r="DU332" s="87"/>
      <c r="DV332" s="87"/>
      <c r="DW332" s="87"/>
      <c r="DX332" s="87"/>
      <c r="DY332" s="87"/>
      <c r="DZ332" s="87"/>
      <c r="EA332" s="87"/>
      <c r="EB332" s="87"/>
      <c r="EC332" s="87"/>
      <c r="ED332" s="87"/>
      <c r="EE332" s="87"/>
    </row>
    <row r="333" spans="2:135" outlineLevel="1" x14ac:dyDescent="0.25">
      <c r="CY333" s="87"/>
      <c r="CZ333" s="87"/>
      <c r="DA333" s="87"/>
      <c r="DB333" s="87"/>
      <c r="DC333" s="87"/>
      <c r="DD333" s="87"/>
      <c r="DE333" s="87"/>
      <c r="DF333" s="87"/>
      <c r="DG333" s="87"/>
      <c r="DH333" s="87"/>
      <c r="DI333" s="87"/>
      <c r="DJ333" s="87"/>
      <c r="DK333" s="87"/>
      <c r="DL333" s="87"/>
      <c r="DM333" s="87"/>
      <c r="DN333" s="87"/>
      <c r="DO333" s="87"/>
      <c r="DP333" s="87"/>
      <c r="DQ333" s="87"/>
      <c r="DR333" s="87"/>
      <c r="DS333" s="87"/>
      <c r="DT333" s="87"/>
      <c r="DU333" s="87"/>
      <c r="DV333" s="87"/>
      <c r="DW333" s="87"/>
      <c r="DX333" s="87"/>
      <c r="DY333" s="87"/>
      <c r="DZ333" s="87"/>
      <c r="EA333" s="87"/>
      <c r="EB333" s="87"/>
      <c r="EC333" s="87"/>
      <c r="ED333" s="87"/>
      <c r="EE333" s="87"/>
    </row>
    <row r="334" spans="2:135" x14ac:dyDescent="0.25">
      <c r="CY334" s="87"/>
      <c r="CZ334" s="87"/>
      <c r="DA334" s="87"/>
      <c r="DB334" s="87"/>
      <c r="DC334" s="87"/>
      <c r="DD334" s="87"/>
      <c r="DE334" s="87"/>
      <c r="DF334" s="87"/>
      <c r="DG334" s="87"/>
      <c r="DH334" s="87"/>
      <c r="DI334" s="87"/>
      <c r="DJ334" s="87"/>
      <c r="DK334" s="87"/>
      <c r="DL334" s="87"/>
      <c r="DM334" s="87"/>
      <c r="DN334" s="87"/>
      <c r="DO334" s="87"/>
      <c r="DP334" s="87"/>
      <c r="DQ334" s="87"/>
      <c r="DR334" s="87"/>
      <c r="DS334" s="87"/>
      <c r="DT334" s="87"/>
      <c r="DU334" s="87"/>
      <c r="DV334" s="87"/>
      <c r="DW334" s="87"/>
      <c r="DX334" s="87"/>
      <c r="DY334" s="87"/>
      <c r="DZ334" s="87"/>
      <c r="EA334" s="87"/>
      <c r="EB334" s="87"/>
      <c r="EC334" s="87"/>
      <c r="ED334" s="87"/>
      <c r="EE334" s="87"/>
    </row>
    <row r="336" spans="2:135" ht="20.25" thickBot="1" x14ac:dyDescent="0.35">
      <c r="B336" s="18" t="s">
        <v>347</v>
      </c>
      <c r="C336" s="18"/>
      <c r="D336" s="95"/>
      <c r="E336" s="95"/>
      <c r="F336" s="95"/>
      <c r="G336" s="95"/>
      <c r="H336" s="95"/>
      <c r="I336" s="95"/>
      <c r="J336" s="95"/>
      <c r="K336" s="95"/>
      <c r="L336" s="95"/>
      <c r="M336" s="95"/>
      <c r="N336" s="95"/>
      <c r="O336" s="95"/>
      <c r="P336" s="95"/>
      <c r="Q336" s="95"/>
      <c r="R336" s="95"/>
      <c r="S336" s="95"/>
      <c r="T336" s="95"/>
      <c r="U336" s="95"/>
      <c r="V336" s="95"/>
      <c r="W336" s="95"/>
      <c r="X336" s="95"/>
      <c r="Y336" s="95"/>
      <c r="Z336" s="95"/>
      <c r="AA336" s="95"/>
      <c r="AB336" s="95"/>
      <c r="AC336" s="95"/>
      <c r="AD336" s="95"/>
      <c r="AE336" s="95"/>
      <c r="AF336" s="95"/>
      <c r="AG336" s="95"/>
      <c r="AH336" s="58"/>
      <c r="AI336" s="58"/>
      <c r="AJ336" s="18"/>
      <c r="AK336" s="18"/>
      <c r="AL336" s="18"/>
      <c r="AM336" s="18"/>
      <c r="AN336" s="18"/>
      <c r="AO336" s="18"/>
      <c r="AP336" s="18"/>
      <c r="AQ336" s="18"/>
      <c r="AR336" s="18"/>
      <c r="AS336" s="18"/>
      <c r="AT336" s="18"/>
      <c r="AU336" s="18"/>
      <c r="AV336" s="18"/>
      <c r="AW336" s="18"/>
      <c r="AX336" s="18"/>
      <c r="AY336" s="18"/>
      <c r="AZ336" s="18"/>
      <c r="BA336" s="18"/>
      <c r="BB336" s="18"/>
      <c r="BC336" s="18"/>
      <c r="BD336" s="18"/>
      <c r="BE336" s="18"/>
      <c r="BF336" s="18"/>
      <c r="BG336" s="18"/>
      <c r="BH336" s="18"/>
      <c r="BI336" s="18"/>
      <c r="BJ336" s="18"/>
      <c r="BK336" s="18"/>
      <c r="BL336" s="18"/>
      <c r="BM336" s="18"/>
    </row>
    <row r="337" spans="2:44" ht="18" thickTop="1" thickBot="1" x14ac:dyDescent="0.3">
      <c r="B337" s="19" t="s">
        <v>348</v>
      </c>
      <c r="C337" s="19"/>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c r="AB337" s="96"/>
      <c r="AC337" s="96"/>
      <c r="AD337" s="96"/>
      <c r="AE337" s="96"/>
      <c r="AF337" s="96"/>
      <c r="AG337" s="96"/>
      <c r="AH337" s="55"/>
      <c r="AJ337" s="19" t="s">
        <v>135</v>
      </c>
      <c r="AK337" s="19"/>
      <c r="AL337" s="19"/>
      <c r="AM337" s="19"/>
      <c r="AN337" s="19"/>
      <c r="AO337" s="19"/>
      <c r="AP337" s="19"/>
      <c r="AQ337" s="19"/>
      <c r="AR337" s="19"/>
    </row>
    <row r="338" spans="2:44" ht="16.5" thickTop="1" thickBot="1" x14ac:dyDescent="0.3">
      <c r="B338" s="20" t="s">
        <v>349</v>
      </c>
      <c r="C338" s="20" t="s">
        <v>220</v>
      </c>
      <c r="D338" s="97" t="s">
        <v>17</v>
      </c>
      <c r="E338" s="97"/>
      <c r="F338" s="97"/>
      <c r="G338" s="97"/>
      <c r="H338" s="97"/>
      <c r="I338" s="97"/>
      <c r="J338" s="97"/>
      <c r="K338" s="97"/>
      <c r="L338" s="97"/>
      <c r="M338" s="97"/>
      <c r="N338" s="97"/>
      <c r="O338" s="97"/>
      <c r="P338" s="97"/>
      <c r="Q338" s="97"/>
      <c r="R338" s="97"/>
      <c r="S338" s="97"/>
      <c r="T338" s="97"/>
      <c r="U338" s="97"/>
      <c r="V338" s="97"/>
      <c r="W338" s="97"/>
      <c r="X338" s="97"/>
      <c r="Y338" s="97"/>
      <c r="Z338" s="97"/>
      <c r="AA338" s="97"/>
      <c r="AB338" s="97"/>
      <c r="AC338" s="97"/>
      <c r="AD338" s="97"/>
      <c r="AE338" s="97"/>
      <c r="AF338" s="97"/>
      <c r="AG338" s="97"/>
      <c r="AH338" s="56" t="s">
        <v>224</v>
      </c>
    </row>
    <row r="339" spans="2:44" x14ac:dyDescent="0.25">
      <c r="B339" s="86"/>
      <c r="D339" s="100">
        <f>'Core Loads'!$C$14</f>
        <v>2025</v>
      </c>
      <c r="E339" s="100">
        <f>'Core Loads'!$D$14</f>
        <v>2026</v>
      </c>
      <c r="F339" s="100">
        <f>'Core Loads'!$E$14</f>
        <v>2027</v>
      </c>
      <c r="G339" s="100">
        <f>'Core Loads'!$F$14</f>
        <v>2028</v>
      </c>
      <c r="H339" s="100">
        <f>'Core Loads'!$G$14</f>
        <v>2029</v>
      </c>
      <c r="I339" s="100">
        <f>'Core Loads'!$H$14</f>
        <v>2030</v>
      </c>
      <c r="J339" s="100">
        <f>'Core Loads'!$I$14</f>
        <v>2031</v>
      </c>
      <c r="K339" s="100">
        <f>'Core Loads'!$J$14</f>
        <v>2032</v>
      </c>
      <c r="L339" s="100">
        <f>'Core Loads'!$K$14</f>
        <v>2033</v>
      </c>
      <c r="M339" s="100">
        <f>'Core Loads'!$L$14</f>
        <v>2034</v>
      </c>
      <c r="N339" s="100">
        <f>'Core Loads'!$M$14</f>
        <v>2035</v>
      </c>
      <c r="O339" s="100">
        <f>'Core Loads'!$N$14</f>
        <v>2036</v>
      </c>
      <c r="P339" s="100">
        <f>'Core Loads'!$O$14</f>
        <v>2037</v>
      </c>
      <c r="Q339" s="100">
        <f>'Core Loads'!$P$14</f>
        <v>2038</v>
      </c>
      <c r="R339" s="100">
        <f>'Core Loads'!$Q$14</f>
        <v>2039</v>
      </c>
      <c r="S339" s="100">
        <f>'Core Loads'!$R$14</f>
        <v>2040</v>
      </c>
      <c r="T339" s="100">
        <f>'Core Loads'!$S$14</f>
        <v>2041</v>
      </c>
      <c r="U339" s="100">
        <f>'Core Loads'!$T$14</f>
        <v>2042</v>
      </c>
      <c r="V339" s="100">
        <f>'Core Loads'!$U$14</f>
        <v>2043</v>
      </c>
      <c r="W339" s="100">
        <f>'Core Loads'!$V$14</f>
        <v>2044</v>
      </c>
      <c r="X339" s="100">
        <f>'Core Loads'!$W$14</f>
        <v>2045</v>
      </c>
      <c r="Y339" s="100">
        <f>'Core Loads'!$X$14</f>
        <v>2046</v>
      </c>
      <c r="Z339" s="100">
        <f>'Core Loads'!$Y$14</f>
        <v>2047</v>
      </c>
      <c r="AA339" s="100">
        <f>'Core Loads'!$Z$14</f>
        <v>2048</v>
      </c>
      <c r="AB339" s="100">
        <f>'Core Loads'!$AA$14</f>
        <v>2049</v>
      </c>
      <c r="AC339" s="100">
        <f>'Core Loads'!$AB$14</f>
        <v>2050</v>
      </c>
      <c r="AD339" s="100">
        <f>'Core Loads'!$AC$14</f>
        <v>2051</v>
      </c>
      <c r="AE339" s="100">
        <f>'Core Loads'!$AD$14</f>
        <v>2052</v>
      </c>
      <c r="AF339" s="100">
        <f>'Core Loads'!$AE$14</f>
        <v>2053</v>
      </c>
      <c r="AG339" s="100">
        <f>'Core Loads'!$AF$14</f>
        <v>2054</v>
      </c>
      <c r="AH339" s="8"/>
    </row>
    <row r="340" spans="2:44" x14ac:dyDescent="0.25">
      <c r="B340" s="86">
        <v>2</v>
      </c>
      <c r="C340" t="s">
        <v>52</v>
      </c>
      <c r="D340" s="79">
        <f t="shared" ref="D340:AH340" si="122">D174</f>
        <v>210153.43197440394</v>
      </c>
      <c r="E340" s="79">
        <f t="shared" si="122"/>
        <v>210153.43197440394</v>
      </c>
      <c r="F340" s="79">
        <f t="shared" si="122"/>
        <v>88956.365125924262</v>
      </c>
      <c r="G340" s="79">
        <f t="shared" si="122"/>
        <v>87181.65800466681</v>
      </c>
      <c r="H340" s="79">
        <f t="shared" si="122"/>
        <v>87181.65800466681</v>
      </c>
      <c r="I340" s="79">
        <f t="shared" si="122"/>
        <v>85723.910793018702</v>
      </c>
      <c r="J340" s="79">
        <f t="shared" si="122"/>
        <v>85723.910793018702</v>
      </c>
      <c r="K340" s="79">
        <f t="shared" si="122"/>
        <v>82146.117973694709</v>
      </c>
      <c r="L340" s="79">
        <f t="shared" si="122"/>
        <v>82146.117973694709</v>
      </c>
      <c r="M340" s="79">
        <f t="shared" si="122"/>
        <v>80970.486187793897</v>
      </c>
      <c r="N340" s="79">
        <f t="shared" si="122"/>
        <v>80970.486187793897</v>
      </c>
      <c r="O340" s="79">
        <f t="shared" si="122"/>
        <v>79152.017210771068</v>
      </c>
      <c r="P340" s="79">
        <f t="shared" si="122"/>
        <v>79152.017210771068</v>
      </c>
      <c r="Q340" s="79">
        <f t="shared" si="122"/>
        <v>78715.442828329265</v>
      </c>
      <c r="R340" s="79">
        <f t="shared" si="122"/>
        <v>78715.442828329265</v>
      </c>
      <c r="S340" s="79">
        <f t="shared" si="122"/>
        <v>83954.346559266647</v>
      </c>
      <c r="T340" s="79">
        <f t="shared" si="122"/>
        <v>83954.346559266647</v>
      </c>
      <c r="U340" s="79">
        <f t="shared" si="122"/>
        <v>83740.267759933864</v>
      </c>
      <c r="V340" s="79">
        <f t="shared" si="122"/>
        <v>83740.267759933864</v>
      </c>
      <c r="W340" s="79">
        <f t="shared" si="122"/>
        <v>83506.635033110389</v>
      </c>
      <c r="X340" s="79">
        <f t="shared" si="122"/>
        <v>83506.635033110389</v>
      </c>
      <c r="Y340" s="79">
        <f t="shared" si="122"/>
        <v>83506.635033110389</v>
      </c>
      <c r="Z340" s="79">
        <f t="shared" si="122"/>
        <v>83506.635033110389</v>
      </c>
      <c r="AA340" s="79">
        <f t="shared" si="122"/>
        <v>83506.635033110389</v>
      </c>
      <c r="AB340" s="79">
        <f t="shared" si="122"/>
        <v>83506.635033110389</v>
      </c>
      <c r="AC340" s="79">
        <f t="shared" si="122"/>
        <v>83272.435503352215</v>
      </c>
      <c r="AD340" s="79">
        <f t="shared" si="122"/>
        <v>83272.435503352215</v>
      </c>
      <c r="AE340" s="79">
        <f t="shared" si="122"/>
        <v>83272.435503352215</v>
      </c>
      <c r="AF340" s="79">
        <f t="shared" si="122"/>
        <v>83272.435503352215</v>
      </c>
      <c r="AG340" s="79">
        <f t="shared" si="122"/>
        <v>83272.435503352215</v>
      </c>
      <c r="AH340" s="79">
        <f t="shared" si="122"/>
        <v>2749833.711425106</v>
      </c>
    </row>
    <row r="341" spans="2:44" x14ac:dyDescent="0.25">
      <c r="B341" s="86" t="s">
        <v>350</v>
      </c>
      <c r="C341" t="s">
        <v>52</v>
      </c>
      <c r="D341" s="79">
        <f>D237</f>
        <v>210153.43197440394</v>
      </c>
      <c r="E341" s="79">
        <f t="shared" ref="E341:AG341" si="123">E237</f>
        <v>210153.43197440394</v>
      </c>
      <c r="F341" s="79">
        <f t="shared" si="123"/>
        <v>154505.91752922372</v>
      </c>
      <c r="G341" s="79">
        <f t="shared" si="123"/>
        <v>0</v>
      </c>
      <c r="H341" s="79">
        <f t="shared" si="123"/>
        <v>0</v>
      </c>
      <c r="I341" s="79">
        <f t="shared" si="123"/>
        <v>0</v>
      </c>
      <c r="J341" s="79">
        <f t="shared" si="123"/>
        <v>0</v>
      </c>
      <c r="K341" s="79">
        <f t="shared" si="123"/>
        <v>0</v>
      </c>
      <c r="L341" s="79">
        <f t="shared" si="123"/>
        <v>0</v>
      </c>
      <c r="M341" s="79">
        <f t="shared" si="123"/>
        <v>0</v>
      </c>
      <c r="N341" s="79">
        <f t="shared" si="123"/>
        <v>0</v>
      </c>
      <c r="O341" s="79">
        <f t="shared" si="123"/>
        <v>0</v>
      </c>
      <c r="P341" s="79">
        <f t="shared" si="123"/>
        <v>0</v>
      </c>
      <c r="Q341" s="79">
        <f t="shared" si="123"/>
        <v>0</v>
      </c>
      <c r="R341" s="79">
        <f t="shared" si="123"/>
        <v>0</v>
      </c>
      <c r="S341" s="79">
        <f t="shared" si="123"/>
        <v>0</v>
      </c>
      <c r="T341" s="79">
        <f t="shared" si="123"/>
        <v>0</v>
      </c>
      <c r="U341" s="79">
        <f t="shared" si="123"/>
        <v>0</v>
      </c>
      <c r="V341" s="79">
        <f t="shared" si="123"/>
        <v>0</v>
      </c>
      <c r="W341" s="79">
        <f t="shared" si="123"/>
        <v>0</v>
      </c>
      <c r="X341" s="79">
        <f t="shared" si="123"/>
        <v>0</v>
      </c>
      <c r="Y341" s="79">
        <f t="shared" si="123"/>
        <v>0</v>
      </c>
      <c r="Z341" s="79">
        <f t="shared" si="123"/>
        <v>0</v>
      </c>
      <c r="AA341" s="79">
        <f t="shared" si="123"/>
        <v>0</v>
      </c>
      <c r="AB341" s="79">
        <f t="shared" si="123"/>
        <v>0</v>
      </c>
      <c r="AC341" s="79">
        <f t="shared" si="123"/>
        <v>0</v>
      </c>
      <c r="AD341" s="79">
        <f t="shared" si="123"/>
        <v>0</v>
      </c>
      <c r="AE341" s="79">
        <f t="shared" si="123"/>
        <v>0</v>
      </c>
      <c r="AF341" s="79">
        <f t="shared" si="123"/>
        <v>0</v>
      </c>
      <c r="AG341" s="79">
        <f t="shared" si="123"/>
        <v>0</v>
      </c>
      <c r="AH341" s="79">
        <f t="shared" ref="AH341" si="124">AH237</f>
        <v>574812.78147803154</v>
      </c>
    </row>
    <row r="342" spans="2:44" x14ac:dyDescent="0.25">
      <c r="B342" s="86">
        <v>2</v>
      </c>
      <c r="C342" t="s">
        <v>351</v>
      </c>
      <c r="D342" s="73">
        <v>210153.43197440394</v>
      </c>
      <c r="E342" s="73">
        <v>210426.19601803014</v>
      </c>
      <c r="F342" s="73">
        <v>210409.68967873455</v>
      </c>
      <c r="G342" s="73">
        <v>208613.82009258575</v>
      </c>
      <c r="H342" s="73">
        <v>208484.73107593789</v>
      </c>
      <c r="I342" s="73">
        <v>193318.88328959458</v>
      </c>
      <c r="J342" s="73">
        <v>193318.88328959458</v>
      </c>
      <c r="K342" s="73">
        <v>187640.96661446089</v>
      </c>
      <c r="L342" s="73">
        <v>187640.96661446089</v>
      </c>
      <c r="M342" s="73">
        <v>185553.22496967594</v>
      </c>
      <c r="N342" s="73">
        <v>159399.0695289647</v>
      </c>
      <c r="O342" s="73">
        <v>157319.73487243964</v>
      </c>
      <c r="P342" s="73">
        <v>157319.73487243964</v>
      </c>
      <c r="Q342" s="73">
        <v>156838.32448628437</v>
      </c>
      <c r="R342" s="73">
        <v>78715.442828329265</v>
      </c>
      <c r="S342" s="73">
        <v>83954.346559266647</v>
      </c>
      <c r="T342" s="73">
        <v>83954.346559266647</v>
      </c>
      <c r="U342" s="73">
        <v>83740.267759933864</v>
      </c>
      <c r="V342" s="73">
        <v>83740.267759933864</v>
      </c>
      <c r="W342" s="73">
        <v>83506.635033110389</v>
      </c>
      <c r="X342" s="73">
        <v>83506.635033110389</v>
      </c>
      <c r="Y342" s="73">
        <v>83506.635033110389</v>
      </c>
      <c r="Z342" s="73">
        <v>83506.635033110389</v>
      </c>
      <c r="AA342" s="73">
        <v>83506.635033110389</v>
      </c>
      <c r="AB342" s="73">
        <v>83506.635033110389</v>
      </c>
      <c r="AC342" s="73">
        <v>83272.435503352215</v>
      </c>
      <c r="AD342" s="73">
        <v>83272.435503352215</v>
      </c>
      <c r="AE342" s="73">
        <v>83272.435503352215</v>
      </c>
      <c r="AF342" s="73">
        <v>83272.435503352215</v>
      </c>
      <c r="AG342" s="73">
        <v>83272.435503352215</v>
      </c>
      <c r="AH342" s="73">
        <v>3226866.3663297389</v>
      </c>
    </row>
    <row r="343" spans="2:44" x14ac:dyDescent="0.25">
      <c r="B343" s="86" t="s">
        <v>350</v>
      </c>
      <c r="C343" t="s">
        <v>351</v>
      </c>
      <c r="D343" s="73">
        <v>210255.25684146525</v>
      </c>
      <c r="E343" s="73">
        <v>210522.50777363521</v>
      </c>
      <c r="F343" s="73">
        <v>210500.17312025896</v>
      </c>
      <c r="G343" s="73">
        <v>208698.16001740511</v>
      </c>
      <c r="H343" s="73">
        <v>208562.61228142786</v>
      </c>
      <c r="I343" s="73">
        <v>184896.72887017202</v>
      </c>
      <c r="J343" s="73">
        <v>184369.40115582617</v>
      </c>
      <c r="K343" s="73">
        <v>178714.91826602435</v>
      </c>
      <c r="L343" s="73">
        <v>178181.15444015604</v>
      </c>
      <c r="M343" s="73">
        <v>175537.85440915183</v>
      </c>
      <c r="N343" s="73">
        <v>121190.36721443314</v>
      </c>
      <c r="O343" s="73">
        <v>119363.65873093692</v>
      </c>
      <c r="P343" s="73">
        <v>118163.8931353345</v>
      </c>
      <c r="Q343" s="73">
        <v>116816.5629810231</v>
      </c>
      <c r="R343" s="73">
        <v>0</v>
      </c>
      <c r="S343" s="73">
        <v>0</v>
      </c>
      <c r="T343" s="73">
        <v>0</v>
      </c>
      <c r="U343" s="73">
        <v>0</v>
      </c>
      <c r="V343" s="73">
        <v>0</v>
      </c>
      <c r="W343" s="73">
        <v>0</v>
      </c>
      <c r="X343" s="73">
        <v>0</v>
      </c>
      <c r="Y343" s="73">
        <v>0</v>
      </c>
      <c r="Z343" s="73">
        <v>0</v>
      </c>
      <c r="AA343" s="73">
        <v>0</v>
      </c>
      <c r="AB343" s="73">
        <v>0</v>
      </c>
      <c r="AC343" s="73">
        <v>0</v>
      </c>
      <c r="AD343" s="73">
        <v>0</v>
      </c>
      <c r="AE343" s="73">
        <v>0</v>
      </c>
      <c r="AF343" s="73">
        <v>0</v>
      </c>
      <c r="AG343" s="73">
        <v>0</v>
      </c>
      <c r="AH343" s="73">
        <v>1983454.5243060838</v>
      </c>
    </row>
  </sheetData>
  <conditionalFormatting sqref="G13">
    <cfRule type="containsText" dxfId="233" priority="457" operator="containsText" text="In progress">
      <formula>NOT(ISERROR(SEARCH("In progress",G13)))</formula>
    </cfRule>
    <cfRule type="containsText" dxfId="232" priority="458" operator="containsText" text="Complete">
      <formula>NOT(ISERROR(SEARCH("Complete",G13)))</formula>
    </cfRule>
    <cfRule type="containsText" dxfId="231" priority="459" operator="containsText" text="Outstanding">
      <formula>NOT(ISERROR(SEARCH("Outstanding",G13)))</formula>
    </cfRule>
  </conditionalFormatting>
  <conditionalFormatting sqref="G12">
    <cfRule type="containsText" dxfId="230" priority="451" operator="containsText" text="In progress">
      <formula>NOT(ISERROR(SEARCH("In progress",G12)))</formula>
    </cfRule>
    <cfRule type="containsText" dxfId="229" priority="452" operator="containsText" text="Complete">
      <formula>NOT(ISERROR(SEARCH("Complete",G12)))</formula>
    </cfRule>
    <cfRule type="containsText" dxfId="228" priority="453" operator="containsText" text="Outstanding">
      <formula>NOT(ISERROR(SEARCH("Outstanding",G12)))</formula>
    </cfRule>
  </conditionalFormatting>
  <conditionalFormatting sqref="G66">
    <cfRule type="containsText" dxfId="227" priority="448" operator="containsText" text="In progress">
      <formula>NOT(ISERROR(SEARCH("In progress",G66)))</formula>
    </cfRule>
    <cfRule type="containsText" dxfId="226" priority="449" operator="containsText" text="Complete">
      <formula>NOT(ISERROR(SEARCH("Complete",G66)))</formula>
    </cfRule>
    <cfRule type="containsText" dxfId="225" priority="450" operator="containsText" text="Outstanding">
      <formula>NOT(ISERROR(SEARCH("Outstanding",G66)))</formula>
    </cfRule>
  </conditionalFormatting>
  <conditionalFormatting sqref="G75">
    <cfRule type="containsText" dxfId="224" priority="445" operator="containsText" text="In progress">
      <formula>NOT(ISERROR(SEARCH("In progress",G75)))</formula>
    </cfRule>
    <cfRule type="containsText" dxfId="223" priority="446" operator="containsText" text="Complete">
      <formula>NOT(ISERROR(SEARCH("Complete",G75)))</formula>
    </cfRule>
    <cfRule type="containsText" dxfId="222" priority="447" operator="containsText" text="Outstanding">
      <formula>NOT(ISERROR(SEARCH("Outstanding",G75)))</formula>
    </cfRule>
  </conditionalFormatting>
  <conditionalFormatting sqref="G22">
    <cfRule type="containsText" dxfId="221" priority="319" operator="containsText" text="In progress">
      <formula>NOT(ISERROR(SEARCH("In progress",G22)))</formula>
    </cfRule>
    <cfRule type="containsText" dxfId="220" priority="320" operator="containsText" text="Complete">
      <formula>NOT(ISERROR(SEARCH("Complete",G22)))</formula>
    </cfRule>
    <cfRule type="containsText" dxfId="219" priority="321" operator="containsText" text="Outstanding">
      <formula>NOT(ISERROR(SEARCH("Outstanding",G22)))</formula>
    </cfRule>
  </conditionalFormatting>
  <conditionalFormatting sqref="G31">
    <cfRule type="containsText" dxfId="218" priority="316" operator="containsText" text="In progress">
      <formula>NOT(ISERROR(SEARCH("In progress",G31)))</formula>
    </cfRule>
    <cfRule type="containsText" dxfId="217" priority="317" operator="containsText" text="Complete">
      <formula>NOT(ISERROR(SEARCH("Complete",G31)))</formula>
    </cfRule>
    <cfRule type="containsText" dxfId="216" priority="318" operator="containsText" text="Outstanding">
      <formula>NOT(ISERROR(SEARCH("Outstanding",G31)))</formula>
    </cfRule>
  </conditionalFormatting>
  <conditionalFormatting sqref="G40">
    <cfRule type="containsText" dxfId="215" priority="313" operator="containsText" text="In progress">
      <formula>NOT(ISERROR(SEARCH("In progress",G40)))</formula>
    </cfRule>
    <cfRule type="containsText" dxfId="214" priority="314" operator="containsText" text="Complete">
      <formula>NOT(ISERROR(SEARCH("Complete",G40)))</formula>
    </cfRule>
    <cfRule type="containsText" dxfId="213" priority="315" operator="containsText" text="Outstanding">
      <formula>NOT(ISERROR(SEARCH("Outstanding",G40)))</formula>
    </cfRule>
  </conditionalFormatting>
  <conditionalFormatting sqref="G67">
    <cfRule type="containsText" dxfId="212" priority="310" operator="containsText" text="In progress">
      <formula>NOT(ISERROR(SEARCH("In progress",G67)))</formula>
    </cfRule>
    <cfRule type="containsText" dxfId="211" priority="311" operator="containsText" text="Complete">
      <formula>NOT(ISERROR(SEARCH("Complete",G67)))</formula>
    </cfRule>
    <cfRule type="containsText" dxfId="210" priority="312" operator="containsText" text="Outstanding">
      <formula>NOT(ISERROR(SEARCH("Outstanding",G67)))</formula>
    </cfRule>
  </conditionalFormatting>
  <conditionalFormatting sqref="G76">
    <cfRule type="containsText" dxfId="209" priority="307" operator="containsText" text="In progress">
      <formula>NOT(ISERROR(SEARCH("In progress",G76)))</formula>
    </cfRule>
    <cfRule type="containsText" dxfId="208" priority="308" operator="containsText" text="Complete">
      <formula>NOT(ISERROR(SEARCH("Complete",G76)))</formula>
    </cfRule>
    <cfRule type="containsText" dxfId="207" priority="309" operator="containsText" text="Outstanding">
      <formula>NOT(ISERROR(SEARCH("Outstanding",G76)))</formula>
    </cfRule>
  </conditionalFormatting>
  <conditionalFormatting sqref="G133">
    <cfRule type="containsText" dxfId="206" priority="295" operator="containsText" text="In progress">
      <formula>NOT(ISERROR(SEARCH("In progress",G133)))</formula>
    </cfRule>
    <cfRule type="containsText" dxfId="205" priority="296" operator="containsText" text="Complete">
      <formula>NOT(ISERROR(SEARCH("Complete",G133)))</formula>
    </cfRule>
    <cfRule type="containsText" dxfId="204" priority="297" operator="containsText" text="Outstanding">
      <formula>NOT(ISERROR(SEARCH("Outstanding",G133)))</formula>
    </cfRule>
  </conditionalFormatting>
  <conditionalFormatting sqref="G132">
    <cfRule type="containsText" dxfId="203" priority="292" operator="containsText" text="In progress">
      <formula>NOT(ISERROR(SEARCH("In progress",G132)))</formula>
    </cfRule>
    <cfRule type="containsText" dxfId="202" priority="293" operator="containsText" text="Complete">
      <formula>NOT(ISERROR(SEARCH("Complete",G132)))</formula>
    </cfRule>
    <cfRule type="containsText" dxfId="201" priority="294" operator="containsText" text="Outstanding">
      <formula>NOT(ISERROR(SEARCH("Outstanding",G132)))</formula>
    </cfRule>
  </conditionalFormatting>
  <conditionalFormatting sqref="G186">
    <cfRule type="containsText" dxfId="200" priority="289" operator="containsText" text="In progress">
      <formula>NOT(ISERROR(SEARCH("In progress",G186)))</formula>
    </cfRule>
    <cfRule type="containsText" dxfId="199" priority="290" operator="containsText" text="Complete">
      <formula>NOT(ISERROR(SEARCH("Complete",G186)))</formula>
    </cfRule>
    <cfRule type="containsText" dxfId="198" priority="291" operator="containsText" text="Outstanding">
      <formula>NOT(ISERROR(SEARCH("Outstanding",G186)))</formula>
    </cfRule>
  </conditionalFormatting>
  <conditionalFormatting sqref="G195">
    <cfRule type="containsText" dxfId="197" priority="286" operator="containsText" text="In progress">
      <formula>NOT(ISERROR(SEARCH("In progress",G195)))</formula>
    </cfRule>
    <cfRule type="containsText" dxfId="196" priority="287" operator="containsText" text="Complete">
      <formula>NOT(ISERROR(SEARCH("Complete",G195)))</formula>
    </cfRule>
    <cfRule type="containsText" dxfId="195" priority="288" operator="containsText" text="Outstanding">
      <formula>NOT(ISERROR(SEARCH("Outstanding",G195)))</formula>
    </cfRule>
  </conditionalFormatting>
  <conditionalFormatting sqref="G142">
    <cfRule type="containsText" dxfId="194" priority="277" operator="containsText" text="In progress">
      <formula>NOT(ISERROR(SEARCH("In progress",G142)))</formula>
    </cfRule>
    <cfRule type="containsText" dxfId="193" priority="278" operator="containsText" text="Complete">
      <formula>NOT(ISERROR(SEARCH("Complete",G142)))</formula>
    </cfRule>
    <cfRule type="containsText" dxfId="192" priority="279" operator="containsText" text="Outstanding">
      <formula>NOT(ISERROR(SEARCH("Outstanding",G142)))</formula>
    </cfRule>
  </conditionalFormatting>
  <conditionalFormatting sqref="G151">
    <cfRule type="containsText" dxfId="191" priority="274" operator="containsText" text="In progress">
      <formula>NOT(ISERROR(SEARCH("In progress",G151)))</formula>
    </cfRule>
    <cfRule type="containsText" dxfId="190" priority="275" operator="containsText" text="Complete">
      <formula>NOT(ISERROR(SEARCH("Complete",G151)))</formula>
    </cfRule>
    <cfRule type="containsText" dxfId="189" priority="276" operator="containsText" text="Outstanding">
      <formula>NOT(ISERROR(SEARCH("Outstanding",G151)))</formula>
    </cfRule>
  </conditionalFormatting>
  <conditionalFormatting sqref="G160">
    <cfRule type="containsText" dxfId="188" priority="271" operator="containsText" text="In progress">
      <formula>NOT(ISERROR(SEARCH("In progress",G160)))</formula>
    </cfRule>
    <cfRule type="containsText" dxfId="187" priority="272" operator="containsText" text="Complete">
      <formula>NOT(ISERROR(SEARCH("Complete",G160)))</formula>
    </cfRule>
    <cfRule type="containsText" dxfId="186" priority="273" operator="containsText" text="Outstanding">
      <formula>NOT(ISERROR(SEARCH("Outstanding",G160)))</formula>
    </cfRule>
  </conditionalFormatting>
  <conditionalFormatting sqref="G187">
    <cfRule type="containsText" dxfId="185" priority="268" operator="containsText" text="In progress">
      <formula>NOT(ISERROR(SEARCH("In progress",G187)))</formula>
    </cfRule>
    <cfRule type="containsText" dxfId="184" priority="269" operator="containsText" text="Complete">
      <formula>NOT(ISERROR(SEARCH("Complete",G187)))</formula>
    </cfRule>
    <cfRule type="containsText" dxfId="183" priority="270" operator="containsText" text="Outstanding">
      <formula>NOT(ISERROR(SEARCH("Outstanding",G187)))</formula>
    </cfRule>
  </conditionalFormatting>
  <conditionalFormatting sqref="G196">
    <cfRule type="containsText" dxfId="182" priority="265" operator="containsText" text="In progress">
      <formula>NOT(ISERROR(SEARCH("In progress",G196)))</formula>
    </cfRule>
    <cfRule type="containsText" dxfId="181" priority="266" operator="containsText" text="Complete">
      <formula>NOT(ISERROR(SEARCH("Complete",G196)))</formula>
    </cfRule>
    <cfRule type="containsText" dxfId="180" priority="267" operator="containsText" text="Outstanding">
      <formula>NOT(ISERROR(SEARCH("Outstanding",G196)))</formula>
    </cfRule>
  </conditionalFormatting>
  <conditionalFormatting sqref="G49">
    <cfRule type="containsText" dxfId="179" priority="262" operator="containsText" text="In progress">
      <formula>NOT(ISERROR(SEARCH("In progress",G49)))</formula>
    </cfRule>
    <cfRule type="containsText" dxfId="178" priority="263" operator="containsText" text="Complete">
      <formula>NOT(ISERROR(SEARCH("Complete",G49)))</formula>
    </cfRule>
    <cfRule type="containsText" dxfId="177" priority="264" operator="containsText" text="Outstanding">
      <formula>NOT(ISERROR(SEARCH("Outstanding",G49)))</formula>
    </cfRule>
  </conditionalFormatting>
  <conditionalFormatting sqref="G48">
    <cfRule type="containsText" dxfId="176" priority="259" operator="containsText" text="In progress">
      <formula>NOT(ISERROR(SEARCH("In progress",G48)))</formula>
    </cfRule>
    <cfRule type="containsText" dxfId="175" priority="260" operator="containsText" text="Complete">
      <formula>NOT(ISERROR(SEARCH("Complete",G48)))</formula>
    </cfRule>
    <cfRule type="containsText" dxfId="174" priority="261" operator="containsText" text="Outstanding">
      <formula>NOT(ISERROR(SEARCH("Outstanding",G48)))</formula>
    </cfRule>
  </conditionalFormatting>
  <conditionalFormatting sqref="G214">
    <cfRule type="containsText" dxfId="173" priority="244" operator="containsText" text="In progress">
      <formula>NOT(ISERROR(SEARCH("In progress",G214)))</formula>
    </cfRule>
    <cfRule type="containsText" dxfId="172" priority="245" operator="containsText" text="Complete">
      <formula>NOT(ISERROR(SEARCH("Complete",G214)))</formula>
    </cfRule>
    <cfRule type="containsText" dxfId="171" priority="246" operator="containsText" text="Outstanding">
      <formula>NOT(ISERROR(SEARCH("Outstanding",G214)))</formula>
    </cfRule>
  </conditionalFormatting>
  <conditionalFormatting sqref="G223">
    <cfRule type="containsText" dxfId="170" priority="241" operator="containsText" text="In progress">
      <formula>NOT(ISERROR(SEARCH("In progress",G223)))</formula>
    </cfRule>
    <cfRule type="containsText" dxfId="169" priority="242" operator="containsText" text="Complete">
      <formula>NOT(ISERROR(SEARCH("Complete",G223)))</formula>
    </cfRule>
    <cfRule type="containsText" dxfId="168" priority="243" operator="containsText" text="Outstanding">
      <formula>NOT(ISERROR(SEARCH("Outstanding",G223)))</formula>
    </cfRule>
  </conditionalFormatting>
  <conditionalFormatting sqref="G232">
    <cfRule type="containsText" dxfId="167" priority="238" operator="containsText" text="In progress">
      <formula>NOT(ISERROR(SEARCH("In progress",G232)))</formula>
    </cfRule>
    <cfRule type="containsText" dxfId="166" priority="239" operator="containsText" text="Complete">
      <formula>NOT(ISERROR(SEARCH("Complete",G232)))</formula>
    </cfRule>
    <cfRule type="containsText" dxfId="165" priority="240" operator="containsText" text="Outstanding">
      <formula>NOT(ISERROR(SEARCH("Outstanding",G232)))</formula>
    </cfRule>
  </conditionalFormatting>
  <conditionalFormatting sqref="G94">
    <cfRule type="containsText" dxfId="164" priority="220" operator="containsText" text="In progress">
      <formula>NOT(ISERROR(SEARCH("In progress",G94)))</formula>
    </cfRule>
    <cfRule type="containsText" dxfId="163" priority="221" operator="containsText" text="Complete">
      <formula>NOT(ISERROR(SEARCH("Complete",G94)))</formula>
    </cfRule>
    <cfRule type="containsText" dxfId="162" priority="222" operator="containsText" text="Outstanding">
      <formula>NOT(ISERROR(SEARCH("Outstanding",G94)))</formula>
    </cfRule>
  </conditionalFormatting>
  <conditionalFormatting sqref="G103">
    <cfRule type="containsText" dxfId="161" priority="217" operator="containsText" text="In progress">
      <formula>NOT(ISERROR(SEARCH("In progress",G103)))</formula>
    </cfRule>
    <cfRule type="containsText" dxfId="160" priority="218" operator="containsText" text="Complete">
      <formula>NOT(ISERROR(SEARCH("Complete",G103)))</formula>
    </cfRule>
    <cfRule type="containsText" dxfId="159" priority="219" operator="containsText" text="Outstanding">
      <formula>NOT(ISERROR(SEARCH("Outstanding",G103)))</formula>
    </cfRule>
  </conditionalFormatting>
  <conditionalFormatting sqref="G112">
    <cfRule type="containsText" dxfId="158" priority="214" operator="containsText" text="In progress">
      <formula>NOT(ISERROR(SEARCH("In progress",G112)))</formula>
    </cfRule>
    <cfRule type="containsText" dxfId="157" priority="215" operator="containsText" text="Complete">
      <formula>NOT(ISERROR(SEARCH("Complete",G112)))</formula>
    </cfRule>
    <cfRule type="containsText" dxfId="156" priority="216" operator="containsText" text="Outstanding">
      <formula>NOT(ISERROR(SEARCH("Outstanding",G112)))</formula>
    </cfRule>
  </conditionalFormatting>
  <conditionalFormatting sqref="G169">
    <cfRule type="containsText" dxfId="155" priority="208" operator="containsText" text="In progress">
      <formula>NOT(ISERROR(SEARCH("In progress",G169)))</formula>
    </cfRule>
    <cfRule type="containsText" dxfId="154" priority="209" operator="containsText" text="Complete">
      <formula>NOT(ISERROR(SEARCH("Complete",G169)))</formula>
    </cfRule>
    <cfRule type="containsText" dxfId="153" priority="210" operator="containsText" text="Outstanding">
      <formula>NOT(ISERROR(SEARCH("Outstanding",G169)))</formula>
    </cfRule>
  </conditionalFormatting>
  <conditionalFormatting sqref="G168">
    <cfRule type="containsText" dxfId="152" priority="205" operator="containsText" text="In progress">
      <formula>NOT(ISERROR(SEARCH("In progress",G168)))</formula>
    </cfRule>
    <cfRule type="containsText" dxfId="151" priority="206" operator="containsText" text="Complete">
      <formula>NOT(ISERROR(SEARCH("Complete",G168)))</formula>
    </cfRule>
    <cfRule type="containsText" dxfId="150" priority="207" operator="containsText" text="Outstanding">
      <formula>NOT(ISERROR(SEARCH("Outstanding",G168)))</formula>
    </cfRule>
  </conditionalFormatting>
  <conditionalFormatting sqref="E253">
    <cfRule type="containsText" dxfId="149" priority="202" operator="containsText" text="In progress">
      <formula>NOT(ISERROR(SEARCH("In progress",E253)))</formula>
    </cfRule>
    <cfRule type="containsText" dxfId="148" priority="203" operator="containsText" text="Complete">
      <formula>NOT(ISERROR(SEARCH("Complete",E253)))</formula>
    </cfRule>
    <cfRule type="containsText" dxfId="147" priority="204" operator="containsText" text="Outstanding">
      <formula>NOT(ISERROR(SEARCH("Outstanding",E253)))</formula>
    </cfRule>
  </conditionalFormatting>
  <conditionalFormatting sqref="E252">
    <cfRule type="containsText" dxfId="146" priority="199" operator="containsText" text="In progress">
      <formula>NOT(ISERROR(SEARCH("In progress",E252)))</formula>
    </cfRule>
    <cfRule type="containsText" dxfId="145" priority="200" operator="containsText" text="Complete">
      <formula>NOT(ISERROR(SEARCH("Complete",E252)))</formula>
    </cfRule>
    <cfRule type="containsText" dxfId="144" priority="201" operator="containsText" text="Outstanding">
      <formula>NOT(ISERROR(SEARCH("Outstanding",E252)))</formula>
    </cfRule>
  </conditionalFormatting>
  <conditionalFormatting sqref="E259">
    <cfRule type="containsText" dxfId="143" priority="193" operator="containsText" text="In progress">
      <formula>NOT(ISERROR(SEARCH("In progress",E259)))</formula>
    </cfRule>
    <cfRule type="containsText" dxfId="142" priority="194" operator="containsText" text="Complete">
      <formula>NOT(ISERROR(SEARCH("Complete",E259)))</formula>
    </cfRule>
    <cfRule type="containsText" dxfId="141" priority="195" operator="containsText" text="Outstanding">
      <formula>NOT(ISERROR(SEARCH("Outstanding",E259)))</formula>
    </cfRule>
  </conditionalFormatting>
  <conditionalFormatting sqref="E272">
    <cfRule type="containsText" dxfId="140" priority="187" operator="containsText" text="In progress">
      <formula>NOT(ISERROR(SEARCH("In progress",E272)))</formula>
    </cfRule>
    <cfRule type="containsText" dxfId="139" priority="188" operator="containsText" text="Complete">
      <formula>NOT(ISERROR(SEARCH("Complete",E272)))</formula>
    </cfRule>
    <cfRule type="containsText" dxfId="138" priority="189" operator="containsText" text="Outstanding">
      <formula>NOT(ISERROR(SEARCH("Outstanding",E272)))</formula>
    </cfRule>
  </conditionalFormatting>
  <conditionalFormatting sqref="F306">
    <cfRule type="containsText" dxfId="137" priority="181" operator="containsText" text="In progress">
      <formula>NOT(ISERROR(SEARCH("In progress",F306)))</formula>
    </cfRule>
    <cfRule type="containsText" dxfId="136" priority="182" operator="containsText" text="Complete">
      <formula>NOT(ISERROR(SEARCH("Complete",F306)))</formula>
    </cfRule>
    <cfRule type="containsText" dxfId="135" priority="183" operator="containsText" text="Outstanding">
      <formula>NOT(ISERROR(SEARCH("Outstanding",F306)))</formula>
    </cfRule>
  </conditionalFormatting>
  <conditionalFormatting sqref="E293">
    <cfRule type="containsText" dxfId="134" priority="169" operator="containsText" text="In progress">
      <formula>NOT(ISERROR(SEARCH("In progress",E293)))</formula>
    </cfRule>
    <cfRule type="containsText" dxfId="133" priority="170" operator="containsText" text="Complete">
      <formula>NOT(ISERROR(SEARCH("Complete",E293)))</formula>
    </cfRule>
    <cfRule type="containsText" dxfId="132" priority="171" operator="containsText" text="Outstanding">
      <formula>NOT(ISERROR(SEARCH("Outstanding",E293)))</formula>
    </cfRule>
  </conditionalFormatting>
  <conditionalFormatting sqref="F292">
    <cfRule type="containsText" dxfId="131" priority="172" operator="containsText" text="In progress">
      <formula>NOT(ISERROR(SEARCH("In progress",F292)))</formula>
    </cfRule>
    <cfRule type="containsText" dxfId="130" priority="173" operator="containsText" text="Complete">
      <formula>NOT(ISERROR(SEARCH("Complete",F292)))</formula>
    </cfRule>
    <cfRule type="containsText" dxfId="129" priority="174" operator="containsText" text="Outstanding">
      <formula>NOT(ISERROR(SEARCH("Outstanding",F292)))</formula>
    </cfRule>
  </conditionalFormatting>
  <conditionalFormatting sqref="E268">
    <cfRule type="containsText" dxfId="128" priority="82" operator="containsText" text="In progress">
      <formula>NOT(ISERROR(SEARCH("In progress",E268)))</formula>
    </cfRule>
    <cfRule type="containsText" dxfId="127" priority="83" operator="containsText" text="Complete">
      <formula>NOT(ISERROR(SEARCH("Complete",E268)))</formula>
    </cfRule>
    <cfRule type="containsText" dxfId="126" priority="84" operator="containsText" text="Outstanding">
      <formula>NOT(ISERROR(SEARCH("Outstanding",E268)))</formula>
    </cfRule>
  </conditionalFormatting>
  <conditionalFormatting sqref="E267">
    <cfRule type="containsText" dxfId="125" priority="163" operator="containsText" text="In progress">
      <formula>NOT(ISERROR(SEARCH("In progress",E267)))</formula>
    </cfRule>
    <cfRule type="containsText" dxfId="124" priority="164" operator="containsText" text="Complete">
      <formula>NOT(ISERROR(SEARCH("Complete",E267)))</formula>
    </cfRule>
    <cfRule type="containsText" dxfId="123" priority="165" operator="containsText" text="Outstanding">
      <formula>NOT(ISERROR(SEARCH("Outstanding",E267)))</formula>
    </cfRule>
  </conditionalFormatting>
  <conditionalFormatting sqref="F299">
    <cfRule type="containsText" dxfId="122" priority="160" operator="containsText" text="In progress">
      <formula>NOT(ISERROR(SEARCH("In progress",F299)))</formula>
    </cfRule>
    <cfRule type="containsText" dxfId="121" priority="161" operator="containsText" text="Complete">
      <formula>NOT(ISERROR(SEARCH("Complete",F299)))</formula>
    </cfRule>
    <cfRule type="containsText" dxfId="120" priority="162" operator="containsText" text="Outstanding">
      <formula>NOT(ISERROR(SEARCH("Outstanding",F299)))</formula>
    </cfRule>
  </conditionalFormatting>
  <conditionalFormatting sqref="E273">
    <cfRule type="containsText" dxfId="119" priority="79" operator="containsText" text="In progress">
      <formula>NOT(ISERROR(SEARCH("In progress",E273)))</formula>
    </cfRule>
    <cfRule type="containsText" dxfId="118" priority="80" operator="containsText" text="Complete">
      <formula>NOT(ISERROR(SEARCH("Complete",E273)))</formula>
    </cfRule>
    <cfRule type="containsText" dxfId="117" priority="81" operator="containsText" text="Outstanding">
      <formula>NOT(ISERROR(SEARCH("Outstanding",E273)))</formula>
    </cfRule>
  </conditionalFormatting>
  <conditionalFormatting sqref="F314">
    <cfRule type="containsText" dxfId="116" priority="145" operator="containsText" text="In progress">
      <formula>NOT(ISERROR(SEARCH("In progress",F314)))</formula>
    </cfRule>
    <cfRule type="containsText" dxfId="115" priority="146" operator="containsText" text="Complete">
      <formula>NOT(ISERROR(SEARCH("Complete",F314)))</formula>
    </cfRule>
    <cfRule type="containsText" dxfId="114" priority="147" operator="containsText" text="Outstanding">
      <formula>NOT(ISERROR(SEARCH("Outstanding",F314)))</formula>
    </cfRule>
  </conditionalFormatting>
  <conditionalFormatting sqref="E324">
    <cfRule type="containsText" dxfId="113" priority="64" operator="containsText" text="In progress">
      <formula>NOT(ISERROR(SEARCH("In progress",E324)))</formula>
    </cfRule>
    <cfRule type="containsText" dxfId="112" priority="65" operator="containsText" text="Complete">
      <formula>NOT(ISERROR(SEARCH("Complete",E324)))</formula>
    </cfRule>
    <cfRule type="containsText" dxfId="111" priority="66" operator="containsText" text="Outstanding">
      <formula>NOT(ISERROR(SEARCH("Outstanding",E324)))</formula>
    </cfRule>
  </conditionalFormatting>
  <conditionalFormatting sqref="E280">
    <cfRule type="containsText" dxfId="110" priority="139" operator="containsText" text="In progress">
      <formula>NOT(ISERROR(SEARCH("In progress",E280)))</formula>
    </cfRule>
    <cfRule type="containsText" dxfId="109" priority="140" operator="containsText" text="Complete">
      <formula>NOT(ISERROR(SEARCH("Complete",E280)))</formula>
    </cfRule>
    <cfRule type="containsText" dxfId="108" priority="141" operator="containsText" text="Outstanding">
      <formula>NOT(ISERROR(SEARCH("Outstanding",E280)))</formula>
    </cfRule>
  </conditionalFormatting>
  <conditionalFormatting sqref="F323">
    <cfRule type="containsText" dxfId="107" priority="131" operator="containsText" text="In progress">
      <formula>NOT(ISERROR(SEARCH("In progress",F323)))</formula>
    </cfRule>
    <cfRule type="containsText" dxfId="106" priority="132" operator="containsText" text="Complete">
      <formula>NOT(ISERROR(SEARCH("Complete",F323)))</formula>
    </cfRule>
    <cfRule type="containsText" dxfId="105" priority="133" operator="containsText" text="Outstanding">
      <formula>NOT(ISERROR(SEARCH("Outstanding",F323)))</formula>
    </cfRule>
  </conditionalFormatting>
  <conditionalFormatting sqref="G178">
    <cfRule type="containsText" dxfId="104" priority="125" operator="containsText" text="In progress">
      <formula>NOT(ISERROR(SEARCH("In progress",G178)))</formula>
    </cfRule>
    <cfRule type="containsText" dxfId="103" priority="126" operator="containsText" text="Complete">
      <formula>NOT(ISERROR(SEARCH("Complete",G178)))</formula>
    </cfRule>
    <cfRule type="containsText" dxfId="102" priority="127" operator="containsText" text="Outstanding">
      <formula>NOT(ISERROR(SEARCH("Outstanding",G178)))</formula>
    </cfRule>
  </conditionalFormatting>
  <conditionalFormatting sqref="G177">
    <cfRule type="containsText" dxfId="101" priority="122" operator="containsText" text="In progress">
      <formula>NOT(ISERROR(SEARCH("In progress",G177)))</formula>
    </cfRule>
    <cfRule type="containsText" dxfId="100" priority="123" operator="containsText" text="Complete">
      <formula>NOT(ISERROR(SEARCH("Complete",G177)))</formula>
    </cfRule>
    <cfRule type="containsText" dxfId="99" priority="124" operator="containsText" text="Outstanding">
      <formula>NOT(ISERROR(SEARCH("Outstanding",G177)))</formula>
    </cfRule>
  </conditionalFormatting>
  <conditionalFormatting sqref="G205">
    <cfRule type="containsText" dxfId="98" priority="119" operator="containsText" text="In progress">
      <formula>NOT(ISERROR(SEARCH("In progress",G205)))</formula>
    </cfRule>
    <cfRule type="containsText" dxfId="97" priority="120" operator="containsText" text="Complete">
      <formula>NOT(ISERROR(SEARCH("Complete",G205)))</formula>
    </cfRule>
    <cfRule type="containsText" dxfId="96" priority="121" operator="containsText" text="Outstanding">
      <formula>NOT(ISERROR(SEARCH("Outstanding",G205)))</formula>
    </cfRule>
  </conditionalFormatting>
  <conditionalFormatting sqref="G204">
    <cfRule type="containsText" dxfId="95" priority="116" operator="containsText" text="In progress">
      <formula>NOT(ISERROR(SEARCH("In progress",G204)))</formula>
    </cfRule>
    <cfRule type="containsText" dxfId="94" priority="117" operator="containsText" text="Complete">
      <formula>NOT(ISERROR(SEARCH("Complete",G204)))</formula>
    </cfRule>
    <cfRule type="containsText" dxfId="93" priority="118" operator="containsText" text="Outstanding">
      <formula>NOT(ISERROR(SEARCH("Outstanding",G204)))</formula>
    </cfRule>
  </conditionalFormatting>
  <conditionalFormatting sqref="G241">
    <cfRule type="containsText" dxfId="92" priority="110" operator="containsText" text="In progress">
      <formula>NOT(ISERROR(SEARCH("In progress",G241)))</formula>
    </cfRule>
    <cfRule type="containsText" dxfId="91" priority="111" operator="containsText" text="Complete">
      <formula>NOT(ISERROR(SEARCH("Complete",G241)))</formula>
    </cfRule>
    <cfRule type="containsText" dxfId="90" priority="112" operator="containsText" text="Outstanding">
      <formula>NOT(ISERROR(SEARCH("Outstanding",G241)))</formula>
    </cfRule>
  </conditionalFormatting>
  <conditionalFormatting sqref="G58">
    <cfRule type="containsText" dxfId="89" priority="107" operator="containsText" text="In progress">
      <formula>NOT(ISERROR(SEARCH("In progress",G58)))</formula>
    </cfRule>
    <cfRule type="containsText" dxfId="88" priority="108" operator="containsText" text="Complete">
      <formula>NOT(ISERROR(SEARCH("Complete",G58)))</formula>
    </cfRule>
    <cfRule type="containsText" dxfId="87" priority="109" operator="containsText" text="Outstanding">
      <formula>NOT(ISERROR(SEARCH("Outstanding",G58)))</formula>
    </cfRule>
  </conditionalFormatting>
  <conditionalFormatting sqref="G57">
    <cfRule type="containsText" dxfId="86" priority="104" operator="containsText" text="In progress">
      <formula>NOT(ISERROR(SEARCH("In progress",G57)))</formula>
    </cfRule>
    <cfRule type="containsText" dxfId="85" priority="105" operator="containsText" text="Complete">
      <formula>NOT(ISERROR(SEARCH("Complete",G57)))</formula>
    </cfRule>
    <cfRule type="containsText" dxfId="84" priority="106" operator="containsText" text="Outstanding">
      <formula>NOT(ISERROR(SEARCH("Outstanding",G57)))</formula>
    </cfRule>
  </conditionalFormatting>
  <conditionalFormatting sqref="G85">
    <cfRule type="containsText" dxfId="83" priority="101" operator="containsText" text="In progress">
      <formula>NOT(ISERROR(SEARCH("In progress",G85)))</formula>
    </cfRule>
    <cfRule type="containsText" dxfId="82" priority="102" operator="containsText" text="Complete">
      <formula>NOT(ISERROR(SEARCH("Complete",G85)))</formula>
    </cfRule>
    <cfRule type="containsText" dxfId="81" priority="103" operator="containsText" text="Outstanding">
      <formula>NOT(ISERROR(SEARCH("Outstanding",G85)))</formula>
    </cfRule>
  </conditionalFormatting>
  <conditionalFormatting sqref="G84">
    <cfRule type="containsText" dxfId="80" priority="98" operator="containsText" text="In progress">
      <formula>NOT(ISERROR(SEARCH("In progress",G84)))</formula>
    </cfRule>
    <cfRule type="containsText" dxfId="79" priority="99" operator="containsText" text="Complete">
      <formula>NOT(ISERROR(SEARCH("Complete",G84)))</formula>
    </cfRule>
    <cfRule type="containsText" dxfId="78" priority="100" operator="containsText" text="Outstanding">
      <formula>NOT(ISERROR(SEARCH("Outstanding",G84)))</formula>
    </cfRule>
  </conditionalFormatting>
  <conditionalFormatting sqref="G121">
    <cfRule type="containsText" dxfId="77" priority="92" operator="containsText" text="In progress">
      <formula>NOT(ISERROR(SEARCH("In progress",G121)))</formula>
    </cfRule>
    <cfRule type="containsText" dxfId="76" priority="93" operator="containsText" text="Complete">
      <formula>NOT(ISERROR(SEARCH("Complete",G121)))</formula>
    </cfRule>
    <cfRule type="containsText" dxfId="75" priority="94" operator="containsText" text="Outstanding">
      <formula>NOT(ISERROR(SEARCH("Outstanding",G121)))</formula>
    </cfRule>
  </conditionalFormatting>
  <conditionalFormatting sqref="G338">
    <cfRule type="containsText" dxfId="74" priority="88" operator="containsText" text="In progress">
      <formula>NOT(ISERROR(SEARCH("In progress",G338)))</formula>
    </cfRule>
    <cfRule type="containsText" dxfId="73" priority="89" operator="containsText" text="Complete">
      <formula>NOT(ISERROR(SEARCH("Complete",G338)))</formula>
    </cfRule>
    <cfRule type="containsText" dxfId="72" priority="90" operator="containsText" text="Outstanding">
      <formula>NOT(ISERROR(SEARCH("Outstanding",G338)))</formula>
    </cfRule>
  </conditionalFormatting>
  <conditionalFormatting sqref="E260">
    <cfRule type="containsText" dxfId="71" priority="85" operator="containsText" text="In progress">
      <formula>NOT(ISERROR(SEARCH("In progress",E260)))</formula>
    </cfRule>
    <cfRule type="containsText" dxfId="70" priority="86" operator="containsText" text="Complete">
      <formula>NOT(ISERROR(SEARCH("Complete",E260)))</formula>
    </cfRule>
    <cfRule type="containsText" dxfId="69" priority="87" operator="containsText" text="Outstanding">
      <formula>NOT(ISERROR(SEARCH("Outstanding",E260)))</formula>
    </cfRule>
  </conditionalFormatting>
  <conditionalFormatting sqref="E281">
    <cfRule type="containsText" dxfId="68" priority="76" operator="containsText" text="In progress">
      <formula>NOT(ISERROR(SEARCH("In progress",E281)))</formula>
    </cfRule>
    <cfRule type="containsText" dxfId="67" priority="77" operator="containsText" text="Complete">
      <formula>NOT(ISERROR(SEARCH("Complete",E281)))</formula>
    </cfRule>
    <cfRule type="containsText" dxfId="66" priority="78" operator="containsText" text="Outstanding">
      <formula>NOT(ISERROR(SEARCH("Outstanding",E281)))</formula>
    </cfRule>
  </conditionalFormatting>
  <conditionalFormatting sqref="DD132">
    <cfRule type="containsText" dxfId="65" priority="1" operator="containsText" text="In progress">
      <formula>NOT(ISERROR(SEARCH("In progress",DD132)))</formula>
    </cfRule>
    <cfRule type="containsText" dxfId="64" priority="2" operator="containsText" text="Complete">
      <formula>NOT(ISERROR(SEARCH("Complete",DD132)))</formula>
    </cfRule>
    <cfRule type="containsText" dxfId="63" priority="3" operator="containsText" text="Outstanding">
      <formula>NOT(ISERROR(SEARCH("Outstanding",DD132)))</formula>
    </cfRule>
  </conditionalFormatting>
  <conditionalFormatting sqref="E300">
    <cfRule type="containsText" dxfId="62" priority="73" operator="containsText" text="In progress">
      <formula>NOT(ISERROR(SEARCH("In progress",E300)))</formula>
    </cfRule>
    <cfRule type="containsText" dxfId="61" priority="74" operator="containsText" text="Complete">
      <formula>NOT(ISERROR(SEARCH("Complete",E300)))</formula>
    </cfRule>
    <cfRule type="containsText" dxfId="60" priority="75" operator="containsText" text="Outstanding">
      <formula>NOT(ISERROR(SEARCH("Outstanding",E300)))</formula>
    </cfRule>
  </conditionalFormatting>
  <conditionalFormatting sqref="E307">
    <cfRule type="containsText" dxfId="59" priority="70" operator="containsText" text="In progress">
      <formula>NOT(ISERROR(SEARCH("In progress",E307)))</formula>
    </cfRule>
    <cfRule type="containsText" dxfId="58" priority="71" operator="containsText" text="Complete">
      <formula>NOT(ISERROR(SEARCH("Complete",E307)))</formula>
    </cfRule>
    <cfRule type="containsText" dxfId="57" priority="72" operator="containsText" text="Outstanding">
      <formula>NOT(ISERROR(SEARCH("Outstanding",E307)))</formula>
    </cfRule>
  </conditionalFormatting>
  <conditionalFormatting sqref="E315">
    <cfRule type="containsText" dxfId="56" priority="67" operator="containsText" text="In progress">
      <formula>NOT(ISERROR(SEARCH("In progress",E315)))</formula>
    </cfRule>
    <cfRule type="containsText" dxfId="55" priority="68" operator="containsText" text="Complete">
      <formula>NOT(ISERROR(SEARCH("Complete",E315)))</formula>
    </cfRule>
    <cfRule type="containsText" dxfId="54" priority="69" operator="containsText" text="Outstanding">
      <formula>NOT(ISERROR(SEARCH("Outstanding",E315)))</formula>
    </cfRule>
  </conditionalFormatting>
  <conditionalFormatting sqref="DD133">
    <cfRule type="containsText" dxfId="53" priority="4" operator="containsText" text="In progress">
      <formula>NOT(ISERROR(SEARCH("In progress",DD133)))</formula>
    </cfRule>
    <cfRule type="containsText" dxfId="52" priority="5" operator="containsText" text="Complete">
      <formula>NOT(ISERROR(SEARCH("Complete",DD133)))</formula>
    </cfRule>
    <cfRule type="containsText" dxfId="51" priority="6" operator="containsText" text="Outstanding">
      <formula>NOT(ISERROR(SEARCH("Outstanding",DD133)))</formula>
    </cfRule>
  </conditionalFormatting>
  <pageMargins left="0.7" right="0.7" top="0.75" bottom="0.75" header="0.3" footer="0.3"/>
  <pageSetup paperSize="256" orientation="portrait" horizontalDpi="1200" verticalDpi="1200"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439" operator="containsText" text="In progress" id="{73250EA8-1FAB-4588-A87D-B535E1F1C020}">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440" operator="containsText" text="Complete" id="{960B4DBC-7743-402A-8301-777659949219}">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441" operator="containsText" text="Outstanding" id="{A40241C5-1A7E-4815-AE21-FBAAD7AFBA03}">
            <xm:f>NOT(ISERROR(SEARCH("Outstanding",'https://arup.sharepoint.com/teams/prj-26714700/DataDocumentsLibrary/4-04 Calculations/Mech/[UCB utilities calculation_2019-03-15.xlsx]Utility loads'!#REF!)))</xm:f>
            <x14:dxf>
              <font>
                <color auto="1"/>
              </font>
              <fill>
                <patternFill>
                  <bgColor theme="6"/>
                </patternFill>
              </fill>
            </x14:dxf>
          </x14:cfRule>
          <xm:sqref>G47</xm:sqref>
        </x14:conditionalFormatting>
        <x14:conditionalFormatting xmlns:xm="http://schemas.microsoft.com/office/excel/2006/main">
          <x14:cfRule type="containsText" priority="460" operator="containsText" text="In progress" id="{E97BCA3D-8361-49F8-BABF-4264146EA862}">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461" operator="containsText" text="Complete" id="{C83CF396-B593-4B14-8E2F-A08860E17544}">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462" operator="containsText" text="Outstanding" id="{6E05082E-A951-4533-B387-4728A54C1289}">
            <xm:f>NOT(ISERROR(SEARCH("Outstanding",'https://arup.sharepoint.com/teams/prj-26714700/DataDocumentsLibrary/4-04 Calculations/Mech/[UCB utilities calculation_2019-03-15.xlsx]Utility loads'!#REF!)))</xm:f>
            <x14:dxf>
              <font>
                <color auto="1"/>
              </font>
              <fill>
                <patternFill>
                  <bgColor theme="6"/>
                </patternFill>
              </fill>
            </x14:dxf>
          </x14:cfRule>
          <xm:sqref>G21</xm:sqref>
        </x14:conditionalFormatting>
        <x14:conditionalFormatting xmlns:xm="http://schemas.microsoft.com/office/excel/2006/main">
          <x14:cfRule type="containsText" priority="490" operator="containsText" text="In progress" id="{09315C45-54B8-4084-A7BD-B704EBE5E9D1}">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491" operator="containsText" text="Complete" id="{6659EC57-661C-4CCF-8F46-13A6FDF95F78}">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492" operator="containsText" text="Outstanding" id="{7909DF38-26C8-4E93-8B76-A4A539FAB77C}">
            <xm:f>NOT(ISERROR(SEARCH("Outstanding",'https://arup.sharepoint.com/teams/prj-26714700/DataDocumentsLibrary/4-04 Calculations/Mech/[UCB utilities calculation_2019-03-15.xlsx]Utility loads'!#REF!)))</xm:f>
            <x14:dxf>
              <font>
                <color auto="1"/>
              </font>
              <fill>
                <patternFill>
                  <bgColor theme="6"/>
                </patternFill>
              </fill>
            </x14:dxf>
          </x14:cfRule>
          <xm:sqref>G39</xm:sqref>
        </x14:conditionalFormatting>
        <x14:conditionalFormatting xmlns:xm="http://schemas.microsoft.com/office/excel/2006/main">
          <x14:cfRule type="containsText" priority="508" operator="containsText" text="In progress" id="{3BB88ED4-BA7B-4866-94DE-0A9D66889A8A}">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509" operator="containsText" text="Complete" id="{F4EBCEDB-50AC-47BF-AA04-4268F00D4CA2}">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510" operator="containsText" text="Outstanding" id="{A335F640-24B9-4638-B8D0-D44E06442B90}">
            <xm:f>NOT(ISERROR(SEARCH("Outstanding",'https://arup.sharepoint.com/teams/prj-26714700/DataDocumentsLibrary/4-04 Calculations/Mech/[UCB utilities calculation_2019-03-15.xlsx]Utility loads'!#REF!)))</xm:f>
            <x14:dxf>
              <font>
                <color auto="1"/>
              </font>
              <fill>
                <patternFill>
                  <bgColor theme="6"/>
                </patternFill>
              </fill>
            </x14:dxf>
          </x14:cfRule>
          <xm:sqref>G30</xm:sqref>
        </x14:conditionalFormatting>
        <x14:conditionalFormatting xmlns:xm="http://schemas.microsoft.com/office/excel/2006/main">
          <x14:cfRule type="containsText" priority="298" operator="containsText" text="In progress" id="{5C52048C-960C-46A7-8F88-E06ED1FC1F78}">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299" operator="containsText" text="Complete" id="{6F183964-3EC9-4EB2-8D7A-CC7FB2623AF3}">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300" operator="containsText" text="Outstanding" id="{3E0BBBDF-A68C-44EC-898E-A8C645904FBA}">
            <xm:f>NOT(ISERROR(SEARCH("Outstanding",'https://arup.sharepoint.com/teams/prj-26714700/DataDocumentsLibrary/4-04 Calculations/Mech/[UCB utilities calculation_2019-03-15.xlsx]Utility loads'!#REF!)))</xm:f>
            <x14:dxf>
              <font>
                <color auto="1"/>
              </font>
              <fill>
                <patternFill>
                  <bgColor theme="6"/>
                </patternFill>
              </fill>
            </x14:dxf>
          </x14:cfRule>
          <xm:sqref>G141</xm:sqref>
        </x14:conditionalFormatting>
        <x14:conditionalFormatting xmlns:xm="http://schemas.microsoft.com/office/excel/2006/main">
          <x14:cfRule type="containsText" priority="301" operator="containsText" text="In progress" id="{8E825472-E2D8-4A65-AB12-9922B4345717}">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302" operator="containsText" text="Complete" id="{F07A0DDD-E104-4306-973C-501F76D7E3D6}">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303" operator="containsText" text="Outstanding" id="{AFD800A6-1834-4C7E-9A05-951BD86B13B5}">
            <xm:f>NOT(ISERROR(SEARCH("Outstanding",'https://arup.sharepoint.com/teams/prj-26714700/DataDocumentsLibrary/4-04 Calculations/Mech/[UCB utilities calculation_2019-03-15.xlsx]Utility loads'!#REF!)))</xm:f>
            <x14:dxf>
              <font>
                <color auto="1"/>
              </font>
              <fill>
                <patternFill>
                  <bgColor theme="6"/>
                </patternFill>
              </fill>
            </x14:dxf>
          </x14:cfRule>
          <xm:sqref>G159</xm:sqref>
        </x14:conditionalFormatting>
        <x14:conditionalFormatting xmlns:xm="http://schemas.microsoft.com/office/excel/2006/main">
          <x14:cfRule type="containsText" priority="304" operator="containsText" text="In progress" id="{46226432-8177-4038-9314-45A4E6EA228A}">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305" operator="containsText" text="Complete" id="{14C36897-E9EA-49F5-8CD1-BE147653CEFE}">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306" operator="containsText" text="Outstanding" id="{ACCDACEF-CAEE-4834-A375-36C689CCF869}">
            <xm:f>NOT(ISERROR(SEARCH("Outstanding",'https://arup.sharepoint.com/teams/prj-26714700/DataDocumentsLibrary/4-04 Calculations/Mech/[UCB utilities calculation_2019-03-15.xlsx]Utility loads'!#REF!)))</xm:f>
            <x14:dxf>
              <font>
                <color auto="1"/>
              </font>
              <fill>
                <patternFill>
                  <bgColor theme="6"/>
                </patternFill>
              </fill>
            </x14:dxf>
          </x14:cfRule>
          <xm:sqref>G150</xm:sqref>
        </x14:conditionalFormatting>
        <x14:conditionalFormatting xmlns:xm="http://schemas.microsoft.com/office/excel/2006/main">
          <x14:cfRule type="containsText" priority="250" operator="containsText" text="In progress" id="{4443B129-08E3-4BA5-8BBB-B19D8655D25B}">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251" operator="containsText" text="Complete" id="{5BB33E76-FD01-4053-A83B-5EB96F9218CF}">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252" operator="containsText" text="Outstanding" id="{EE7072A5-84C1-4238-A1BC-FBE81AAEDE32}">
            <xm:f>NOT(ISERROR(SEARCH("Outstanding",'https://arup.sharepoint.com/teams/prj-26714700/DataDocumentsLibrary/4-04 Calculations/Mech/[UCB utilities calculation_2019-03-15.xlsx]Utility loads'!#REF!)))</xm:f>
            <x14:dxf>
              <font>
                <color auto="1"/>
              </font>
              <fill>
                <patternFill>
                  <bgColor theme="6"/>
                </patternFill>
              </fill>
            </x14:dxf>
          </x14:cfRule>
          <xm:sqref>G213</xm:sqref>
        </x14:conditionalFormatting>
        <x14:conditionalFormatting xmlns:xm="http://schemas.microsoft.com/office/excel/2006/main">
          <x14:cfRule type="containsText" priority="253" operator="containsText" text="In progress" id="{D7E07177-983F-480B-A3CA-220CBC39C340}">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254" operator="containsText" text="Complete" id="{71ACF7B7-1C4B-4023-9775-E680BC5538B1}">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255" operator="containsText" text="Outstanding" id="{E70C2284-DB18-4930-8C52-1E31BB5635DE}">
            <xm:f>NOT(ISERROR(SEARCH("Outstanding",'https://arup.sharepoint.com/teams/prj-26714700/DataDocumentsLibrary/4-04 Calculations/Mech/[UCB utilities calculation_2019-03-15.xlsx]Utility loads'!#REF!)))</xm:f>
            <x14:dxf>
              <font>
                <color auto="1"/>
              </font>
              <fill>
                <patternFill>
                  <bgColor theme="6"/>
                </patternFill>
              </fill>
            </x14:dxf>
          </x14:cfRule>
          <xm:sqref>G231</xm:sqref>
        </x14:conditionalFormatting>
        <x14:conditionalFormatting xmlns:xm="http://schemas.microsoft.com/office/excel/2006/main">
          <x14:cfRule type="containsText" priority="256" operator="containsText" text="In progress" id="{BB54FFD9-9156-4361-8F12-B51F5C78EEA7}">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257" operator="containsText" text="Complete" id="{B3143C5B-C33D-4BF7-BC9B-888D7A3A7D03}">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258" operator="containsText" text="Outstanding" id="{9FEDE5DD-37AF-4F95-A3EF-52C9181E1EDB}">
            <xm:f>NOT(ISERROR(SEARCH("Outstanding",'https://arup.sharepoint.com/teams/prj-26714700/DataDocumentsLibrary/4-04 Calculations/Mech/[UCB utilities calculation_2019-03-15.xlsx]Utility loads'!#REF!)))</xm:f>
            <x14:dxf>
              <font>
                <color auto="1"/>
              </font>
              <fill>
                <patternFill>
                  <bgColor theme="6"/>
                </patternFill>
              </fill>
            </x14:dxf>
          </x14:cfRule>
          <xm:sqref>G222</xm:sqref>
        </x14:conditionalFormatting>
        <x14:conditionalFormatting xmlns:xm="http://schemas.microsoft.com/office/excel/2006/main">
          <x14:cfRule type="containsText" priority="226" operator="containsText" text="In progress" id="{158AA40F-191F-48E3-85FB-CD40210E8167}">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227" operator="containsText" text="Complete" id="{88FAD872-6775-4ADA-812C-BB26393A3A97}">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228" operator="containsText" text="Outstanding" id="{B98E38E5-BAD7-483F-BAC4-38D6F4D5E7FC}">
            <xm:f>NOT(ISERROR(SEARCH("Outstanding",'https://arup.sharepoint.com/teams/prj-26714700/DataDocumentsLibrary/4-04 Calculations/Mech/[UCB utilities calculation_2019-03-15.xlsx]Utility loads'!#REF!)))</xm:f>
            <x14:dxf>
              <font>
                <color auto="1"/>
              </font>
              <fill>
                <patternFill>
                  <bgColor theme="6"/>
                </patternFill>
              </fill>
            </x14:dxf>
          </x14:cfRule>
          <xm:sqref>G119 G129:G130</xm:sqref>
        </x14:conditionalFormatting>
        <x14:conditionalFormatting xmlns:xm="http://schemas.microsoft.com/office/excel/2006/main">
          <x14:cfRule type="containsText" priority="229" operator="containsText" text="In progress" id="{DF3484CA-FECC-46CC-A2D6-013A1F47AC97}">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230" operator="containsText" text="Complete" id="{7F249755-B6A1-4A6A-A8E4-0B469944A9E7}">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231" operator="containsText" text="Outstanding" id="{6EC8EE68-982A-44D5-AFC2-CAA1EE42A97F}">
            <xm:f>NOT(ISERROR(SEARCH("Outstanding",'https://arup.sharepoint.com/teams/prj-26714700/DataDocumentsLibrary/4-04 Calculations/Mech/[UCB utilities calculation_2019-03-15.xlsx]Utility loads'!#REF!)))</xm:f>
            <x14:dxf>
              <font>
                <color auto="1"/>
              </font>
              <fill>
                <patternFill>
                  <bgColor theme="6"/>
                </patternFill>
              </fill>
            </x14:dxf>
          </x14:cfRule>
          <xm:sqref>G93</xm:sqref>
        </x14:conditionalFormatting>
        <x14:conditionalFormatting xmlns:xm="http://schemas.microsoft.com/office/excel/2006/main">
          <x14:cfRule type="containsText" priority="232" operator="containsText" text="In progress" id="{AFA5508B-EF91-4106-B1DE-BA41AA9BD1F8}">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233" operator="containsText" text="Complete" id="{D42B43DD-16A7-4C36-A4EA-43EB1EA7AC9B}">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234" operator="containsText" text="Outstanding" id="{56B4E600-5E8E-49FA-A552-A3358CC1EE0F}">
            <xm:f>NOT(ISERROR(SEARCH("Outstanding",'https://arup.sharepoint.com/teams/prj-26714700/DataDocumentsLibrary/4-04 Calculations/Mech/[UCB utilities calculation_2019-03-15.xlsx]Utility loads'!#REF!)))</xm:f>
            <x14:dxf>
              <font>
                <color auto="1"/>
              </font>
              <fill>
                <patternFill>
                  <bgColor theme="6"/>
                </patternFill>
              </fill>
            </x14:dxf>
          </x14:cfRule>
          <xm:sqref>G111</xm:sqref>
        </x14:conditionalFormatting>
        <x14:conditionalFormatting xmlns:xm="http://schemas.microsoft.com/office/excel/2006/main">
          <x14:cfRule type="containsText" priority="235" operator="containsText" text="In progress" id="{D5E099CD-EB13-457B-9A59-FEC66F4F0FB0}">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236" operator="containsText" text="Complete" id="{4486F4E6-2D73-476A-B446-A8FB1D970AB1}">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237" operator="containsText" text="Outstanding" id="{98B617D1-F80B-4301-9DAB-ABF0F22E340B}">
            <xm:f>NOT(ISERROR(SEARCH("Outstanding",'https://arup.sharepoint.com/teams/prj-26714700/DataDocumentsLibrary/4-04 Calculations/Mech/[UCB utilities calculation_2019-03-15.xlsx]Utility loads'!#REF!)))</xm:f>
            <x14:dxf>
              <font>
                <color auto="1"/>
              </font>
              <fill>
                <patternFill>
                  <bgColor theme="6"/>
                </patternFill>
              </fill>
            </x14:dxf>
          </x14:cfRule>
          <xm:sqref>G102</xm:sqref>
        </x14:conditionalFormatting>
        <x14:conditionalFormatting xmlns:xm="http://schemas.microsoft.com/office/excel/2006/main">
          <x14:cfRule type="containsText" priority="211" operator="containsText" text="In progress" id="{FD9C3405-5351-483A-97E3-5CAC2FFC59E3}">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212" operator="containsText" text="Complete" id="{E7AFD42D-1E85-495F-9F0D-CD996BA57372}">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213" operator="containsText" text="Outstanding" id="{0C619210-7B2D-4EA1-BA0A-10062598B2D9}">
            <xm:f>NOT(ISERROR(SEARCH("Outstanding",'https://arup.sharepoint.com/teams/prj-26714700/DataDocumentsLibrary/4-04 Calculations/Mech/[UCB utilities calculation_2019-03-15.xlsx]Utility loads'!#REF!)))</xm:f>
            <x14:dxf>
              <font>
                <color auto="1"/>
              </font>
              <fill>
                <patternFill>
                  <bgColor theme="6"/>
                </patternFill>
              </fill>
            </x14:dxf>
          </x14:cfRule>
          <xm:sqref>G167</xm:sqref>
        </x14:conditionalFormatting>
        <x14:conditionalFormatting xmlns:xm="http://schemas.microsoft.com/office/excel/2006/main">
          <x14:cfRule type="containsText" priority="113" operator="containsText" text="In progress" id="{FB211EFC-6898-4C67-8BC6-C3F5B293A4B2}">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114" operator="containsText" text="Complete" id="{E49E6526-D7D4-436B-975A-DD2E833CCA03}">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115" operator="containsText" text="Outstanding" id="{693AC94B-40DC-4DC9-A21F-D4F09CA208F6}">
            <xm:f>NOT(ISERROR(SEARCH("Outstanding",'https://arup.sharepoint.com/teams/prj-26714700/DataDocumentsLibrary/4-04 Calculations/Mech/[UCB utilities calculation_2019-03-15.xlsx]Utility loads'!#REF!)))</xm:f>
            <x14:dxf>
              <font>
                <color auto="1"/>
              </font>
              <fill>
                <patternFill>
                  <bgColor theme="6"/>
                </patternFill>
              </fill>
            </x14:dxf>
          </x14:cfRule>
          <xm:sqref>G240</xm:sqref>
        </x14:conditionalFormatting>
        <x14:conditionalFormatting xmlns:xm="http://schemas.microsoft.com/office/excel/2006/main">
          <x14:cfRule type="containsText" priority="95" operator="containsText" text="In progress" id="{3A8BE278-8CDE-40D7-A193-EA2CCDE8F91B}">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96" operator="containsText" text="Complete" id="{DC64B526-096C-409A-9C2D-E8232F1E4211}">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97" operator="containsText" text="Outstanding" id="{243ECF4C-3155-464C-9DD0-447FF3E9EC9B}">
            <xm:f>NOT(ISERROR(SEARCH("Outstanding",'https://arup.sharepoint.com/teams/prj-26714700/DataDocumentsLibrary/4-04 Calculations/Mech/[UCB utilities calculation_2019-03-15.xlsx]Utility loads'!#REF!)))</xm:f>
            <x14:dxf>
              <font>
                <color auto="1"/>
              </font>
              <fill>
                <patternFill>
                  <bgColor theme="6"/>
                </patternFill>
              </fill>
            </x14:dxf>
          </x14:cfRule>
          <xm:sqref>G120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9EDA0-ACC8-4D3B-9C43-A20BE7CC28B9}">
  <sheetPr>
    <tabColor theme="8" tint="0.59999389629810485"/>
  </sheetPr>
  <dimension ref="B1:AG87"/>
  <sheetViews>
    <sheetView showGridLines="0" topLeftCell="A37" zoomScale="115" zoomScaleNormal="115" workbookViewId="0">
      <selection activeCell="F49" sqref="F49"/>
    </sheetView>
  </sheetViews>
  <sheetFormatPr defaultRowHeight="15" x14ac:dyDescent="0.25"/>
  <cols>
    <col min="1" max="1" width="3.7109375" customWidth="1"/>
    <col min="2" max="2" width="22.7109375" customWidth="1"/>
    <col min="3" max="3" width="23.7109375" bestFit="1" customWidth="1"/>
    <col min="4" max="4" width="14.140625" bestFit="1" customWidth="1"/>
    <col min="5" max="5" width="41.85546875" customWidth="1"/>
    <col min="6" max="6" width="11.7109375" customWidth="1"/>
    <col min="7" max="7" width="45.85546875" customWidth="1"/>
    <col min="8" max="16" width="8.5703125" bestFit="1" customWidth="1"/>
    <col min="17" max="33" width="9" bestFit="1" customWidth="1"/>
  </cols>
  <sheetData>
    <row r="1" spans="2:21" s="1" customFormat="1" x14ac:dyDescent="0.25">
      <c r="D1" s="9"/>
      <c r="E1" s="9"/>
      <c r="F1" s="9"/>
      <c r="G1" s="9"/>
      <c r="H1" s="9"/>
      <c r="I1" s="9"/>
    </row>
    <row r="2" spans="2:21" s="1" customFormat="1" x14ac:dyDescent="0.25">
      <c r="B2" s="3" t="s">
        <v>0</v>
      </c>
      <c r="C2" s="16" t="s">
        <v>1</v>
      </c>
      <c r="F2" s="6" t="s">
        <v>2</v>
      </c>
    </row>
    <row r="3" spans="2:21" s="1" customFormat="1" x14ac:dyDescent="0.25">
      <c r="B3" s="3" t="s">
        <v>3</v>
      </c>
      <c r="C3" s="16" t="s">
        <v>4</v>
      </c>
      <c r="F3" s="8" t="s">
        <v>5</v>
      </c>
    </row>
    <row r="4" spans="2:21" s="1" customFormat="1" x14ac:dyDescent="0.25">
      <c r="B4" s="3" t="s">
        <v>6</v>
      </c>
      <c r="C4" s="16">
        <v>267147</v>
      </c>
      <c r="F4" s="7" t="s">
        <v>7</v>
      </c>
    </row>
    <row r="5" spans="2:21" s="1" customFormat="1" x14ac:dyDescent="0.25">
      <c r="B5" s="3"/>
      <c r="C5" s="3"/>
      <c r="F5" s="4" t="s">
        <v>8</v>
      </c>
    </row>
    <row r="6" spans="2:21" s="1" customFormat="1" x14ac:dyDescent="0.25">
      <c r="B6" s="3"/>
      <c r="C6" s="3"/>
      <c r="D6" s="9"/>
      <c r="F6" s="15" t="s">
        <v>9</v>
      </c>
      <c r="G6" s="9"/>
      <c r="H6" s="9"/>
      <c r="I6" s="9"/>
    </row>
    <row r="7" spans="2:21" s="1" customFormat="1" x14ac:dyDescent="0.25">
      <c r="B7" s="3"/>
      <c r="C7" s="3"/>
      <c r="D7" s="9"/>
      <c r="E7" s="9"/>
      <c r="F7" s="9"/>
      <c r="G7" s="9"/>
      <c r="H7" s="9"/>
      <c r="I7" s="9"/>
    </row>
    <row r="8" spans="2:21" s="1" customFormat="1" ht="23.25" x14ac:dyDescent="0.35">
      <c r="B8" s="2" t="s">
        <v>10</v>
      </c>
      <c r="C8" s="2"/>
      <c r="D8" s="10"/>
      <c r="E8" s="10"/>
      <c r="F8" s="10"/>
      <c r="G8" s="10"/>
      <c r="H8" s="10"/>
      <c r="I8" s="10"/>
    </row>
    <row r="10" spans="2:21" x14ac:dyDescent="0.25">
      <c r="E10" s="1"/>
      <c r="Q10" s="1"/>
      <c r="R10" s="1"/>
      <c r="T10" s="1"/>
      <c r="U10" s="1"/>
    </row>
    <row r="11" spans="2:21" s="1" customFormat="1" ht="20.25" thickBot="1" x14ac:dyDescent="0.35">
      <c r="B11" s="18" t="s">
        <v>11</v>
      </c>
      <c r="C11" s="18"/>
      <c r="D11" s="18"/>
      <c r="E11" s="18"/>
      <c r="F11"/>
      <c r="G11"/>
      <c r="H11"/>
      <c r="I11"/>
      <c r="J11"/>
      <c r="K11"/>
      <c r="L11"/>
    </row>
    <row r="12" spans="2:21" s="1" customFormat="1" ht="18" thickTop="1" thickBot="1" x14ac:dyDescent="0.3">
      <c r="B12" s="19" t="s">
        <v>12</v>
      </c>
      <c r="C12" s="19" t="s">
        <v>13</v>
      </c>
      <c r="D12" s="19" t="s">
        <v>14</v>
      </c>
      <c r="E12" s="19" t="s">
        <v>15</v>
      </c>
      <c r="F12"/>
      <c r="G12"/>
      <c r="H12"/>
      <c r="I12"/>
      <c r="J12"/>
      <c r="K12"/>
      <c r="L12"/>
    </row>
    <row r="13" spans="2:21" s="1" customFormat="1" ht="15.75" thickTop="1" x14ac:dyDescent="0.25">
      <c r="B13" s="17" t="s">
        <v>16</v>
      </c>
      <c r="C13" s="23" t="s">
        <v>17</v>
      </c>
      <c r="D13" s="23">
        <v>2025</v>
      </c>
      <c r="E13" s="36" t="s">
        <v>354</v>
      </c>
      <c r="F13"/>
      <c r="G13"/>
      <c r="H13"/>
      <c r="I13"/>
      <c r="J13"/>
      <c r="K13"/>
      <c r="L13"/>
    </row>
    <row r="14" spans="2:21" s="1" customFormat="1" x14ac:dyDescent="0.25">
      <c r="B14" s="23" t="s">
        <v>18</v>
      </c>
      <c r="C14" s="23" t="s">
        <v>19</v>
      </c>
      <c r="D14" s="33">
        <v>0.26</v>
      </c>
      <c r="E14" s="23" t="s">
        <v>20</v>
      </c>
      <c r="F14"/>
      <c r="G14"/>
      <c r="H14"/>
      <c r="I14"/>
      <c r="J14"/>
      <c r="K14"/>
      <c r="L14"/>
    </row>
    <row r="15" spans="2:21" s="1" customFormat="1" x14ac:dyDescent="0.25">
      <c r="B15" s="23" t="s">
        <v>21</v>
      </c>
      <c r="C15" s="23" t="s">
        <v>22</v>
      </c>
      <c r="D15" s="51">
        <f>D14*'Core Loads'!$C$80</f>
        <v>3945989.2757803285</v>
      </c>
      <c r="E15" s="23" t="s">
        <v>23</v>
      </c>
      <c r="F15"/>
      <c r="G15"/>
      <c r="H15"/>
      <c r="I15"/>
      <c r="J15"/>
      <c r="K15"/>
      <c r="L15"/>
    </row>
    <row r="16" spans="2:21" s="1" customFormat="1" x14ac:dyDescent="0.25">
      <c r="B16" s="23" t="s">
        <v>24</v>
      </c>
      <c r="C16" s="23" t="s">
        <v>25</v>
      </c>
      <c r="D16" s="23">
        <v>100000</v>
      </c>
      <c r="E16" s="23" t="s">
        <v>353</v>
      </c>
      <c r="F16"/>
      <c r="G16"/>
      <c r="H16"/>
      <c r="I16"/>
      <c r="J16"/>
      <c r="K16"/>
      <c r="L16"/>
    </row>
    <row r="17" spans="2:21" s="1" customFormat="1" x14ac:dyDescent="0.25">
      <c r="B17" s="23" t="s">
        <v>26</v>
      </c>
      <c r="C17" s="23" t="s">
        <v>27</v>
      </c>
      <c r="D17" s="23">
        <v>1000</v>
      </c>
      <c r="E17" s="23" t="s">
        <v>353</v>
      </c>
      <c r="F17"/>
      <c r="G17"/>
      <c r="H17"/>
      <c r="I17"/>
      <c r="J17"/>
      <c r="K17"/>
      <c r="L17"/>
    </row>
    <row r="18" spans="2:21" s="1" customFormat="1" x14ac:dyDescent="0.25">
      <c r="B18" s="23" t="s">
        <v>28</v>
      </c>
      <c r="C18" s="23" t="s">
        <v>29</v>
      </c>
      <c r="D18" s="23">
        <v>3.4119999999999999</v>
      </c>
      <c r="E18" s="23" t="s">
        <v>353</v>
      </c>
      <c r="F18"/>
      <c r="G18"/>
      <c r="H18"/>
      <c r="I18"/>
      <c r="J18"/>
      <c r="K18"/>
      <c r="L18"/>
    </row>
    <row r="19" spans="2:21" s="1" customFormat="1" x14ac:dyDescent="0.25">
      <c r="B19" s="23" t="s">
        <v>30</v>
      </c>
      <c r="C19" s="23" t="s">
        <v>31</v>
      </c>
      <c r="D19" s="23">
        <v>12000</v>
      </c>
      <c r="E19" s="23" t="s">
        <v>353</v>
      </c>
      <c r="F19"/>
      <c r="G19"/>
      <c r="H19"/>
      <c r="I19"/>
      <c r="J19"/>
      <c r="K19"/>
      <c r="L19"/>
    </row>
    <row r="20" spans="2:21" x14ac:dyDescent="0.25">
      <c r="B20" s="36" t="s">
        <v>32</v>
      </c>
      <c r="C20" s="36" t="s">
        <v>33</v>
      </c>
      <c r="D20" s="36">
        <v>970</v>
      </c>
      <c r="E20" s="36" t="s">
        <v>354</v>
      </c>
    </row>
    <row r="21" spans="2:21" x14ac:dyDescent="0.25">
      <c r="B21" s="36" t="s">
        <v>35</v>
      </c>
      <c r="C21" s="36" t="s">
        <v>36</v>
      </c>
      <c r="D21" s="36">
        <v>748.2</v>
      </c>
      <c r="E21" s="23" t="s">
        <v>353</v>
      </c>
    </row>
    <row r="22" spans="2:21" x14ac:dyDescent="0.25">
      <c r="B22" s="36" t="s">
        <v>37</v>
      </c>
      <c r="C22" s="36" t="s">
        <v>38</v>
      </c>
      <c r="D22" s="36">
        <v>60</v>
      </c>
      <c r="E22" s="23" t="s">
        <v>353</v>
      </c>
    </row>
    <row r="23" spans="2:21" x14ac:dyDescent="0.25">
      <c r="B23" s="36" t="s">
        <v>39</v>
      </c>
      <c r="C23" s="36" t="s">
        <v>40</v>
      </c>
      <c r="D23" s="36">
        <v>100</v>
      </c>
      <c r="E23" s="23" t="s">
        <v>353</v>
      </c>
    </row>
    <row r="24" spans="2:21" ht="30" x14ac:dyDescent="0.25">
      <c r="B24" s="36" t="s">
        <v>41</v>
      </c>
      <c r="C24" s="36" t="s">
        <v>42</v>
      </c>
      <c r="D24" s="47">
        <v>62.423999999999999</v>
      </c>
      <c r="E24" s="71" t="s">
        <v>43</v>
      </c>
    </row>
    <row r="25" spans="2:21" x14ac:dyDescent="0.25">
      <c r="B25" s="36" t="s">
        <v>44</v>
      </c>
      <c r="C25" s="36" t="s">
        <v>45</v>
      </c>
      <c r="D25" s="49">
        <v>500</v>
      </c>
      <c r="E25" s="23" t="s">
        <v>353</v>
      </c>
    </row>
    <row r="26" spans="2:21" x14ac:dyDescent="0.25">
      <c r="B26" s="36" t="s">
        <v>46</v>
      </c>
      <c r="C26" s="36" t="s">
        <v>47</v>
      </c>
      <c r="D26" s="49">
        <v>2000</v>
      </c>
      <c r="E26" s="36" t="s">
        <v>48</v>
      </c>
    </row>
    <row r="27" spans="2:21" x14ac:dyDescent="0.25">
      <c r="E27" s="1"/>
      <c r="Q27" s="1"/>
      <c r="R27" s="1"/>
      <c r="T27" s="1"/>
      <c r="U27" s="1"/>
    </row>
    <row r="28" spans="2:21" x14ac:dyDescent="0.25">
      <c r="E28" s="1"/>
      <c r="Q28" s="1"/>
      <c r="R28" s="1"/>
      <c r="T28" s="1"/>
      <c r="U28" s="1"/>
    </row>
    <row r="29" spans="2:21" s="1" customFormat="1" ht="20.25" thickBot="1" x14ac:dyDescent="0.35">
      <c r="B29" s="18" t="s">
        <v>49</v>
      </c>
      <c r="C29" s="18"/>
      <c r="D29" s="18"/>
      <c r="E29" s="18"/>
      <c r="F29" s="18"/>
      <c r="G29" s="18"/>
      <c r="H29"/>
      <c r="I29"/>
      <c r="J29"/>
      <c r="K29"/>
      <c r="L29"/>
    </row>
    <row r="30" spans="2:21" s="1" customFormat="1" ht="18" thickTop="1" thickBot="1" x14ac:dyDescent="0.3">
      <c r="B30" s="19" t="s">
        <v>50</v>
      </c>
      <c r="C30" s="19" t="s">
        <v>13</v>
      </c>
      <c r="D30" s="19" t="s">
        <v>51</v>
      </c>
      <c r="E30" s="19" t="s">
        <v>15</v>
      </c>
      <c r="F30" s="19" t="s">
        <v>52</v>
      </c>
      <c r="G30" s="19" t="s">
        <v>15</v>
      </c>
      <c r="H30"/>
      <c r="I30"/>
      <c r="J30"/>
      <c r="K30"/>
      <c r="L30"/>
    </row>
    <row r="31" spans="2:21" s="1" customFormat="1" ht="16.5" thickTop="1" thickBot="1" x14ac:dyDescent="0.3">
      <c r="B31" s="20" t="s">
        <v>53</v>
      </c>
      <c r="C31" s="20"/>
      <c r="D31" s="20"/>
      <c r="E31" s="20"/>
      <c r="F31" s="20"/>
      <c r="G31" s="20"/>
      <c r="H31"/>
      <c r="I31"/>
      <c r="J31"/>
      <c r="K31"/>
      <c r="L31"/>
    </row>
    <row r="32" spans="2:21" s="1" customFormat="1" ht="60" x14ac:dyDescent="0.25">
      <c r="B32" s="36" t="s">
        <v>54</v>
      </c>
      <c r="C32" s="36" t="s">
        <v>19</v>
      </c>
      <c r="D32" s="37">
        <v>0.15</v>
      </c>
      <c r="E32" s="39" t="s">
        <v>55</v>
      </c>
      <c r="F32" s="37">
        <v>0.05</v>
      </c>
      <c r="G32" s="39" t="s">
        <v>56</v>
      </c>
      <c r="H32"/>
      <c r="I32"/>
      <c r="J32"/>
      <c r="K32"/>
      <c r="L32"/>
    </row>
    <row r="33" spans="2:12" s="1" customFormat="1" ht="30" x14ac:dyDescent="0.25">
      <c r="B33" s="36" t="s">
        <v>57</v>
      </c>
      <c r="C33" s="36" t="s">
        <v>19</v>
      </c>
      <c r="D33" s="37">
        <v>0.37</v>
      </c>
      <c r="E33" s="39" t="s">
        <v>58</v>
      </c>
      <c r="F33" s="37">
        <v>0.2</v>
      </c>
      <c r="G33" s="39" t="s">
        <v>56</v>
      </c>
      <c r="H33"/>
      <c r="I33"/>
      <c r="J33"/>
      <c r="K33"/>
      <c r="L33"/>
    </row>
    <row r="34" spans="2:12" s="1" customFormat="1" ht="30" x14ac:dyDescent="0.25">
      <c r="B34" s="36" t="s">
        <v>59</v>
      </c>
      <c r="C34" s="36" t="s">
        <v>19</v>
      </c>
      <c r="D34" s="37" t="s">
        <v>60</v>
      </c>
      <c r="E34" s="34"/>
      <c r="F34" s="37">
        <v>0.03</v>
      </c>
      <c r="G34" s="39" t="s">
        <v>61</v>
      </c>
      <c r="H34"/>
      <c r="I34"/>
      <c r="J34"/>
      <c r="K34"/>
      <c r="L34"/>
    </row>
    <row r="35" spans="2:12" s="1" customFormat="1" ht="30" x14ac:dyDescent="0.25">
      <c r="B35" s="36" t="s">
        <v>62</v>
      </c>
      <c r="C35" s="36" t="s">
        <v>19</v>
      </c>
      <c r="D35" s="37" t="s">
        <v>60</v>
      </c>
      <c r="E35" s="34"/>
      <c r="F35" s="37">
        <v>0.02</v>
      </c>
      <c r="G35" s="39" t="s">
        <v>63</v>
      </c>
      <c r="H35"/>
      <c r="I35"/>
      <c r="J35"/>
      <c r="K35"/>
      <c r="L35"/>
    </row>
    <row r="36" spans="2:12" s="1" customFormat="1" x14ac:dyDescent="0.25">
      <c r="B36" s="36" t="s">
        <v>64</v>
      </c>
      <c r="C36" s="37" t="s">
        <v>19</v>
      </c>
      <c r="D36" s="37">
        <v>0.05</v>
      </c>
      <c r="E36" s="39" t="s">
        <v>56</v>
      </c>
      <c r="F36" s="37">
        <v>0.02</v>
      </c>
      <c r="G36" s="39" t="s">
        <v>56</v>
      </c>
      <c r="H36"/>
      <c r="I36"/>
      <c r="J36"/>
      <c r="K36"/>
      <c r="L36"/>
    </row>
    <row r="37" spans="2:12" s="1" customFormat="1" ht="15.75" thickBot="1" x14ac:dyDescent="0.3">
      <c r="B37" s="20" t="s">
        <v>65</v>
      </c>
      <c r="C37" s="20"/>
      <c r="D37" s="20"/>
      <c r="E37" s="20"/>
      <c r="F37" s="20"/>
      <c r="G37" s="20"/>
      <c r="H37"/>
      <c r="I37"/>
      <c r="J37"/>
      <c r="K37"/>
      <c r="L37"/>
    </row>
    <row r="38" spans="2:12" s="1" customFormat="1" x14ac:dyDescent="0.25">
      <c r="B38" s="39" t="s">
        <v>66</v>
      </c>
      <c r="C38" s="36" t="s">
        <v>19</v>
      </c>
      <c r="D38" s="37">
        <v>0.95</v>
      </c>
      <c r="E38" s="36" t="s">
        <v>34</v>
      </c>
      <c r="F38" s="37">
        <v>0.95</v>
      </c>
      <c r="G38" s="36" t="s">
        <v>67</v>
      </c>
      <c r="H38"/>
      <c r="I38"/>
      <c r="J38"/>
      <c r="K38"/>
      <c r="L38"/>
    </row>
    <row r="39" spans="2:12" s="1" customFormat="1" ht="30" x14ac:dyDescent="0.25">
      <c r="B39" s="36" t="s">
        <v>68</v>
      </c>
      <c r="C39" s="36" t="s">
        <v>19</v>
      </c>
      <c r="D39" s="41">
        <v>0.67300000000000004</v>
      </c>
      <c r="E39" s="39" t="s">
        <v>69</v>
      </c>
      <c r="F39" s="37">
        <v>0.8</v>
      </c>
      <c r="G39" s="39" t="s">
        <v>56</v>
      </c>
      <c r="H39"/>
      <c r="I39"/>
      <c r="J39"/>
      <c r="K39"/>
      <c r="L39"/>
    </row>
    <row r="40" spans="2:12" s="1" customFormat="1" ht="45" x14ac:dyDescent="0.25">
      <c r="B40" s="36" t="s">
        <v>70</v>
      </c>
      <c r="C40" s="36" t="s">
        <v>71</v>
      </c>
      <c r="D40" s="36">
        <v>0.4</v>
      </c>
      <c r="E40" s="39" t="s">
        <v>72</v>
      </c>
      <c r="F40" s="37" t="s">
        <v>60</v>
      </c>
      <c r="G40" s="36"/>
      <c r="H40"/>
      <c r="I40"/>
      <c r="J40"/>
      <c r="K40"/>
      <c r="L40"/>
    </row>
    <row r="41" spans="2:12" s="1" customFormat="1" ht="45" x14ac:dyDescent="0.25">
      <c r="B41" s="36" t="s">
        <v>73</v>
      </c>
      <c r="C41" s="36" t="s">
        <v>74</v>
      </c>
      <c r="D41" s="36">
        <v>1.25</v>
      </c>
      <c r="E41" s="39" t="s">
        <v>72</v>
      </c>
      <c r="F41" s="40">
        <v>0.7</v>
      </c>
      <c r="G41" s="39" t="s">
        <v>75</v>
      </c>
      <c r="H41"/>
      <c r="I41"/>
      <c r="J41"/>
      <c r="K41"/>
      <c r="L41"/>
    </row>
    <row r="42" spans="2:12" s="1" customFormat="1" x14ac:dyDescent="0.25">
      <c r="B42" s="36" t="s">
        <v>76</v>
      </c>
      <c r="C42" s="36" t="s">
        <v>74</v>
      </c>
      <c r="D42" s="36" t="s">
        <v>60</v>
      </c>
      <c r="E42" s="39"/>
      <c r="F42" s="40">
        <v>1</v>
      </c>
      <c r="G42" s="39" t="s">
        <v>56</v>
      </c>
      <c r="H42"/>
      <c r="I42"/>
      <c r="J42"/>
      <c r="K42"/>
      <c r="L42"/>
    </row>
    <row r="43" spans="2:12" s="1" customFormat="1" x14ac:dyDescent="0.25">
      <c r="B43" s="36" t="s">
        <v>77</v>
      </c>
      <c r="C43" s="36" t="s">
        <v>19</v>
      </c>
      <c r="D43" s="36" t="s">
        <v>60</v>
      </c>
      <c r="E43" s="36"/>
      <c r="F43" s="37">
        <v>0.88</v>
      </c>
      <c r="G43" s="36" t="s">
        <v>78</v>
      </c>
      <c r="H43"/>
      <c r="I43"/>
      <c r="J43"/>
      <c r="K43"/>
      <c r="L43"/>
    </row>
    <row r="44" spans="2:12" s="1" customFormat="1" x14ac:dyDescent="0.25">
      <c r="B44" s="36" t="s">
        <v>79</v>
      </c>
      <c r="C44" s="36" t="s">
        <v>19</v>
      </c>
      <c r="D44" s="36" t="s">
        <v>60</v>
      </c>
      <c r="E44" s="36"/>
      <c r="F44" s="37">
        <v>0.92</v>
      </c>
      <c r="G44" s="36" t="s">
        <v>80</v>
      </c>
      <c r="H44"/>
      <c r="I44"/>
      <c r="J44"/>
      <c r="K44"/>
      <c r="L44"/>
    </row>
    <row r="45" spans="2:12" s="1" customFormat="1" ht="30" x14ac:dyDescent="0.25">
      <c r="B45" s="36" t="s">
        <v>81</v>
      </c>
      <c r="C45" s="36" t="s">
        <v>19</v>
      </c>
      <c r="D45" s="36" t="s">
        <v>60</v>
      </c>
      <c r="E45" s="36"/>
      <c r="F45" s="37">
        <v>0.99</v>
      </c>
      <c r="G45" s="36" t="s">
        <v>82</v>
      </c>
      <c r="H45"/>
      <c r="I45"/>
      <c r="J45"/>
      <c r="K45"/>
      <c r="L45"/>
    </row>
    <row r="46" spans="2:12" s="1" customFormat="1" x14ac:dyDescent="0.25">
      <c r="B46" s="36" t="s">
        <v>83</v>
      </c>
      <c r="C46" s="36" t="s">
        <v>84</v>
      </c>
      <c r="D46" s="36" t="s">
        <v>60</v>
      </c>
      <c r="E46" s="36"/>
      <c r="F46" s="40">
        <v>10</v>
      </c>
      <c r="G46" s="36" t="s">
        <v>85</v>
      </c>
      <c r="H46"/>
      <c r="I46"/>
      <c r="J46"/>
      <c r="K46"/>
      <c r="L46"/>
    </row>
    <row r="47" spans="2:12" s="1" customFormat="1" ht="30" x14ac:dyDescent="0.25">
      <c r="B47" s="36" t="s">
        <v>86</v>
      </c>
      <c r="C47" s="37" t="s">
        <v>19</v>
      </c>
      <c r="D47" s="36" t="s">
        <v>60</v>
      </c>
      <c r="E47" s="36"/>
      <c r="F47" s="37">
        <v>0.86</v>
      </c>
      <c r="G47" s="36" t="s">
        <v>87</v>
      </c>
      <c r="H47"/>
      <c r="I47"/>
      <c r="J47"/>
      <c r="K47"/>
      <c r="L47"/>
    </row>
    <row r="48" spans="2:12" s="1" customFormat="1" ht="30" x14ac:dyDescent="0.25">
      <c r="B48" s="36" t="s">
        <v>88</v>
      </c>
      <c r="C48" s="36"/>
      <c r="D48" s="36"/>
      <c r="E48" s="36"/>
      <c r="F48" s="37">
        <v>0.95</v>
      </c>
      <c r="G48" s="36"/>
      <c r="H48"/>
      <c r="I48"/>
      <c r="J48"/>
      <c r="K48"/>
      <c r="L48"/>
    </row>
    <row r="49" spans="2:12" s="1" customFormat="1" ht="27.95" customHeight="1" x14ac:dyDescent="0.25">
      <c r="B49" s="44" t="s">
        <v>89</v>
      </c>
      <c r="C49" s="36" t="s">
        <v>19</v>
      </c>
      <c r="D49" s="37" t="s">
        <v>60</v>
      </c>
      <c r="E49" s="36"/>
      <c r="F49" s="37">
        <v>0.4</v>
      </c>
      <c r="G49" s="36" t="s">
        <v>90</v>
      </c>
      <c r="H49"/>
      <c r="I49"/>
      <c r="J49"/>
      <c r="K49"/>
      <c r="L49"/>
    </row>
    <row r="50" spans="2:12" s="1" customFormat="1" ht="27.95" customHeight="1" x14ac:dyDescent="0.25">
      <c r="B50" s="36" t="s">
        <v>91</v>
      </c>
      <c r="C50" s="36" t="s">
        <v>19</v>
      </c>
      <c r="D50" s="37" t="s">
        <v>60</v>
      </c>
      <c r="E50" s="36"/>
      <c r="F50" s="37">
        <v>0.46</v>
      </c>
      <c r="G50" s="36" t="s">
        <v>90</v>
      </c>
      <c r="H50"/>
      <c r="I50"/>
      <c r="J50"/>
      <c r="K50"/>
      <c r="L50"/>
    </row>
    <row r="51" spans="2:12" s="1" customFormat="1" ht="15.75" thickBot="1" x14ac:dyDescent="0.3">
      <c r="B51" s="20" t="s">
        <v>92</v>
      </c>
      <c r="C51" s="20"/>
      <c r="D51" s="20"/>
      <c r="E51" s="20"/>
      <c r="F51" s="20"/>
      <c r="G51" s="20"/>
      <c r="H51"/>
      <c r="I51"/>
      <c r="J51"/>
      <c r="K51"/>
      <c r="L51"/>
    </row>
    <row r="52" spans="2:12" s="1" customFormat="1" x14ac:dyDescent="0.25">
      <c r="B52" s="36" t="s">
        <v>93</v>
      </c>
      <c r="C52" s="36" t="s">
        <v>94</v>
      </c>
      <c r="D52" s="8">
        <f>F52</f>
        <v>3</v>
      </c>
      <c r="E52" s="36"/>
      <c r="F52" s="36">
        <v>3</v>
      </c>
      <c r="G52" s="36" t="s">
        <v>95</v>
      </c>
      <c r="H52"/>
      <c r="I52"/>
      <c r="J52"/>
      <c r="K52"/>
      <c r="L52"/>
    </row>
    <row r="53" spans="2:12" s="1" customFormat="1" ht="45" x14ac:dyDescent="0.25">
      <c r="B53" s="36" t="s">
        <v>96</v>
      </c>
      <c r="C53" s="36" t="s">
        <v>19</v>
      </c>
      <c r="D53" s="70">
        <f>F53*1.5</f>
        <v>2.1650522681499952E-2</v>
      </c>
      <c r="E53" s="36" t="s">
        <v>97</v>
      </c>
      <c r="F53" s="45">
        <f>10/1042.7*(1.5+0.005)</f>
        <v>1.4433681787666634E-2</v>
      </c>
      <c r="G53" s="36" t="s">
        <v>98</v>
      </c>
      <c r="H53"/>
      <c r="I53"/>
      <c r="J53"/>
      <c r="K53"/>
      <c r="L53"/>
    </row>
    <row r="54" spans="2:12" s="1" customFormat="1" ht="30" x14ac:dyDescent="0.25">
      <c r="B54" s="36" t="s">
        <v>99</v>
      </c>
      <c r="C54" s="36" t="s">
        <v>19</v>
      </c>
      <c r="D54" s="37">
        <v>0.2</v>
      </c>
      <c r="E54" s="39" t="s">
        <v>58</v>
      </c>
      <c r="F54" s="37">
        <v>0.1</v>
      </c>
      <c r="G54" s="39" t="s">
        <v>56</v>
      </c>
      <c r="H54"/>
      <c r="I54"/>
      <c r="J54"/>
      <c r="K54"/>
      <c r="L54"/>
    </row>
    <row r="55" spans="2:12" s="1" customFormat="1" x14ac:dyDescent="0.25">
      <c r="B55" s="36" t="s">
        <v>100</v>
      </c>
      <c r="C55" s="36" t="s">
        <v>101</v>
      </c>
      <c r="D55" s="37" t="s">
        <v>60</v>
      </c>
      <c r="E55" s="39"/>
      <c r="F55" s="50">
        <v>45</v>
      </c>
      <c r="G55" s="39" t="s">
        <v>102</v>
      </c>
      <c r="H55"/>
      <c r="I55"/>
      <c r="J55"/>
      <c r="K55"/>
      <c r="L55"/>
    </row>
    <row r="56" spans="2:12" s="1" customFormat="1" x14ac:dyDescent="0.25">
      <c r="B56" s="36" t="s">
        <v>103</v>
      </c>
      <c r="C56" s="36" t="s">
        <v>19</v>
      </c>
      <c r="D56" s="37" t="s">
        <v>60</v>
      </c>
      <c r="E56" s="39"/>
      <c r="F56" s="52">
        <v>1E-3</v>
      </c>
      <c r="G56" s="39"/>
      <c r="H56"/>
      <c r="I56"/>
      <c r="J56"/>
      <c r="K56"/>
      <c r="L56"/>
    </row>
    <row r="57" spans="2:12" s="1" customFormat="1" x14ac:dyDescent="0.25">
      <c r="B57" s="36" t="s">
        <v>104</v>
      </c>
      <c r="C57" s="37" t="s">
        <v>19</v>
      </c>
      <c r="D57" s="37" t="s">
        <v>60</v>
      </c>
      <c r="E57" s="39" t="s">
        <v>105</v>
      </c>
      <c r="F57" s="37">
        <v>0.02</v>
      </c>
      <c r="G57" s="39" t="s">
        <v>106</v>
      </c>
      <c r="H57"/>
      <c r="I57"/>
      <c r="J57"/>
      <c r="K57"/>
      <c r="L57"/>
    </row>
    <row r="58" spans="2:12" ht="15.75" thickBot="1" x14ac:dyDescent="0.3">
      <c r="B58" s="20" t="s">
        <v>107</v>
      </c>
      <c r="C58" s="20"/>
      <c r="D58" s="20"/>
      <c r="E58" s="20"/>
      <c r="F58" s="20"/>
      <c r="G58" s="20"/>
    </row>
    <row r="59" spans="2:12" ht="30" x14ac:dyDescent="0.25">
      <c r="B59" s="36" t="s">
        <v>108</v>
      </c>
      <c r="C59" s="36" t="s">
        <v>109</v>
      </c>
      <c r="D59" s="59">
        <v>170237472</v>
      </c>
      <c r="E59" s="36" t="s">
        <v>110</v>
      </c>
      <c r="F59" s="59">
        <v>500000000</v>
      </c>
      <c r="G59" s="36" t="s">
        <v>111</v>
      </c>
    </row>
    <row r="60" spans="2:12" x14ac:dyDescent="0.25">
      <c r="B60" s="36" t="s">
        <v>112</v>
      </c>
      <c r="C60" s="36" t="s">
        <v>113</v>
      </c>
      <c r="D60" s="59">
        <v>756124000</v>
      </c>
      <c r="E60" s="36" t="s">
        <v>110</v>
      </c>
      <c r="F60" s="45"/>
      <c r="G60" s="36"/>
    </row>
    <row r="61" spans="2:12" x14ac:dyDescent="0.25">
      <c r="B61" s="36" t="s">
        <v>112</v>
      </c>
      <c r="C61" s="36" t="s">
        <v>114</v>
      </c>
      <c r="D61" s="72">
        <f>CogenSteamOutputLbExstg*Enthalpy/Btu_per_kBtu/Btu_per_kBtu</f>
        <v>733440.28</v>
      </c>
      <c r="E61" s="36" t="s">
        <v>110</v>
      </c>
      <c r="F61" s="37"/>
      <c r="G61" s="39"/>
    </row>
    <row r="62" spans="2:12" x14ac:dyDescent="0.25">
      <c r="B62" s="36"/>
      <c r="C62" s="36"/>
      <c r="D62" s="37"/>
      <c r="E62" s="39"/>
      <c r="F62" s="50"/>
      <c r="G62" s="39"/>
    </row>
    <row r="63" spans="2:12" x14ac:dyDescent="0.25">
      <c r="B63" s="36"/>
      <c r="C63" s="36"/>
      <c r="D63" s="37"/>
      <c r="E63" s="39"/>
      <c r="F63" s="52"/>
      <c r="G63" s="39"/>
    </row>
    <row r="65" spans="2:9" x14ac:dyDescent="0.25">
      <c r="F65" s="1"/>
      <c r="G65" s="1"/>
      <c r="H65" s="1"/>
      <c r="I65" s="1"/>
    </row>
    <row r="66" spans="2:9" ht="20.25" thickBot="1" x14ac:dyDescent="0.35">
      <c r="B66" s="18" t="s">
        <v>115</v>
      </c>
      <c r="C66" s="18"/>
      <c r="D66" s="18"/>
      <c r="E66" s="18"/>
      <c r="H66" s="1"/>
    </row>
    <row r="67" spans="2:9" ht="18" thickTop="1" thickBot="1" x14ac:dyDescent="0.3">
      <c r="B67" s="19" t="s">
        <v>12</v>
      </c>
      <c r="C67" s="19" t="s">
        <v>14</v>
      </c>
      <c r="D67" s="19" t="s">
        <v>13</v>
      </c>
      <c r="E67" s="19" t="s">
        <v>15</v>
      </c>
    </row>
    <row r="68" spans="2:9" ht="15.75" thickTop="1" x14ac:dyDescent="0.25">
      <c r="B68" s="17" t="s">
        <v>116</v>
      </c>
      <c r="C68" s="17">
        <v>6.7229999999999998E-3</v>
      </c>
      <c r="D68" s="23" t="s">
        <v>117</v>
      </c>
      <c r="E68" s="17" t="s">
        <v>118</v>
      </c>
    </row>
    <row r="69" spans="2:9" x14ac:dyDescent="0.25">
      <c r="B69" s="17" t="s">
        <v>119</v>
      </c>
      <c r="C69" s="17">
        <v>0</v>
      </c>
      <c r="D69" s="23" t="s">
        <v>120</v>
      </c>
      <c r="E69" s="17" t="s">
        <v>121</v>
      </c>
    </row>
    <row r="70" spans="2:9" x14ac:dyDescent="0.25">
      <c r="B70" s="23" t="s">
        <v>122</v>
      </c>
      <c r="C70" s="81">
        <v>178.35</v>
      </c>
      <c r="D70" s="23" t="s">
        <v>123</v>
      </c>
      <c r="E70" s="23" t="s">
        <v>352</v>
      </c>
    </row>
    <row r="71" spans="2:9" x14ac:dyDescent="0.25">
      <c r="B71" s="23" t="s">
        <v>124</v>
      </c>
      <c r="C71" s="84">
        <f>0.15317159*(1+0.035)^20</f>
        <v>0.30477912398135604</v>
      </c>
      <c r="D71" s="23" t="s">
        <v>125</v>
      </c>
      <c r="E71" s="23" t="s">
        <v>126</v>
      </c>
    </row>
    <row r="72" spans="2:9" x14ac:dyDescent="0.25">
      <c r="B72" s="23" t="s">
        <v>127</v>
      </c>
      <c r="C72" s="81">
        <f>1.2147*(1+0.04)^20</f>
        <v>2.6615572818426965</v>
      </c>
      <c r="D72" s="23" t="s">
        <v>128</v>
      </c>
      <c r="E72" s="23" t="s">
        <v>129</v>
      </c>
    </row>
    <row r="73" spans="2:9" x14ac:dyDescent="0.25">
      <c r="B73" s="23" t="s">
        <v>130</v>
      </c>
      <c r="C73" s="81">
        <f>10.75*(1+0.0797)^20</f>
        <v>49.827659923514695</v>
      </c>
      <c r="D73" s="23" t="s">
        <v>131</v>
      </c>
      <c r="E73" s="80" t="s">
        <v>132</v>
      </c>
    </row>
    <row r="74" spans="2:9" x14ac:dyDescent="0.25">
      <c r="B74" s="23" t="s">
        <v>133</v>
      </c>
      <c r="C74" s="82">
        <v>0.1</v>
      </c>
      <c r="D74" s="23" t="s">
        <v>19</v>
      </c>
      <c r="E74" s="23" t="s">
        <v>134</v>
      </c>
    </row>
    <row r="75" spans="2:9" x14ac:dyDescent="0.25">
      <c r="B75" s="17"/>
      <c r="C75" s="17"/>
      <c r="D75" s="17"/>
      <c r="E75" s="17"/>
    </row>
    <row r="76" spans="2:9" x14ac:dyDescent="0.25">
      <c r="B76" s="17"/>
      <c r="C76" s="17"/>
      <c r="D76" s="17"/>
      <c r="E76" s="17"/>
    </row>
    <row r="79" spans="2:9" ht="20.25" thickBot="1" x14ac:dyDescent="0.35">
      <c r="B79" s="18" t="s">
        <v>135</v>
      </c>
      <c r="C79" s="18"/>
      <c r="D79" s="18"/>
      <c r="E79" s="18"/>
    </row>
    <row r="80" spans="2:9" ht="15.75" thickTop="1" x14ac:dyDescent="0.25">
      <c r="B80" t="s">
        <v>136</v>
      </c>
      <c r="C80" s="8">
        <f>C68</f>
        <v>6.7229999999999998E-3</v>
      </c>
      <c r="D80" t="s">
        <v>137</v>
      </c>
    </row>
    <row r="82" spans="2:33" x14ac:dyDescent="0.25">
      <c r="C82">
        <v>2025</v>
      </c>
      <c r="D82">
        <v>2026</v>
      </c>
      <c r="E82">
        <v>2027</v>
      </c>
      <c r="F82">
        <v>2028</v>
      </c>
      <c r="G82">
        <v>2029</v>
      </c>
      <c r="H82">
        <v>2030</v>
      </c>
      <c r="I82">
        <v>2031</v>
      </c>
      <c r="J82">
        <v>2032</v>
      </c>
      <c r="K82">
        <v>2033</v>
      </c>
      <c r="L82">
        <v>2034</v>
      </c>
      <c r="M82">
        <v>2035</v>
      </c>
      <c r="N82">
        <v>2036</v>
      </c>
      <c r="O82">
        <v>2037</v>
      </c>
      <c r="P82">
        <v>2038</v>
      </c>
      <c r="Q82">
        <v>2039</v>
      </c>
      <c r="R82">
        <v>2040</v>
      </c>
      <c r="S82">
        <v>2041</v>
      </c>
      <c r="T82">
        <v>2042</v>
      </c>
      <c r="U82">
        <v>2043</v>
      </c>
      <c r="V82">
        <v>2044</v>
      </c>
      <c r="W82">
        <v>2045</v>
      </c>
      <c r="X82">
        <v>2046</v>
      </c>
      <c r="Y82">
        <v>2047</v>
      </c>
      <c r="Z82">
        <v>2048</v>
      </c>
      <c r="AA82">
        <v>2049</v>
      </c>
      <c r="AB82">
        <v>2050</v>
      </c>
      <c r="AC82">
        <v>2051</v>
      </c>
      <c r="AD82">
        <v>2052</v>
      </c>
      <c r="AE82">
        <v>2053</v>
      </c>
      <c r="AF82">
        <v>2054</v>
      </c>
      <c r="AG82">
        <v>2055</v>
      </c>
    </row>
    <row r="83" spans="2:33" x14ac:dyDescent="0.25">
      <c r="B83" t="s">
        <v>138</v>
      </c>
      <c r="C83" s="83">
        <v>0</v>
      </c>
      <c r="D83" s="83">
        <v>0</v>
      </c>
      <c r="E83" s="83">
        <v>0</v>
      </c>
      <c r="F83" s="83">
        <v>0</v>
      </c>
      <c r="G83" s="83">
        <v>0</v>
      </c>
      <c r="H83" s="83">
        <v>0</v>
      </c>
      <c r="I83" s="83">
        <v>0</v>
      </c>
      <c r="J83" s="83">
        <v>0</v>
      </c>
      <c r="K83" s="83">
        <v>0</v>
      </c>
      <c r="L83" s="83">
        <v>0</v>
      </c>
      <c r="M83" s="83">
        <v>0</v>
      </c>
      <c r="N83" s="83">
        <v>0</v>
      </c>
      <c r="O83" s="83">
        <v>0</v>
      </c>
      <c r="P83" s="83">
        <v>0</v>
      </c>
      <c r="Q83" s="83">
        <v>0</v>
      </c>
      <c r="R83" s="83">
        <v>0</v>
      </c>
      <c r="S83" s="83">
        <v>0</v>
      </c>
      <c r="T83" s="83">
        <v>0</v>
      </c>
      <c r="U83" s="83">
        <v>0</v>
      </c>
      <c r="V83" s="83">
        <v>0</v>
      </c>
      <c r="W83" s="83">
        <v>0</v>
      </c>
      <c r="X83" s="83">
        <v>0</v>
      </c>
      <c r="Y83" s="83">
        <v>0</v>
      </c>
      <c r="Z83" s="83">
        <v>0</v>
      </c>
      <c r="AA83" s="83">
        <v>0</v>
      </c>
      <c r="AB83" s="83">
        <v>0</v>
      </c>
      <c r="AC83" s="83">
        <v>0</v>
      </c>
      <c r="AD83" s="83">
        <v>0</v>
      </c>
      <c r="AE83" s="83">
        <v>0</v>
      </c>
      <c r="AF83" s="83">
        <v>0</v>
      </c>
      <c r="AG83" s="83">
        <v>0</v>
      </c>
    </row>
    <row r="86" spans="2:33" x14ac:dyDescent="0.25">
      <c r="B86" t="s">
        <v>139</v>
      </c>
      <c r="C86" s="53">
        <f>C80*1/$D$16*$D$17</f>
        <v>6.7230000000000005E-5</v>
      </c>
      <c r="D86" t="s">
        <v>140</v>
      </c>
    </row>
    <row r="87" spans="2:33" x14ac:dyDescent="0.25">
      <c r="B87" t="s">
        <v>141</v>
      </c>
      <c r="C87" s="53">
        <f>M83*1/Btuh_per_W</f>
        <v>0</v>
      </c>
      <c r="D87" t="s">
        <v>140</v>
      </c>
    </row>
  </sheetData>
  <hyperlinks>
    <hyperlink ref="E24" r:id="rId1" xr:uid="{BECB9C7E-EFF7-4C7F-BFE6-A3515B2AA713}"/>
  </hyperlinks>
  <pageMargins left="0.7" right="0.7" top="0.75" bottom="0.75" header="0.3" footer="0.3"/>
  <pageSetup paperSize="256"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tint="0.59999389629810485"/>
  </sheetPr>
  <dimension ref="B1:U362"/>
  <sheetViews>
    <sheetView showGridLines="0" topLeftCell="A112" workbookViewId="0">
      <selection activeCell="D121" sqref="D121"/>
    </sheetView>
  </sheetViews>
  <sheetFormatPr defaultRowHeight="15" x14ac:dyDescent="0.25"/>
  <cols>
    <col min="1" max="1" width="3.7109375" customWidth="1"/>
    <col min="2" max="2" width="15.85546875" customWidth="1"/>
    <col min="3" max="3" width="23" bestFit="1" customWidth="1"/>
    <col min="4" max="4" width="9.85546875" customWidth="1"/>
    <col min="5" max="5" width="13.85546875" customWidth="1"/>
    <col min="6" max="7" width="9.5703125" customWidth="1"/>
    <col min="8" max="8" width="21" customWidth="1"/>
    <col min="9" max="9" width="14.140625" bestFit="1" customWidth="1"/>
    <col min="11" max="11" width="77.28515625" bestFit="1" customWidth="1"/>
    <col min="12" max="12" width="8.7109375" style="3" customWidth="1"/>
  </cols>
  <sheetData>
    <row r="1" spans="2:21" s="1" customFormat="1" x14ac:dyDescent="0.25">
      <c r="D1" s="9"/>
      <c r="E1" s="9"/>
      <c r="F1" s="9"/>
      <c r="G1" s="9"/>
      <c r="H1" s="9"/>
      <c r="I1" s="9"/>
      <c r="L1" s="3"/>
    </row>
    <row r="2" spans="2:21" s="1" customFormat="1" x14ac:dyDescent="0.25">
      <c r="B2" s="3" t="s">
        <v>0</v>
      </c>
      <c r="C2" s="8" t="str">
        <f>'Global Inputs'!C2</f>
        <v>UC Berkeley</v>
      </c>
      <c r="E2" s="6" t="s">
        <v>2</v>
      </c>
      <c r="L2" s="3"/>
    </row>
    <row r="3" spans="2:21" s="1" customFormat="1" x14ac:dyDescent="0.25">
      <c r="B3" s="3" t="s">
        <v>3</v>
      </c>
      <c r="C3" s="8" t="str">
        <f>'Global Inputs'!C3</f>
        <v>Campus energy study update</v>
      </c>
      <c r="E3" s="8" t="s">
        <v>5</v>
      </c>
      <c r="L3" s="3"/>
    </row>
    <row r="4" spans="2:21" s="1" customFormat="1" x14ac:dyDescent="0.25">
      <c r="B4" s="3" t="s">
        <v>6</v>
      </c>
      <c r="C4" s="8">
        <f>'Global Inputs'!C4</f>
        <v>267147</v>
      </c>
      <c r="E4" s="7" t="s">
        <v>7</v>
      </c>
      <c r="L4" s="3"/>
    </row>
    <row r="5" spans="2:21" s="1" customFormat="1" x14ac:dyDescent="0.25">
      <c r="B5" s="3"/>
      <c r="C5" s="3"/>
      <c r="E5" s="4" t="s">
        <v>8</v>
      </c>
      <c r="L5" s="3"/>
    </row>
    <row r="6" spans="2:21" s="1" customFormat="1" x14ac:dyDescent="0.25">
      <c r="B6" s="3"/>
      <c r="C6" s="3"/>
      <c r="D6" s="9"/>
      <c r="E6" s="15" t="s">
        <v>9</v>
      </c>
      <c r="F6" s="9"/>
      <c r="G6" s="9"/>
      <c r="H6" s="9"/>
      <c r="I6" s="9"/>
      <c r="L6" s="3"/>
    </row>
    <row r="7" spans="2:21" s="1" customFormat="1" x14ac:dyDescent="0.25">
      <c r="B7" s="3"/>
      <c r="C7" s="3"/>
      <c r="D7" s="9"/>
      <c r="E7" s="9"/>
      <c r="F7" s="9"/>
      <c r="G7" s="9"/>
      <c r="H7" s="9"/>
      <c r="I7" s="9"/>
      <c r="L7" s="3"/>
    </row>
    <row r="8" spans="2:21" s="1" customFormat="1" ht="23.25" x14ac:dyDescent="0.35">
      <c r="B8" s="2" t="s">
        <v>142</v>
      </c>
      <c r="C8" s="2"/>
      <c r="D8" s="10"/>
      <c r="E8" s="10"/>
      <c r="F8" s="10"/>
      <c r="G8" s="10"/>
      <c r="H8" s="10"/>
      <c r="I8" s="10"/>
      <c r="L8" s="3"/>
    </row>
    <row r="9" spans="2:21" x14ac:dyDescent="0.25">
      <c r="K9" s="1"/>
    </row>
    <row r="10" spans="2:21" x14ac:dyDescent="0.25">
      <c r="E10" s="1"/>
      <c r="F10" s="1"/>
      <c r="G10" s="1"/>
      <c r="H10" s="1"/>
      <c r="I10" s="1"/>
      <c r="J10" s="1"/>
      <c r="Q10" s="1"/>
      <c r="R10" s="1"/>
      <c r="T10" s="1"/>
      <c r="U10" s="1"/>
    </row>
    <row r="11" spans="2:21" s="1" customFormat="1" ht="20.25" thickBot="1" x14ac:dyDescent="0.35">
      <c r="B11" s="18" t="s">
        <v>51</v>
      </c>
      <c r="C11" s="18"/>
      <c r="D11" s="18"/>
      <c r="E11" s="18"/>
      <c r="F11" s="18"/>
      <c r="G11" s="18"/>
      <c r="H11" s="18"/>
      <c r="I11" s="18"/>
      <c r="J11" s="18"/>
      <c r="K11" s="18"/>
      <c r="L11" s="3"/>
    </row>
    <row r="12" spans="2:21" s="1" customFormat="1" ht="18" thickTop="1" thickBot="1" x14ac:dyDescent="0.3">
      <c r="B12" s="19" t="s">
        <v>12</v>
      </c>
      <c r="C12" s="19" t="s">
        <v>13</v>
      </c>
      <c r="D12" s="19" t="s">
        <v>14</v>
      </c>
      <c r="E12" s="19"/>
      <c r="F12" s="19"/>
      <c r="G12" s="19"/>
      <c r="H12" s="19"/>
      <c r="I12" s="19"/>
      <c r="J12" s="19"/>
      <c r="K12" s="19" t="s">
        <v>15</v>
      </c>
      <c r="L12" s="3"/>
    </row>
    <row r="13" spans="2:21" s="1" customFormat="1" ht="16.5" thickTop="1" thickBot="1" x14ac:dyDescent="0.3">
      <c r="B13" s="20" t="s">
        <v>143</v>
      </c>
      <c r="C13" s="20"/>
      <c r="D13" s="20" t="s">
        <v>144</v>
      </c>
      <c r="E13" s="20" t="s">
        <v>145</v>
      </c>
      <c r="F13" s="20" t="s">
        <v>146</v>
      </c>
      <c r="G13" s="20" t="s">
        <v>147</v>
      </c>
      <c r="H13" s="20" t="s">
        <v>148</v>
      </c>
      <c r="I13" s="20" t="s">
        <v>149</v>
      </c>
      <c r="J13" s="20"/>
      <c r="K13" s="20"/>
      <c r="L13" s="3"/>
    </row>
    <row r="14" spans="2:21" s="1" customFormat="1" x14ac:dyDescent="0.25">
      <c r="B14" t="s">
        <v>141</v>
      </c>
      <c r="C14" t="s">
        <v>150</v>
      </c>
      <c r="D14" s="23" t="s">
        <v>60</v>
      </c>
      <c r="E14" s="23" t="s">
        <v>60</v>
      </c>
      <c r="F14" s="23" t="s">
        <v>60</v>
      </c>
      <c r="G14" s="23" t="s">
        <v>60</v>
      </c>
      <c r="H14" s="23" t="s">
        <v>60</v>
      </c>
      <c r="I14" s="17">
        <v>0</v>
      </c>
      <c r="J14"/>
      <c r="K14" s="23" t="s">
        <v>151</v>
      </c>
      <c r="L14" s="3"/>
    </row>
    <row r="15" spans="2:21" s="1" customFormat="1" x14ac:dyDescent="0.25">
      <c r="B15" t="s">
        <v>136</v>
      </c>
      <c r="C15" t="s">
        <v>152</v>
      </c>
      <c r="D15" s="23" t="s">
        <v>60</v>
      </c>
      <c r="E15" s="23" t="s">
        <v>60</v>
      </c>
      <c r="F15" s="23" t="s">
        <v>60</v>
      </c>
      <c r="G15" s="23" t="s">
        <v>60</v>
      </c>
      <c r="H15" s="23" t="s">
        <v>60</v>
      </c>
      <c r="I15" s="38">
        <f>1/Btu_per_therm/(CogenEffExstg/(Btu_per_kBtu*Btu_per_kBtu))/(1-BldgSteamLossExstg)/BldgHtgEffExstg/(1-DistSteamLossExstg)</f>
        <v>29.208002379283876</v>
      </c>
      <c r="J15"/>
      <c r="K15" s="23" t="s">
        <v>153</v>
      </c>
      <c r="L15" s="3"/>
    </row>
    <row r="16" spans="2:21" s="1" customFormat="1" x14ac:dyDescent="0.25">
      <c r="B16" t="s">
        <v>154</v>
      </c>
      <c r="C16" t="s">
        <v>155</v>
      </c>
      <c r="D16" s="23" t="s">
        <v>60</v>
      </c>
      <c r="E16" s="23" t="s">
        <v>60</v>
      </c>
      <c r="F16" s="23" t="s">
        <v>60</v>
      </c>
      <c r="G16" s="23" t="s">
        <v>60</v>
      </c>
      <c r="H16" s="23" t="s">
        <v>60</v>
      </c>
      <c r="I16" s="46">
        <v>0.1726</v>
      </c>
      <c r="J16"/>
      <c r="K16" s="23" t="s">
        <v>156</v>
      </c>
      <c r="L16" s="3"/>
    </row>
    <row r="17" spans="2:14" x14ac:dyDescent="0.25">
      <c r="N17" s="1"/>
    </row>
    <row r="18" spans="2:14" s="1" customFormat="1" ht="15.75" thickBot="1" x14ac:dyDescent="0.3">
      <c r="B18" s="20" t="s">
        <v>157</v>
      </c>
      <c r="C18" s="20"/>
      <c r="D18" s="20"/>
      <c r="E18" s="20"/>
      <c r="F18" s="20"/>
      <c r="G18" s="20"/>
      <c r="H18" s="20"/>
      <c r="I18" s="20"/>
      <c r="J18" s="20"/>
      <c r="K18" s="20"/>
      <c r="L18" s="3"/>
    </row>
    <row r="19" spans="2:14" s="1" customFormat="1" x14ac:dyDescent="0.25">
      <c r="B19" t="s">
        <v>141</v>
      </c>
      <c r="C19" t="s">
        <v>74</v>
      </c>
      <c r="D19" s="23" t="s">
        <v>60</v>
      </c>
      <c r="E19" s="23" t="s">
        <v>60</v>
      </c>
      <c r="F19" s="23" t="s">
        <v>60</v>
      </c>
      <c r="G19" s="23" t="s">
        <v>60</v>
      </c>
      <c r="H19" s="23" t="s">
        <v>60</v>
      </c>
      <c r="I19" s="8">
        <f>ElecChillerEffExstg</f>
        <v>1.25</v>
      </c>
      <c r="J19"/>
      <c r="K19" s="23" t="s">
        <v>158</v>
      </c>
      <c r="L19" s="3" t="s">
        <v>159</v>
      </c>
    </row>
    <row r="20" spans="2:14" s="1" customFormat="1" x14ac:dyDescent="0.25">
      <c r="B20" t="s">
        <v>136</v>
      </c>
      <c r="C20" t="s">
        <v>160</v>
      </c>
      <c r="D20" s="23" t="s">
        <v>60</v>
      </c>
      <c r="E20" s="23" t="s">
        <v>60</v>
      </c>
      <c r="F20" s="23" t="s">
        <v>60</v>
      </c>
      <c r="G20" s="23" t="s">
        <v>60</v>
      </c>
      <c r="H20" s="23" t="s">
        <v>60</v>
      </c>
      <c r="I20" s="35">
        <f>(1/Btu_per_therm/(1-DistSteamLossExstg)/(1-BldgSteamLossExstg)/(1-CogenEffExstg))/(AbsChillerEffExstg/Btu_per_ton)</f>
        <v>1.713223515705977</v>
      </c>
      <c r="J20"/>
      <c r="K20" s="23" t="s">
        <v>153</v>
      </c>
      <c r="L20" s="3"/>
    </row>
    <row r="21" spans="2:14" s="1" customFormat="1" x14ac:dyDescent="0.25">
      <c r="B21" t="s">
        <v>154</v>
      </c>
      <c r="C21" t="s">
        <v>161</v>
      </c>
      <c r="D21" s="23" t="s">
        <v>60</v>
      </c>
      <c r="E21" s="23" t="s">
        <v>60</v>
      </c>
      <c r="F21" s="23" t="s">
        <v>60</v>
      </c>
      <c r="G21" s="23" t="s">
        <v>60</v>
      </c>
      <c r="H21" s="23" t="s">
        <v>60</v>
      </c>
      <c r="I21" s="43">
        <f>ClgTowerFlowExstg*Min_per_hr*ClgTowerEvapExstg/Gal_per_CCF</f>
        <v>5.2086261463111351E-3</v>
      </c>
      <c r="J21"/>
      <c r="K21" s="23"/>
      <c r="L21" s="3"/>
    </row>
    <row r="22" spans="2:14" x14ac:dyDescent="0.25">
      <c r="N22" s="1"/>
    </row>
    <row r="23" spans="2:14" s="1" customFormat="1" ht="15.75" thickBot="1" x14ac:dyDescent="0.3">
      <c r="B23" s="20" t="s">
        <v>162</v>
      </c>
      <c r="C23" s="20"/>
      <c r="D23" s="20"/>
      <c r="E23" s="20"/>
      <c r="F23" s="20"/>
      <c r="G23" s="20"/>
      <c r="H23" s="20"/>
      <c r="I23" s="20"/>
      <c r="J23" s="20"/>
      <c r="K23" s="20"/>
      <c r="L23" s="3"/>
    </row>
    <row r="24" spans="2:14" s="1" customFormat="1" x14ac:dyDescent="0.25">
      <c r="B24" t="s">
        <v>141</v>
      </c>
      <c r="C24" t="s">
        <v>163</v>
      </c>
      <c r="D24" s="23" t="s">
        <v>60</v>
      </c>
      <c r="E24" s="23" t="s">
        <v>60</v>
      </c>
      <c r="F24" s="23" t="s">
        <v>60</v>
      </c>
      <c r="G24" s="23" t="s">
        <v>60</v>
      </c>
      <c r="H24" s="23" t="s">
        <v>60</v>
      </c>
      <c r="I24" s="17">
        <v>0</v>
      </c>
      <c r="J24"/>
      <c r="K24" s="23" t="s">
        <v>164</v>
      </c>
      <c r="L24" s="3"/>
    </row>
    <row r="25" spans="2:14" s="1" customFormat="1" x14ac:dyDescent="0.25">
      <c r="B25" t="s">
        <v>136</v>
      </c>
      <c r="C25" t="s">
        <v>165</v>
      </c>
      <c r="D25" s="23" t="s">
        <v>60</v>
      </c>
      <c r="E25" s="23" t="s">
        <v>60</v>
      </c>
      <c r="F25" s="23" t="s">
        <v>60</v>
      </c>
      <c r="G25" s="23" t="s">
        <v>60</v>
      </c>
      <c r="H25" s="23" t="s">
        <v>60</v>
      </c>
      <c r="I25" s="38">
        <f>1/Btu_per_therm/(CogenEffExstg/Enthalpy)/(1-BldgSteamLossExstg)/BldgHtgEffExstg/(1-DistSteamLossExstg)</f>
        <v>2.8331762307905361E-2</v>
      </c>
      <c r="J25"/>
      <c r="K25" s="23" t="s">
        <v>153</v>
      </c>
      <c r="L25" s="3"/>
    </row>
    <row r="26" spans="2:14" s="1" customFormat="1" x14ac:dyDescent="0.25">
      <c r="B26" t="s">
        <v>154</v>
      </c>
      <c r="C26" t="s">
        <v>166</v>
      </c>
      <c r="D26" s="23" t="s">
        <v>60</v>
      </c>
      <c r="E26" s="23" t="s">
        <v>60</v>
      </c>
      <c r="F26" s="23" t="s">
        <v>60</v>
      </c>
      <c r="G26" s="23" t="s">
        <v>60</v>
      </c>
      <c r="H26" s="23" t="s">
        <v>60</v>
      </c>
      <c r="I26" s="35">
        <f>1/SteamDensity/ft3_per_ccf/(1-BldgSteamLossExstg)/(1-SteamWtrLossExstg)</f>
        <v>2.3558058363676112E-4</v>
      </c>
      <c r="J26"/>
      <c r="K26" s="23" t="s">
        <v>153</v>
      </c>
      <c r="L26" s="3"/>
    </row>
    <row r="28" spans="2:14" s="1" customFormat="1" ht="15.75" thickBot="1" x14ac:dyDescent="0.3">
      <c r="B28" s="20" t="s">
        <v>141</v>
      </c>
      <c r="C28" s="20"/>
      <c r="D28" s="20"/>
      <c r="E28" s="20"/>
      <c r="F28" s="20"/>
      <c r="G28" s="20"/>
      <c r="H28" s="20"/>
      <c r="I28" s="20"/>
      <c r="J28" s="20"/>
      <c r="K28" s="20"/>
      <c r="L28" s="3"/>
    </row>
    <row r="29" spans="2:14" s="1" customFormat="1" x14ac:dyDescent="0.25">
      <c r="B29" t="s">
        <v>141</v>
      </c>
      <c r="C29" t="s">
        <v>167</v>
      </c>
      <c r="D29" s="23" t="s">
        <v>60</v>
      </c>
      <c r="E29" s="23" t="s">
        <v>60</v>
      </c>
      <c r="F29" s="23" t="s">
        <v>60</v>
      </c>
      <c r="G29" s="23" t="s">
        <v>60</v>
      </c>
      <c r="H29" s="23" t="s">
        <v>60</v>
      </c>
      <c r="I29" s="42">
        <f>1+TransfLossExstg</f>
        <v>1.05</v>
      </c>
      <c r="J29"/>
      <c r="K29" s="23" t="s">
        <v>153</v>
      </c>
      <c r="L29" s="3"/>
    </row>
    <row r="31" spans="2:14" s="1" customFormat="1" ht="15.75" thickBot="1" x14ac:dyDescent="0.3">
      <c r="B31" s="20" t="s">
        <v>168</v>
      </c>
      <c r="C31" s="20"/>
      <c r="D31" s="20"/>
      <c r="E31" s="20"/>
      <c r="F31" s="20"/>
      <c r="G31" s="20"/>
      <c r="H31" s="20"/>
      <c r="I31" s="20"/>
      <c r="J31" s="20"/>
      <c r="K31" s="20"/>
      <c r="L31" s="3"/>
    </row>
    <row r="32" spans="2:14" s="1" customFormat="1" x14ac:dyDescent="0.25">
      <c r="B32" t="s">
        <v>141</v>
      </c>
      <c r="C32" t="s">
        <v>109</v>
      </c>
      <c r="D32" s="23"/>
      <c r="E32" s="23"/>
      <c r="F32" s="23"/>
      <c r="G32" s="23"/>
      <c r="H32" s="23"/>
      <c r="I32" s="23"/>
      <c r="J32"/>
      <c r="K32" s="23"/>
      <c r="L32" s="3"/>
    </row>
    <row r="33" spans="2:12" s="1" customFormat="1" x14ac:dyDescent="0.25">
      <c r="B33" t="s">
        <v>136</v>
      </c>
      <c r="C33" t="s">
        <v>169</v>
      </c>
      <c r="D33" s="23"/>
      <c r="E33" s="23"/>
      <c r="F33" s="23"/>
      <c r="G33" s="23"/>
      <c r="H33" s="23"/>
      <c r="I33" s="23"/>
      <c r="J33"/>
      <c r="K33" s="23"/>
      <c r="L33" s="3"/>
    </row>
    <row r="34" spans="2:12" s="1" customFormat="1" x14ac:dyDescent="0.25">
      <c r="B34" t="s">
        <v>154</v>
      </c>
      <c r="C34" t="s">
        <v>170</v>
      </c>
      <c r="D34" s="23"/>
      <c r="E34" s="23"/>
      <c r="F34" s="23"/>
      <c r="G34" s="23"/>
      <c r="H34" s="23"/>
      <c r="I34" s="17"/>
      <c r="J34"/>
      <c r="K34" s="23"/>
      <c r="L34" s="3"/>
    </row>
    <row r="37" spans="2:12" s="1" customFormat="1" ht="20.25" thickBot="1" x14ac:dyDescent="0.35">
      <c r="B37" s="18" t="s">
        <v>171</v>
      </c>
      <c r="C37" s="18"/>
      <c r="D37" s="18"/>
      <c r="E37" s="18"/>
      <c r="F37" s="18"/>
      <c r="G37" s="18"/>
      <c r="H37" s="18"/>
      <c r="I37" s="18"/>
      <c r="J37" s="18"/>
      <c r="K37" s="18"/>
      <c r="L37" s="3"/>
    </row>
    <row r="38" spans="2:12" s="1" customFormat="1" ht="18" thickTop="1" thickBot="1" x14ac:dyDescent="0.3">
      <c r="B38" s="19" t="s">
        <v>12</v>
      </c>
      <c r="C38" s="19" t="s">
        <v>13</v>
      </c>
      <c r="D38" s="19" t="s">
        <v>14</v>
      </c>
      <c r="E38" s="19"/>
      <c r="F38" s="19"/>
      <c r="G38" s="19"/>
      <c r="H38" s="19"/>
      <c r="I38" s="19"/>
      <c r="J38" s="19"/>
      <c r="K38" s="19" t="s">
        <v>15</v>
      </c>
      <c r="L38" s="3"/>
    </row>
    <row r="39" spans="2:12" s="1" customFormat="1" ht="16.5" thickTop="1" thickBot="1" x14ac:dyDescent="0.3">
      <c r="B39" s="20" t="s">
        <v>143</v>
      </c>
      <c r="C39" s="20"/>
      <c r="D39" s="20" t="s">
        <v>144</v>
      </c>
      <c r="E39" s="20" t="s">
        <v>145</v>
      </c>
      <c r="F39" s="20" t="s">
        <v>146</v>
      </c>
      <c r="G39" s="20" t="s">
        <v>147</v>
      </c>
      <c r="H39" s="20" t="s">
        <v>148</v>
      </c>
      <c r="I39" s="20" t="s">
        <v>149</v>
      </c>
      <c r="J39" s="20"/>
      <c r="K39" s="20"/>
      <c r="L39" s="3"/>
    </row>
    <row r="40" spans="2:12" s="1" customFormat="1" x14ac:dyDescent="0.25">
      <c r="B40" t="s">
        <v>141</v>
      </c>
      <c r="C40" t="s">
        <v>150</v>
      </c>
      <c r="D40" s="23" t="s">
        <v>60</v>
      </c>
      <c r="E40" s="23" t="s">
        <v>60</v>
      </c>
      <c r="F40" s="23" t="s">
        <v>60</v>
      </c>
      <c r="G40" s="23" t="s">
        <v>60</v>
      </c>
      <c r="H40" s="23" t="s">
        <v>60</v>
      </c>
      <c r="I40" s="17">
        <v>0</v>
      </c>
      <c r="J40"/>
      <c r="K40" s="23" t="s">
        <v>151</v>
      </c>
      <c r="L40" s="3"/>
    </row>
    <row r="41" spans="2:12" s="1" customFormat="1" x14ac:dyDescent="0.25">
      <c r="B41" t="s">
        <v>136</v>
      </c>
      <c r="C41" t="s">
        <v>152</v>
      </c>
      <c r="D41" s="23" t="s">
        <v>60</v>
      </c>
      <c r="E41" s="23" t="s">
        <v>60</v>
      </c>
      <c r="F41" s="23" t="s">
        <v>60</v>
      </c>
      <c r="G41" s="23" t="s">
        <v>60</v>
      </c>
      <c r="H41" s="23" t="s">
        <v>60</v>
      </c>
      <c r="I41" s="38">
        <f>1/Btu_per_therm/(CogenEffExstg/(Btu_per_kBtu*Btu_per_kBtu))/(1-BldgSteamLossNew)/BldgHtgEffNew/(1-DistSteamLossNew)</f>
        <v>20.580112202771733</v>
      </c>
      <c r="J41"/>
      <c r="K41" s="23" t="s">
        <v>153</v>
      </c>
      <c r="L41" s="3"/>
    </row>
    <row r="42" spans="2:12" s="1" customFormat="1" x14ac:dyDescent="0.25">
      <c r="B42" t="s">
        <v>154</v>
      </c>
      <c r="C42" t="s">
        <v>155</v>
      </c>
      <c r="D42" s="23" t="s">
        <v>60</v>
      </c>
      <c r="E42" s="23" t="s">
        <v>60</v>
      </c>
      <c r="F42" s="23" t="s">
        <v>60</v>
      </c>
      <c r="G42" s="23" t="s">
        <v>60</v>
      </c>
      <c r="H42" s="23" t="s">
        <v>60</v>
      </c>
      <c r="I42" s="43">
        <f>Htg_exstg_CCF_per_MMBtu_campus/SteamWtrLossExstg*SteamWtrLossNew</f>
        <v>8.6300000000000002E-2</v>
      </c>
      <c r="J42"/>
      <c r="K42" s="23" t="s">
        <v>172</v>
      </c>
      <c r="L42" s="3"/>
    </row>
    <row r="44" spans="2:12" s="1" customFormat="1" ht="15.75" thickBot="1" x14ac:dyDescent="0.3">
      <c r="B44" s="20" t="s">
        <v>157</v>
      </c>
      <c r="C44" s="20"/>
      <c r="D44" s="20"/>
      <c r="E44" s="20"/>
      <c r="F44" s="20"/>
      <c r="G44" s="20"/>
      <c r="H44" s="20"/>
      <c r="I44" s="20"/>
      <c r="J44" s="20"/>
      <c r="K44" s="20"/>
      <c r="L44" s="3"/>
    </row>
    <row r="45" spans="2:12" s="1" customFormat="1" x14ac:dyDescent="0.25">
      <c r="B45" t="s">
        <v>141</v>
      </c>
      <c r="C45" t="s">
        <v>74</v>
      </c>
      <c r="D45" s="23" t="s">
        <v>60</v>
      </c>
      <c r="E45" s="23" t="s">
        <v>60</v>
      </c>
      <c r="F45" s="23" t="s">
        <v>60</v>
      </c>
      <c r="G45" s="23" t="s">
        <v>60</v>
      </c>
      <c r="H45" s="23" t="s">
        <v>60</v>
      </c>
      <c r="I45" s="8">
        <f>ElecChillerEffExstg</f>
        <v>1.25</v>
      </c>
      <c r="J45"/>
      <c r="K45" s="23" t="s">
        <v>158</v>
      </c>
      <c r="L45" s="3"/>
    </row>
    <row r="46" spans="2:12" s="1" customFormat="1" x14ac:dyDescent="0.25">
      <c r="B46" t="s">
        <v>136</v>
      </c>
      <c r="C46" t="s">
        <v>160</v>
      </c>
      <c r="D46" s="23" t="s">
        <v>60</v>
      </c>
      <c r="E46" s="23" t="s">
        <v>60</v>
      </c>
      <c r="F46" s="23" t="s">
        <v>60</v>
      </c>
      <c r="G46" s="23" t="s">
        <v>60</v>
      </c>
      <c r="H46" s="23" t="s">
        <v>60</v>
      </c>
      <c r="I46" s="35">
        <f>(1/Btu_per_therm/(1-DistSteamLossNew)/(1-BldgSteamLossNew)/(1-CogenEffExstg))/(AbsChillerEffExstg/Btu_per_ton)</f>
        <v>1.2071463061323033</v>
      </c>
      <c r="J46"/>
      <c r="K46" s="23" t="s">
        <v>153</v>
      </c>
      <c r="L46" s="3"/>
    </row>
    <row r="47" spans="2:12" s="1" customFormat="1" x14ac:dyDescent="0.25">
      <c r="B47" t="s">
        <v>154</v>
      </c>
      <c r="C47" t="s">
        <v>161</v>
      </c>
      <c r="D47" s="23" t="s">
        <v>60</v>
      </c>
      <c r="E47" s="23" t="s">
        <v>60</v>
      </c>
      <c r="F47" s="23" t="s">
        <v>60</v>
      </c>
      <c r="G47" s="23" t="s">
        <v>60</v>
      </c>
      <c r="H47" s="23" t="s">
        <v>60</v>
      </c>
      <c r="I47" s="43">
        <f>ClgTowerFlowExstg*Min_per_hr*ClgTowerEvapExstg/Gal_per_CCF</f>
        <v>5.2086261463111351E-3</v>
      </c>
      <c r="J47"/>
      <c r="K47" s="23"/>
      <c r="L47" s="3"/>
    </row>
    <row r="49" spans="2:12" s="1" customFormat="1" ht="15.75" thickBot="1" x14ac:dyDescent="0.3">
      <c r="B49" s="20" t="s">
        <v>162</v>
      </c>
      <c r="C49" s="20"/>
      <c r="D49" s="20"/>
      <c r="E49" s="20"/>
      <c r="F49" s="20"/>
      <c r="G49" s="20"/>
      <c r="H49" s="20"/>
      <c r="I49" s="20"/>
      <c r="J49" s="20"/>
      <c r="K49" s="20"/>
      <c r="L49" s="3"/>
    </row>
    <row r="50" spans="2:12" s="1" customFormat="1" x14ac:dyDescent="0.25">
      <c r="B50" t="s">
        <v>141</v>
      </c>
      <c r="C50" t="s">
        <v>163</v>
      </c>
      <c r="D50" s="23" t="s">
        <v>60</v>
      </c>
      <c r="E50" s="23" t="s">
        <v>60</v>
      </c>
      <c r="F50" s="23" t="s">
        <v>60</v>
      </c>
      <c r="G50" s="23" t="s">
        <v>60</v>
      </c>
      <c r="H50" s="23" t="s">
        <v>60</v>
      </c>
      <c r="I50" s="17">
        <v>0</v>
      </c>
      <c r="J50"/>
      <c r="K50" s="23" t="s">
        <v>164</v>
      </c>
      <c r="L50" s="3"/>
    </row>
    <row r="51" spans="2:12" s="1" customFormat="1" x14ac:dyDescent="0.25">
      <c r="B51" t="s">
        <v>136</v>
      </c>
      <c r="C51" t="s">
        <v>165</v>
      </c>
      <c r="D51" s="23" t="s">
        <v>60</v>
      </c>
      <c r="E51" s="23" t="s">
        <v>60</v>
      </c>
      <c r="F51" s="23" t="s">
        <v>60</v>
      </c>
      <c r="G51" s="23" t="s">
        <v>60</v>
      </c>
      <c r="H51" s="23" t="s">
        <v>60</v>
      </c>
      <c r="I51" s="38">
        <f>1/Btu_per_therm/(CogenEffExstg/Enthalpy)/(1-BldgSteamLossNew)/BldgHtgEffExstg/(1-DistSteamLossNew)</f>
        <v>1.9962708836688582E-2</v>
      </c>
      <c r="J51"/>
      <c r="K51" s="23" t="s">
        <v>153</v>
      </c>
      <c r="L51" s="3"/>
    </row>
    <row r="52" spans="2:12" s="1" customFormat="1" x14ac:dyDescent="0.25">
      <c r="B52" t="s">
        <v>154</v>
      </c>
      <c r="C52" t="s">
        <v>166</v>
      </c>
      <c r="D52" s="23" t="s">
        <v>60</v>
      </c>
      <c r="E52" s="23" t="s">
        <v>60</v>
      </c>
      <c r="F52" s="23" t="s">
        <v>60</v>
      </c>
      <c r="G52" s="23" t="s">
        <v>60</v>
      </c>
      <c r="H52" s="23" t="s">
        <v>60</v>
      </c>
      <c r="I52" s="35">
        <f>1/SteamDensity/ft3_per_ccf/(1-BldgSteamLossNew)/(1-SteamWtrLossNew)</f>
        <v>1.8736233552397373E-4</v>
      </c>
      <c r="J52"/>
      <c r="K52" s="23"/>
      <c r="L52" s="3"/>
    </row>
    <row r="54" spans="2:12" s="1" customFormat="1" ht="15.75" thickBot="1" x14ac:dyDescent="0.3">
      <c r="B54" s="20" t="s">
        <v>141</v>
      </c>
      <c r="C54" s="20"/>
      <c r="D54" s="20"/>
      <c r="E54" s="20"/>
      <c r="F54" s="20"/>
      <c r="G54" s="20"/>
      <c r="H54" s="20"/>
      <c r="I54" s="20"/>
      <c r="J54" s="20"/>
      <c r="K54" s="20"/>
      <c r="L54" s="3"/>
    </row>
    <row r="55" spans="2:12" s="1" customFormat="1" x14ac:dyDescent="0.25">
      <c r="B55" t="s">
        <v>141</v>
      </c>
      <c r="C55" t="s">
        <v>167</v>
      </c>
      <c r="D55" s="23" t="s">
        <v>60</v>
      </c>
      <c r="E55" s="23" t="s">
        <v>60</v>
      </c>
      <c r="F55" s="23" t="s">
        <v>60</v>
      </c>
      <c r="G55" s="23" t="s">
        <v>60</v>
      </c>
      <c r="H55" s="23" t="s">
        <v>60</v>
      </c>
      <c r="I55" s="42">
        <f>1+TransfLossExstg</f>
        <v>1.05</v>
      </c>
      <c r="J55"/>
      <c r="K55" s="23" t="s">
        <v>153</v>
      </c>
      <c r="L55" s="3"/>
    </row>
    <row r="57" spans="2:12" s="1" customFormat="1" ht="15.75" thickBot="1" x14ac:dyDescent="0.3">
      <c r="B57" s="20" t="s">
        <v>168</v>
      </c>
      <c r="C57" s="20"/>
      <c r="D57" s="20"/>
      <c r="E57" s="20"/>
      <c r="F57" s="20"/>
      <c r="G57" s="20"/>
      <c r="H57" s="20"/>
      <c r="I57" s="20"/>
      <c r="J57" s="20"/>
      <c r="K57" s="20"/>
      <c r="L57" s="3"/>
    </row>
    <row r="58" spans="2:12" s="1" customFormat="1" x14ac:dyDescent="0.25">
      <c r="B58" t="s">
        <v>141</v>
      </c>
      <c r="C58" t="s">
        <v>109</v>
      </c>
      <c r="D58" s="23"/>
      <c r="E58" s="23"/>
      <c r="F58" s="23"/>
      <c r="G58" s="23"/>
      <c r="H58" s="23"/>
      <c r="I58" s="23"/>
      <c r="J58"/>
      <c r="K58" s="23"/>
      <c r="L58" s="3"/>
    </row>
    <row r="59" spans="2:12" s="1" customFormat="1" x14ac:dyDescent="0.25">
      <c r="B59" t="s">
        <v>136</v>
      </c>
      <c r="C59" t="s">
        <v>169</v>
      </c>
      <c r="D59" s="23"/>
      <c r="E59" s="23"/>
      <c r="F59" s="23"/>
      <c r="G59" s="23"/>
      <c r="H59" s="23"/>
      <c r="I59" s="23"/>
      <c r="J59"/>
      <c r="K59" s="23"/>
      <c r="L59" s="3"/>
    </row>
    <row r="60" spans="2:12" s="1" customFormat="1" x14ac:dyDescent="0.25">
      <c r="B60" t="s">
        <v>154</v>
      </c>
      <c r="C60" t="s">
        <v>170</v>
      </c>
      <c r="D60" s="23"/>
      <c r="E60" s="23"/>
      <c r="F60" s="23"/>
      <c r="G60" s="23"/>
      <c r="H60" s="23"/>
      <c r="I60" s="17"/>
      <c r="J60"/>
      <c r="K60" s="23"/>
      <c r="L60" s="3"/>
    </row>
    <row r="63" spans="2:12" s="1" customFormat="1" ht="20.25" thickBot="1" x14ac:dyDescent="0.35">
      <c r="B63" s="18" t="s">
        <v>173</v>
      </c>
      <c r="C63" s="18"/>
      <c r="D63" s="18"/>
      <c r="E63" s="18"/>
      <c r="F63" s="18"/>
      <c r="G63" s="18"/>
      <c r="H63" s="18"/>
      <c r="I63" s="18"/>
      <c r="J63" s="18"/>
      <c r="K63" s="18"/>
      <c r="L63" s="3"/>
    </row>
    <row r="64" spans="2:12" s="1" customFormat="1" ht="18" thickTop="1" thickBot="1" x14ac:dyDescent="0.3">
      <c r="B64" s="19" t="s">
        <v>12</v>
      </c>
      <c r="C64" s="19" t="s">
        <v>13</v>
      </c>
      <c r="D64" s="19" t="s">
        <v>14</v>
      </c>
      <c r="E64" s="19"/>
      <c r="F64" s="19"/>
      <c r="G64" s="19"/>
      <c r="H64" s="19"/>
      <c r="I64" s="19"/>
      <c r="J64" s="19"/>
      <c r="K64" s="19" t="s">
        <v>15</v>
      </c>
      <c r="L64" s="3"/>
    </row>
    <row r="65" spans="2:12" s="1" customFormat="1" ht="16.5" thickTop="1" thickBot="1" x14ac:dyDescent="0.3">
      <c r="B65" s="20" t="s">
        <v>143</v>
      </c>
      <c r="C65" s="20"/>
      <c r="D65" s="20" t="s">
        <v>144</v>
      </c>
      <c r="E65" s="20" t="s">
        <v>145</v>
      </c>
      <c r="F65" s="20" t="s">
        <v>146</v>
      </c>
      <c r="G65" s="20" t="s">
        <v>147</v>
      </c>
      <c r="H65" s="20" t="s">
        <v>148</v>
      </c>
      <c r="I65" s="20" t="s">
        <v>149</v>
      </c>
      <c r="J65" s="20"/>
      <c r="K65" s="20"/>
      <c r="L65" s="3"/>
    </row>
    <row r="66" spans="2:12" s="1" customFormat="1" x14ac:dyDescent="0.25">
      <c r="B66" t="s">
        <v>141</v>
      </c>
      <c r="C66" t="s">
        <v>150</v>
      </c>
      <c r="D66" s="23">
        <v>0</v>
      </c>
      <c r="E66" s="23">
        <v>0</v>
      </c>
      <c r="F66" s="23">
        <v>0</v>
      </c>
      <c r="G66" s="23">
        <v>0</v>
      </c>
      <c r="H66" s="23">
        <v>0</v>
      </c>
      <c r="I66" s="23" t="s">
        <v>60</v>
      </c>
      <c r="J66"/>
      <c r="K66" s="23" t="s">
        <v>151</v>
      </c>
      <c r="L66" s="3" t="s">
        <v>174</v>
      </c>
    </row>
    <row r="67" spans="2:12" s="1" customFormat="1" x14ac:dyDescent="0.25">
      <c r="B67" t="s">
        <v>136</v>
      </c>
      <c r="C67" t="s">
        <v>152</v>
      </c>
      <c r="D67" s="43">
        <f>1/(GasBoilerEffNew*(1+HRCoffsetNew))*(1/Btu_per_therm)*(Btu_per_kBtu*Btu_per_kBtu)/(1-DistHHWLossNew)/BldgHtgEffNew</f>
        <v>8.4253664191855702</v>
      </c>
      <c r="E67" s="43">
        <f>1/(GasBoilerEffNew*(1+HRCoffsetNew))*(1/Btu_per_therm)*(Btu_per_kBtu*Btu_per_kBtu)/(1-DistHHWLossNew)/BldgHtgEffNew</f>
        <v>8.4253664191855702</v>
      </c>
      <c r="F67" s="43">
        <f>1/(GasBoilerEffNew*(1+HRCoffsetNew))*(1/Btu_per_therm)*(Btu_per_kBtu*Btu_per_kBtu)/(1-DistHHWLossNew)/BldgHtgEffNew</f>
        <v>8.4253664191855702</v>
      </c>
      <c r="G67" s="43">
        <f>1/(GasBoilerEffNew*(1+HRCoffsetNew))*(1/Btu_per_therm)*(Btu_per_kBtu*Btu_per_kBtu)/(1-DistHHWLossNew)/BldgHtgEffNew</f>
        <v>8.4253664191855702</v>
      </c>
      <c r="H67" s="43">
        <f>1/(GasBoilerEffNew*(1+HRCoffsetNew))*(1/Btu_per_therm)*(Btu_per_kBtu*Btu_per_kBtu)/(1-DistHHWLossNew)/BldgHtgEffNew</f>
        <v>8.4253664191855702</v>
      </c>
      <c r="I67" s="23" t="s">
        <v>60</v>
      </c>
      <c r="J67"/>
      <c r="K67" s="23" t="s">
        <v>153</v>
      </c>
      <c r="L67" s="3" t="s">
        <v>175</v>
      </c>
    </row>
    <row r="68" spans="2:12" s="1" customFormat="1" x14ac:dyDescent="0.25">
      <c r="B68" t="s">
        <v>154</v>
      </c>
      <c r="C68" t="s">
        <v>155</v>
      </c>
      <c r="D68" s="43">
        <f>1/HtgDeltaTNew/Btu_per_Fgpm/Gal_per_CCF*Min_per_hr*Btu_per_kBtu*Btu_per_kBtu*HtgMakeupNew</f>
        <v>3.5641094181591377E-3</v>
      </c>
      <c r="E68" s="43">
        <f>1/HtgDeltaTNew/Btu_per_Fgpm/Gal_per_CCF*Min_per_hr*Btu_per_kBtu*Btu_per_kBtu*HtgMakeupNew</f>
        <v>3.5641094181591377E-3</v>
      </c>
      <c r="F68" s="43">
        <f>1/HtgDeltaTNew/Btu_per_Fgpm/Gal_per_CCF*Min_per_hr*Btu_per_kBtu*Btu_per_kBtu*HtgMakeupNew</f>
        <v>3.5641094181591377E-3</v>
      </c>
      <c r="G68" s="43">
        <f>1/HtgDeltaTNew/Btu_per_Fgpm/Gal_per_CCF*Min_per_hr*Btu_per_kBtu*Btu_per_kBtu*HtgMakeupNew</f>
        <v>3.5641094181591377E-3</v>
      </c>
      <c r="H68" s="43">
        <f>1/HtgDeltaTNew/Btu_per_Fgpm/Gal_per_CCF*Min_per_hr*Btu_per_kBtu*Btu_per_kBtu*HtgMakeupNew</f>
        <v>3.5641094181591377E-3</v>
      </c>
      <c r="I68" s="23" t="s">
        <v>60</v>
      </c>
      <c r="J68"/>
      <c r="K68" s="23" t="s">
        <v>153</v>
      </c>
      <c r="L68" s="3" t="s">
        <v>176</v>
      </c>
    </row>
    <row r="70" spans="2:12" s="1" customFormat="1" ht="15.75" thickBot="1" x14ac:dyDescent="0.3">
      <c r="B70" s="20" t="s">
        <v>157</v>
      </c>
      <c r="C70" s="20"/>
      <c r="D70" s="20"/>
      <c r="E70" s="20"/>
      <c r="F70" s="20"/>
      <c r="G70" s="20"/>
      <c r="H70" s="20"/>
      <c r="I70" s="20"/>
      <c r="J70" s="20"/>
      <c r="K70" s="20"/>
      <c r="L70" s="3"/>
    </row>
    <row r="71" spans="2:12" s="1" customFormat="1" x14ac:dyDescent="0.25">
      <c r="B71" t="s">
        <v>141</v>
      </c>
      <c r="C71" t="s">
        <v>74</v>
      </c>
      <c r="D71" s="8">
        <f>HRCeffNew*HRCcoolingFraction+ElecChillerEffNew*(1-HRCcoolingFraction)</f>
        <v>0.83800000000000008</v>
      </c>
      <c r="E71" s="8">
        <f>HRCeffNew*HRCcoolingFraction+ElecChillerEffNew*(1-HRCcoolingFraction)</f>
        <v>0.83800000000000008</v>
      </c>
      <c r="F71" s="8">
        <f>HRCeffNew*HRCcoolingFraction+ElecChillerEffNew*(1-HRCcoolingFraction)</f>
        <v>0.83800000000000008</v>
      </c>
      <c r="G71" s="8">
        <f>HRCeffNew*HRCcoolingFraction+ElecChillerEffNew*(1-HRCcoolingFraction)</f>
        <v>0.83800000000000008</v>
      </c>
      <c r="H71" s="8">
        <f>HRCeffNew*HRCcoolingFraction+ElecChillerEffNew*(1-HRCcoolingFraction)</f>
        <v>0.83800000000000008</v>
      </c>
      <c r="I71" s="23" t="s">
        <v>60</v>
      </c>
      <c r="J71"/>
      <c r="K71" s="23" t="s">
        <v>177</v>
      </c>
      <c r="L71" s="3" t="s">
        <v>178</v>
      </c>
    </row>
    <row r="72" spans="2:12" s="1" customFormat="1" x14ac:dyDescent="0.25">
      <c r="B72" t="s">
        <v>154</v>
      </c>
      <c r="C72" t="s">
        <v>161</v>
      </c>
      <c r="D72" s="43">
        <f>ClgTowerFlowNew*Min_per_hr*ClgTowerEvapNew/Gal_per_CCF</f>
        <v>3.4724174308740897E-3</v>
      </c>
      <c r="E72" s="43">
        <f>ClgTowerFlowNew*Min_per_hr*ClgTowerEvapNew/Gal_per_CCF</f>
        <v>3.4724174308740897E-3</v>
      </c>
      <c r="F72" s="43">
        <f>ClgTowerFlowNew*Min_per_hr*ClgTowerEvapNew/Gal_per_CCF</f>
        <v>3.4724174308740897E-3</v>
      </c>
      <c r="G72" s="43">
        <f>ClgTowerFlowNew*Min_per_hr*ClgTowerEvapNew/Gal_per_CCF</f>
        <v>3.4724174308740897E-3</v>
      </c>
      <c r="H72" s="43">
        <f>ClgTowerFlowNew*Min_per_hr*ClgTowerEvapNew/Gal_per_CCF</f>
        <v>3.4724174308740897E-3</v>
      </c>
      <c r="I72" s="23" t="s">
        <v>60</v>
      </c>
      <c r="J72"/>
      <c r="K72" s="23" t="s">
        <v>153</v>
      </c>
      <c r="L72" s="3" t="s">
        <v>179</v>
      </c>
    </row>
    <row r="74" spans="2:12" s="1" customFormat="1" ht="15.75" thickBot="1" x14ac:dyDescent="0.3">
      <c r="B74" s="20" t="s">
        <v>162</v>
      </c>
      <c r="C74" s="20"/>
      <c r="D74" s="20"/>
      <c r="E74" s="20"/>
      <c r="F74" s="20"/>
      <c r="G74" s="20"/>
      <c r="H74" s="20"/>
      <c r="I74" s="20"/>
      <c r="J74" s="20"/>
      <c r="K74" s="20"/>
      <c r="L74" s="3"/>
    </row>
    <row r="75" spans="2:12" s="1" customFormat="1" x14ac:dyDescent="0.25">
      <c r="B75" t="s">
        <v>141</v>
      </c>
      <c r="C75" t="s">
        <v>163</v>
      </c>
      <c r="D75" s="17">
        <v>0</v>
      </c>
      <c r="E75" s="17">
        <v>0</v>
      </c>
      <c r="F75" s="17">
        <v>0</v>
      </c>
      <c r="G75" s="17">
        <v>0</v>
      </c>
      <c r="H75" s="17">
        <v>0</v>
      </c>
      <c r="I75" s="23" t="s">
        <v>60</v>
      </c>
      <c r="J75"/>
      <c r="K75" s="23" t="s">
        <v>164</v>
      </c>
      <c r="L75" s="3" t="s">
        <v>180</v>
      </c>
    </row>
    <row r="76" spans="2:12" s="1" customFormat="1" x14ac:dyDescent="0.25">
      <c r="B76" t="s">
        <v>136</v>
      </c>
      <c r="C76" t="s">
        <v>165</v>
      </c>
      <c r="D76" s="38">
        <f>1/Btu_per_therm/(GasSteamGenEffNew/Enthalpy)/BldgHtgEffNew</f>
        <v>1.1872705018359856E-2</v>
      </c>
      <c r="E76" s="38">
        <f>1/Btu_per_therm/(GasSteamGenEffNew/Enthalpy)/BldgHtgEffNew</f>
        <v>1.1872705018359856E-2</v>
      </c>
      <c r="F76" s="38">
        <f>1/Btu_per_therm/(GasSteamGenEffNew/Enthalpy)/BldgHtgEffNew</f>
        <v>1.1872705018359856E-2</v>
      </c>
      <c r="G76" s="38">
        <f>1/Btu_per_therm/(GasSteamGenEffNew/Enthalpy)/BldgHtgEffNew</f>
        <v>1.1872705018359856E-2</v>
      </c>
      <c r="H76" s="38">
        <f>1/Btu_per_therm/(GasSteamGenEffNew/Enthalpy)/BldgHtgEffNew</f>
        <v>1.1872705018359856E-2</v>
      </c>
      <c r="I76" s="23" t="s">
        <v>60</v>
      </c>
      <c r="J76"/>
      <c r="K76" s="23" t="s">
        <v>153</v>
      </c>
      <c r="L76" s="3" t="s">
        <v>181</v>
      </c>
    </row>
    <row r="77" spans="2:12" s="1" customFormat="1" x14ac:dyDescent="0.25">
      <c r="B77" t="s">
        <v>154</v>
      </c>
      <c r="C77" t="s">
        <v>166</v>
      </c>
      <c r="D77" s="48">
        <f>1/SteamDensity/ft3_per_ccf/(1-BldgSteamLossNew)</f>
        <v>1.6862610197157637E-4</v>
      </c>
      <c r="E77" s="48">
        <f>1/SteamDensity/ft3_per_ccf/(1-BldgSteamLossNew)</f>
        <v>1.6862610197157637E-4</v>
      </c>
      <c r="F77" s="48">
        <f>1/SteamDensity/ft3_per_ccf/(1-BldgSteamLossNew)</f>
        <v>1.6862610197157637E-4</v>
      </c>
      <c r="G77" s="48">
        <f>1/SteamDensity/ft3_per_ccf/(1-BldgSteamLossNew)</f>
        <v>1.6862610197157637E-4</v>
      </c>
      <c r="H77" s="48">
        <f>1/SteamDensity/ft3_per_ccf/(1-BldgSteamLossNew)</f>
        <v>1.6862610197157637E-4</v>
      </c>
      <c r="I77" s="23" t="s">
        <v>60</v>
      </c>
      <c r="J77"/>
      <c r="K77" s="23"/>
      <c r="L77" s="3" t="s">
        <v>182</v>
      </c>
    </row>
    <row r="79" spans="2:12" s="1" customFormat="1" ht="15.75" thickBot="1" x14ac:dyDescent="0.3">
      <c r="B79" s="20" t="s">
        <v>141</v>
      </c>
      <c r="C79" s="20"/>
      <c r="D79" s="20"/>
      <c r="E79" s="20"/>
      <c r="F79" s="20"/>
      <c r="G79" s="20"/>
      <c r="H79" s="20"/>
      <c r="I79" s="20"/>
      <c r="J79" s="20"/>
      <c r="K79" s="20"/>
      <c r="L79" s="3"/>
    </row>
    <row r="80" spans="2:12" s="1" customFormat="1" x14ac:dyDescent="0.25">
      <c r="B80" t="s">
        <v>141</v>
      </c>
      <c r="C80" t="s">
        <v>167</v>
      </c>
      <c r="D80" s="42">
        <f>1+TransfLossExstg</f>
        <v>1.05</v>
      </c>
      <c r="E80" s="42">
        <f>1+TransfLossExstg</f>
        <v>1.05</v>
      </c>
      <c r="F80" s="42">
        <f>1+TransfLossExstg</f>
        <v>1.05</v>
      </c>
      <c r="G80" s="42">
        <f>1+TransfLossExstg</f>
        <v>1.05</v>
      </c>
      <c r="H80" s="42">
        <f>1+TransfLossExstg</f>
        <v>1.05</v>
      </c>
      <c r="I80" s="23" t="s">
        <v>60</v>
      </c>
      <c r="J80"/>
      <c r="K80" s="23" t="s">
        <v>153</v>
      </c>
      <c r="L80" s="3" t="s">
        <v>183</v>
      </c>
    </row>
    <row r="82" spans="2:12" s="1" customFormat="1" ht="15.75" thickBot="1" x14ac:dyDescent="0.3">
      <c r="B82" s="20" t="s">
        <v>168</v>
      </c>
      <c r="C82" s="20"/>
      <c r="D82" s="20"/>
      <c r="E82" s="20"/>
      <c r="F82" s="20"/>
      <c r="G82" s="20"/>
      <c r="H82" s="20"/>
      <c r="I82" s="20"/>
      <c r="J82" s="20"/>
      <c r="K82" s="20"/>
      <c r="L82" s="3"/>
    </row>
    <row r="83" spans="2:12" s="1" customFormat="1" x14ac:dyDescent="0.25">
      <c r="B83" t="s">
        <v>141</v>
      </c>
      <c r="C83" t="s">
        <v>109</v>
      </c>
      <c r="D83" s="23"/>
      <c r="E83" s="23"/>
      <c r="F83" s="23"/>
      <c r="G83" s="23"/>
      <c r="H83" s="23"/>
      <c r="I83" s="23"/>
      <c r="J83"/>
      <c r="K83" s="23"/>
      <c r="L83" s="3"/>
    </row>
    <row r="84" spans="2:12" s="1" customFormat="1" x14ac:dyDescent="0.25">
      <c r="B84" t="s">
        <v>136</v>
      </c>
      <c r="C84" t="s">
        <v>169</v>
      </c>
      <c r="D84" s="23"/>
      <c r="E84" s="23"/>
      <c r="F84" s="23"/>
      <c r="G84" s="23"/>
      <c r="H84" s="23"/>
      <c r="I84" s="23"/>
      <c r="J84"/>
      <c r="K84" s="23"/>
      <c r="L84" s="3"/>
    </row>
    <row r="85" spans="2:12" s="1" customFormat="1" x14ac:dyDescent="0.25">
      <c r="B85" t="s">
        <v>154</v>
      </c>
      <c r="C85" t="s">
        <v>170</v>
      </c>
      <c r="D85" s="17"/>
      <c r="E85" s="17"/>
      <c r="F85" s="17"/>
      <c r="G85" s="17"/>
      <c r="H85" s="17"/>
      <c r="I85" s="17"/>
      <c r="J85"/>
      <c r="K85" s="23"/>
      <c r="L85" s="3"/>
    </row>
    <row r="88" spans="2:12" s="1" customFormat="1" ht="20.25" thickBot="1" x14ac:dyDescent="0.35">
      <c r="B88" s="18" t="s">
        <v>184</v>
      </c>
      <c r="C88" s="18"/>
      <c r="D88" s="18"/>
      <c r="E88" s="18"/>
      <c r="F88" s="18"/>
      <c r="G88" s="18"/>
      <c r="H88" s="18"/>
      <c r="I88" s="18"/>
      <c r="J88" s="18"/>
      <c r="K88" s="18"/>
      <c r="L88" s="3"/>
    </row>
    <row r="89" spans="2:12" s="1" customFormat="1" ht="18" thickTop="1" thickBot="1" x14ac:dyDescent="0.3">
      <c r="B89" s="19" t="s">
        <v>12</v>
      </c>
      <c r="C89" s="19" t="s">
        <v>13</v>
      </c>
      <c r="D89" s="19" t="s">
        <v>14</v>
      </c>
      <c r="E89" s="19"/>
      <c r="F89" s="19"/>
      <c r="G89" s="19"/>
      <c r="H89" s="19"/>
      <c r="I89" s="19"/>
      <c r="J89" s="19"/>
      <c r="K89" s="19" t="s">
        <v>15</v>
      </c>
      <c r="L89" s="3"/>
    </row>
    <row r="90" spans="2:12" s="1" customFormat="1" ht="16.5" thickTop="1" thickBot="1" x14ac:dyDescent="0.3">
      <c r="B90" s="20" t="s">
        <v>143</v>
      </c>
      <c r="C90" s="20"/>
      <c r="D90" s="20" t="s">
        <v>144</v>
      </c>
      <c r="E90" s="20" t="s">
        <v>145</v>
      </c>
      <c r="F90" s="20" t="s">
        <v>146</v>
      </c>
      <c r="G90" s="20" t="s">
        <v>147</v>
      </c>
      <c r="H90" s="20" t="s">
        <v>148</v>
      </c>
      <c r="I90" s="20" t="s">
        <v>149</v>
      </c>
      <c r="J90" s="20"/>
      <c r="K90" s="20"/>
      <c r="L90" s="3"/>
    </row>
    <row r="91" spans="2:12" s="1" customFormat="1" x14ac:dyDescent="0.25">
      <c r="B91" t="s">
        <v>141</v>
      </c>
      <c r="C91" t="s">
        <v>150</v>
      </c>
      <c r="D91" s="35">
        <f>1/(ElecBoilerEffNew*(1+HRCoffsetNew))*(1/Btuh_per_W)*(1/Btu_per_kBtu)*(Btu_per_kBtu*Btu_per_kBtu)/(1-DistHHWLossNew)/BldgHtgEffNew</f>
        <v>229.47343024769162</v>
      </c>
      <c r="E91" s="35">
        <f>1/(ElecBoilerEffNew*(1+HRCoffsetNew))*(1/Btuh_per_W)*(1/Btu_per_kBtu)*(Btu_per_kBtu*Btu_per_kBtu)/(1-DistHHWLossNew)/BldgHtgEffNew</f>
        <v>229.47343024769162</v>
      </c>
      <c r="F91" s="35">
        <f>1/(ElecBoilerEffNew*(1+HRCoffsetNew))*(1/Btuh_per_W)*(1/Btu_per_kBtu)*(Btu_per_kBtu*Btu_per_kBtu)/(1-DistHHWLossNew)/BldgHtgEffNew</f>
        <v>229.47343024769162</v>
      </c>
      <c r="G91" s="35">
        <f>1/(ElecBoilerEffNew*(1+HRCoffsetNew))*(1/Btuh_per_W)*(1/Btu_per_kBtu)*(Btu_per_kBtu*Btu_per_kBtu)/(1-DistHHWLossNew)/BldgHtgEffNew</f>
        <v>229.47343024769162</v>
      </c>
      <c r="H91" s="35">
        <f>1/(ElecBoilerEffNew*(1+HRCoffsetNew))*(1/Btuh_per_W)*(1/Btu_per_kBtu)*(Btu_per_kBtu*Btu_per_kBtu)/(1-DistHHWLossNew)/BldgHtgEffNew</f>
        <v>229.47343024769162</v>
      </c>
      <c r="I91" s="23" t="s">
        <v>60</v>
      </c>
      <c r="J91"/>
      <c r="K91" s="23" t="s">
        <v>153</v>
      </c>
      <c r="L91" s="3" t="s">
        <v>174</v>
      </c>
    </row>
    <row r="92" spans="2:12" s="1" customFormat="1" x14ac:dyDescent="0.25">
      <c r="B92" t="s">
        <v>136</v>
      </c>
      <c r="C92" t="s">
        <v>152</v>
      </c>
      <c r="D92" s="23">
        <v>0</v>
      </c>
      <c r="E92" s="23">
        <v>0</v>
      </c>
      <c r="F92" s="23">
        <v>0</v>
      </c>
      <c r="G92" s="23">
        <v>0</v>
      </c>
      <c r="H92" s="23">
        <v>0</v>
      </c>
      <c r="I92" s="23" t="s">
        <v>60</v>
      </c>
      <c r="J92"/>
      <c r="K92" s="23" t="s">
        <v>185</v>
      </c>
      <c r="L92" s="3" t="s">
        <v>175</v>
      </c>
    </row>
    <row r="93" spans="2:12" s="1" customFormat="1" x14ac:dyDescent="0.25">
      <c r="B93" t="s">
        <v>154</v>
      </c>
      <c r="C93" t="s">
        <v>155</v>
      </c>
      <c r="D93" s="43">
        <f>1/HtgDeltaTNew/Btu_per_Fgpm/Gal_per_CCF*Min_per_hr*Btu_per_kBtu*Btu_per_kBtu*HtgMakeupNew</f>
        <v>3.5641094181591377E-3</v>
      </c>
      <c r="E93" s="43">
        <f>1/HtgDeltaTNew/Btu_per_Fgpm/Gal_per_CCF*Min_per_hr*Btu_per_kBtu*Btu_per_kBtu*HtgMakeupNew</f>
        <v>3.5641094181591377E-3</v>
      </c>
      <c r="F93" s="43">
        <f>1/HtgDeltaTNew/Btu_per_Fgpm/Gal_per_CCF*Min_per_hr*Btu_per_kBtu*Btu_per_kBtu*HtgMakeupNew</f>
        <v>3.5641094181591377E-3</v>
      </c>
      <c r="G93" s="43">
        <f>1/HtgDeltaTNew/Btu_per_Fgpm/Gal_per_CCF*Min_per_hr*Btu_per_kBtu*Btu_per_kBtu*HtgMakeupNew</f>
        <v>3.5641094181591377E-3</v>
      </c>
      <c r="H93" s="43">
        <f>1/HtgDeltaTNew/Btu_per_Fgpm/Gal_per_CCF*Min_per_hr*Btu_per_kBtu*Btu_per_kBtu*HtgMakeupNew</f>
        <v>3.5641094181591377E-3</v>
      </c>
      <c r="I93" s="23" t="s">
        <v>60</v>
      </c>
      <c r="J93"/>
      <c r="K93" s="23" t="s">
        <v>153</v>
      </c>
      <c r="L93" s="3" t="s">
        <v>176</v>
      </c>
    </row>
    <row r="95" spans="2:12" s="1" customFormat="1" ht="15.75" thickBot="1" x14ac:dyDescent="0.3">
      <c r="B95" s="20" t="s">
        <v>157</v>
      </c>
      <c r="C95" s="20"/>
      <c r="D95" s="20"/>
      <c r="E95" s="20"/>
      <c r="F95" s="20"/>
      <c r="G95" s="20"/>
      <c r="H95" s="20"/>
      <c r="I95" s="20"/>
      <c r="J95" s="20"/>
      <c r="K95" s="20"/>
      <c r="L95" s="3"/>
    </row>
    <row r="96" spans="2:12" s="1" customFormat="1" x14ac:dyDescent="0.25">
      <c r="B96" t="s">
        <v>141</v>
      </c>
      <c r="C96" t="s">
        <v>74</v>
      </c>
      <c r="D96" s="8">
        <f>HRCeffNew*HRCcoolingFraction+ElecChillerEffNew*(1-HRCcoolingFraction)</f>
        <v>0.83800000000000008</v>
      </c>
      <c r="E96" s="8">
        <f>HRCeffNew*HRCcoolingFraction+ElecChillerEffNew*(1-HRCcoolingFraction)</f>
        <v>0.83800000000000008</v>
      </c>
      <c r="F96" s="8">
        <f>HRCeffNew*HRCcoolingFraction+ElecChillerEffNew*(1-HRCcoolingFraction)</f>
        <v>0.83800000000000008</v>
      </c>
      <c r="G96" s="8">
        <f>HRCeffNew*HRCcoolingFraction+ElecChillerEffNew*(1-HRCcoolingFraction)</f>
        <v>0.83800000000000008</v>
      </c>
      <c r="H96" s="8">
        <f>HRCeffNew*HRCcoolingFraction+ElecChillerEffNew*(1-HRCcoolingFraction)</f>
        <v>0.83800000000000008</v>
      </c>
      <c r="I96" s="23" t="s">
        <v>60</v>
      </c>
      <c r="J96"/>
      <c r="K96" s="23" t="s">
        <v>177</v>
      </c>
      <c r="L96" s="3" t="s">
        <v>178</v>
      </c>
    </row>
    <row r="97" spans="2:12" s="1" customFormat="1" x14ac:dyDescent="0.25">
      <c r="B97" t="s">
        <v>154</v>
      </c>
      <c r="C97" t="s">
        <v>161</v>
      </c>
      <c r="D97" s="43">
        <f>ClgTowerFlowNew*Min_per_hr*ClgTowerEvapNew/Gal_per_CCF</f>
        <v>3.4724174308740897E-3</v>
      </c>
      <c r="E97" s="43">
        <f>ClgTowerFlowNew*Min_per_hr*ClgTowerEvapNew/Gal_per_CCF</f>
        <v>3.4724174308740897E-3</v>
      </c>
      <c r="F97" s="43">
        <f>ClgTowerFlowNew*Min_per_hr*ClgTowerEvapNew/Gal_per_CCF</f>
        <v>3.4724174308740897E-3</v>
      </c>
      <c r="G97" s="43">
        <f>ClgTowerFlowNew*Min_per_hr*ClgTowerEvapNew/Gal_per_CCF</f>
        <v>3.4724174308740897E-3</v>
      </c>
      <c r="H97" s="43">
        <f>ClgTowerFlowNew*Min_per_hr*ClgTowerEvapNew/Gal_per_CCF</f>
        <v>3.4724174308740897E-3</v>
      </c>
      <c r="I97" s="23" t="s">
        <v>60</v>
      </c>
      <c r="J97"/>
      <c r="K97" s="23" t="s">
        <v>153</v>
      </c>
      <c r="L97" s="3" t="s">
        <v>179</v>
      </c>
    </row>
    <row r="99" spans="2:12" s="1" customFormat="1" ht="15.75" thickBot="1" x14ac:dyDescent="0.3">
      <c r="B99" s="20" t="s">
        <v>162</v>
      </c>
      <c r="C99" s="20"/>
      <c r="D99" s="20"/>
      <c r="E99" s="20"/>
      <c r="F99" s="20"/>
      <c r="G99" s="20"/>
      <c r="H99" s="20"/>
      <c r="I99" s="20"/>
      <c r="J99" s="20"/>
      <c r="K99" s="20"/>
      <c r="L99" s="3"/>
    </row>
    <row r="100" spans="2:12" s="1" customFormat="1" x14ac:dyDescent="0.25">
      <c r="B100" t="s">
        <v>141</v>
      </c>
      <c r="C100" t="s">
        <v>163</v>
      </c>
      <c r="D100" s="38">
        <f>1/Btuh_per_W*(1/Btu_per_kBtu)/(ElecSteamGenEffNew/Enthalpy)/BldgHtgEffNew</f>
        <v>0.31500358844294063</v>
      </c>
      <c r="E100" s="38">
        <f>1/Btuh_per_W*(1/Btu_per_kBtu)/(ElecSteamGenEffNew/Enthalpy)/BldgHtgEffNew</f>
        <v>0.31500358844294063</v>
      </c>
      <c r="F100" s="38">
        <f>1/Btuh_per_W*(1/Btu_per_kBtu)/(ElecSteamGenEffNew/Enthalpy)/BldgHtgEffNew</f>
        <v>0.31500358844294063</v>
      </c>
      <c r="G100" s="38">
        <f>1/Btuh_per_W*(1/Btu_per_kBtu)/(ElecSteamGenEffNew/Enthalpy)/BldgHtgEffNew</f>
        <v>0.31500358844294063</v>
      </c>
      <c r="H100" s="38">
        <f>1/Btuh_per_W*(1/Btu_per_kBtu)/(ElecSteamGenEffNew/Enthalpy)/BldgHtgEffNew</f>
        <v>0.31500358844294063</v>
      </c>
      <c r="I100" s="23" t="s">
        <v>60</v>
      </c>
      <c r="J100"/>
      <c r="K100" s="23" t="s">
        <v>153</v>
      </c>
      <c r="L100" s="3" t="s">
        <v>180</v>
      </c>
    </row>
    <row r="101" spans="2:12" s="1" customFormat="1" x14ac:dyDescent="0.25">
      <c r="B101" t="s">
        <v>136</v>
      </c>
      <c r="C101" t="s">
        <v>165</v>
      </c>
      <c r="D101" s="17">
        <v>0</v>
      </c>
      <c r="E101" s="17">
        <v>0</v>
      </c>
      <c r="F101" s="17">
        <v>0</v>
      </c>
      <c r="G101" s="17">
        <v>0</v>
      </c>
      <c r="H101" s="17">
        <v>0</v>
      </c>
      <c r="I101" s="23" t="s">
        <v>60</v>
      </c>
      <c r="J101"/>
      <c r="K101" s="23" t="s">
        <v>186</v>
      </c>
      <c r="L101" s="3" t="s">
        <v>181</v>
      </c>
    </row>
    <row r="102" spans="2:12" s="1" customFormat="1" x14ac:dyDescent="0.25">
      <c r="B102" t="s">
        <v>154</v>
      </c>
      <c r="C102" t="s">
        <v>166</v>
      </c>
      <c r="D102" s="48">
        <f>1/SteamDensity/ft3_per_ccf/(1-BldgSteamLossNew)</f>
        <v>1.6862610197157637E-4</v>
      </c>
      <c r="E102" s="48">
        <f>1/SteamDensity/ft3_per_ccf/(1-BldgSteamLossNew)</f>
        <v>1.6862610197157637E-4</v>
      </c>
      <c r="F102" s="48">
        <f>1/SteamDensity/ft3_per_ccf/(1-BldgSteamLossNew)</f>
        <v>1.6862610197157637E-4</v>
      </c>
      <c r="G102" s="48">
        <f>1/SteamDensity/ft3_per_ccf/(1-BldgSteamLossNew)</f>
        <v>1.6862610197157637E-4</v>
      </c>
      <c r="H102" s="48">
        <f>1/SteamDensity/ft3_per_ccf/(1-BldgSteamLossNew)</f>
        <v>1.6862610197157637E-4</v>
      </c>
      <c r="I102" s="23" t="s">
        <v>60</v>
      </c>
      <c r="J102"/>
      <c r="K102" s="23"/>
      <c r="L102" s="3" t="s">
        <v>182</v>
      </c>
    </row>
    <row r="104" spans="2:12" s="1" customFormat="1" ht="15.75" thickBot="1" x14ac:dyDescent="0.3">
      <c r="B104" s="20" t="s">
        <v>141</v>
      </c>
      <c r="C104" s="20"/>
      <c r="D104" s="20"/>
      <c r="E104" s="20"/>
      <c r="F104" s="20"/>
      <c r="G104" s="20"/>
      <c r="H104" s="20"/>
      <c r="I104" s="20"/>
      <c r="J104" s="20"/>
      <c r="K104" s="20"/>
      <c r="L104" s="3"/>
    </row>
    <row r="105" spans="2:12" s="1" customFormat="1" x14ac:dyDescent="0.25">
      <c r="B105" t="s">
        <v>141</v>
      </c>
      <c r="C105" t="s">
        <v>167</v>
      </c>
      <c r="D105" s="42">
        <f>1+TransfLossNew</f>
        <v>1.02</v>
      </c>
      <c r="E105" s="42">
        <f>1+TransfLossNew</f>
        <v>1.02</v>
      </c>
      <c r="F105" s="42">
        <f>1+TransfLossNew</f>
        <v>1.02</v>
      </c>
      <c r="G105" s="42">
        <f>1+TransfLossNew</f>
        <v>1.02</v>
      </c>
      <c r="H105" s="42">
        <f>1+TransfLossNew</f>
        <v>1.02</v>
      </c>
      <c r="I105" s="23" t="s">
        <v>60</v>
      </c>
      <c r="J105"/>
      <c r="K105" s="23" t="s">
        <v>187</v>
      </c>
      <c r="L105" s="3" t="s">
        <v>183</v>
      </c>
    </row>
    <row r="107" spans="2:12" s="1" customFormat="1" ht="15.75" thickBot="1" x14ac:dyDescent="0.3">
      <c r="B107" s="20" t="s">
        <v>168</v>
      </c>
      <c r="C107" s="20"/>
      <c r="D107" s="20"/>
      <c r="E107" s="20"/>
      <c r="F107" s="20"/>
      <c r="G107" s="20"/>
      <c r="H107" s="20"/>
      <c r="I107" s="20"/>
      <c r="J107" s="20"/>
      <c r="K107" s="20"/>
      <c r="L107" s="3"/>
    </row>
    <row r="108" spans="2:12" s="1" customFormat="1" x14ac:dyDescent="0.25">
      <c r="B108" t="s">
        <v>141</v>
      </c>
      <c r="C108" t="s">
        <v>109</v>
      </c>
      <c r="D108" s="23"/>
      <c r="E108" s="23"/>
      <c r="F108" s="23"/>
      <c r="G108" s="23"/>
      <c r="H108" s="23"/>
      <c r="I108" s="23"/>
      <c r="J108"/>
      <c r="K108" s="23"/>
      <c r="L108" s="3"/>
    </row>
    <row r="109" spans="2:12" s="1" customFormat="1" x14ac:dyDescent="0.25">
      <c r="B109" t="s">
        <v>136</v>
      </c>
      <c r="C109" t="s">
        <v>169</v>
      </c>
      <c r="D109" s="23"/>
      <c r="E109" s="23"/>
      <c r="F109" s="23"/>
      <c r="G109" s="23"/>
      <c r="H109" s="23"/>
      <c r="I109" s="23"/>
      <c r="J109"/>
      <c r="K109" s="23"/>
      <c r="L109" s="3"/>
    </row>
    <row r="110" spans="2:12" s="1" customFormat="1" x14ac:dyDescent="0.25">
      <c r="B110" t="s">
        <v>154</v>
      </c>
      <c r="C110" t="s">
        <v>170</v>
      </c>
      <c r="D110" s="23"/>
      <c r="E110" s="23"/>
      <c r="F110" s="23"/>
      <c r="G110" s="23"/>
      <c r="H110" s="23"/>
      <c r="I110" s="17"/>
      <c r="J110"/>
      <c r="K110" s="23"/>
      <c r="L110" s="3"/>
    </row>
    <row r="113" spans="2:14" s="1" customFormat="1" ht="20.25" thickBot="1" x14ac:dyDescent="0.35">
      <c r="B113" s="18" t="s">
        <v>188</v>
      </c>
      <c r="C113" s="18"/>
      <c r="D113" s="18"/>
      <c r="E113" s="18"/>
      <c r="F113" s="18"/>
      <c r="G113" s="18"/>
      <c r="H113" s="18"/>
      <c r="I113" s="18"/>
      <c r="J113" s="18"/>
      <c r="K113" s="18"/>
      <c r="L113" s="3"/>
    </row>
    <row r="114" spans="2:14" s="1" customFormat="1" ht="18" thickTop="1" thickBot="1" x14ac:dyDescent="0.3">
      <c r="B114" s="19" t="s">
        <v>12</v>
      </c>
      <c r="C114" s="19" t="s">
        <v>13</v>
      </c>
      <c r="D114" s="19" t="s">
        <v>14</v>
      </c>
      <c r="E114" s="19"/>
      <c r="F114" s="19"/>
      <c r="G114" s="19"/>
      <c r="H114" s="19"/>
      <c r="I114" s="19"/>
      <c r="J114" s="19"/>
      <c r="K114" s="19" t="s">
        <v>15</v>
      </c>
      <c r="L114" s="3"/>
    </row>
    <row r="115" spans="2:14" s="1" customFormat="1" ht="16.5" thickTop="1" thickBot="1" x14ac:dyDescent="0.3">
      <c r="B115" s="20" t="s">
        <v>143</v>
      </c>
      <c r="C115" s="20"/>
      <c r="D115" s="20" t="s">
        <v>144</v>
      </c>
      <c r="E115" s="20" t="s">
        <v>145</v>
      </c>
      <c r="F115" s="20" t="s">
        <v>146</v>
      </c>
      <c r="G115" s="20" t="s">
        <v>147</v>
      </c>
      <c r="H115" s="20" t="s">
        <v>148</v>
      </c>
      <c r="I115" s="20" t="s">
        <v>149</v>
      </c>
      <c r="J115" s="20"/>
      <c r="K115" s="20"/>
      <c r="L115" s="3"/>
    </row>
    <row r="116" spans="2:14" s="1" customFormat="1" x14ac:dyDescent="0.25">
      <c r="B116" t="s">
        <v>141</v>
      </c>
      <c r="C116" t="s">
        <v>150</v>
      </c>
      <c r="D116" s="43">
        <f>1/(HP_EERnew*(1+HRCoffsetNew))*Btu_per_kBtu/(1-DistHHWLossNew)/BldgHtgEffNew</f>
        <v>77.513371056507253</v>
      </c>
      <c r="E116" s="43">
        <f>1/(HP_EERnew*(1+HRCoffsetNew))*Btu_per_kBtu/(1-DistHHWLossNew)/BldgHtgEffNew</f>
        <v>77.513371056507253</v>
      </c>
      <c r="F116" s="43">
        <f>1/(HP_EERnew*(1+HRCoffsetNew))*Btu_per_kBtu/(1-DistHHWLossNew)/BldgHtgEffNew</f>
        <v>77.513371056507253</v>
      </c>
      <c r="G116" s="43">
        <f>1/(HP_EERnew*(1+HRCoffsetNew))*Btu_per_kBtu/(1-DistHHWLossNew)/BldgHtgEffNew</f>
        <v>77.513371056507253</v>
      </c>
      <c r="H116" s="43">
        <f>1/(HP_EERnew*(1+HRCoffsetNew))*Btu_per_kBtu/(1-DistHHWLossNew)/BldgHtgEffNew</f>
        <v>77.513371056507253</v>
      </c>
      <c r="I116" s="23" t="s">
        <v>60</v>
      </c>
      <c r="J116"/>
      <c r="K116" s="23" t="s">
        <v>153</v>
      </c>
      <c r="L116" s="3"/>
      <c r="M116" s="3" t="s">
        <v>189</v>
      </c>
      <c r="N116" s="3"/>
    </row>
    <row r="117" spans="2:14" s="1" customFormat="1" x14ac:dyDescent="0.25">
      <c r="B117" t="s">
        <v>136</v>
      </c>
      <c r="C117" t="s">
        <v>152</v>
      </c>
      <c r="D117" s="23">
        <v>0</v>
      </c>
      <c r="E117" s="23">
        <v>0</v>
      </c>
      <c r="F117" s="23">
        <v>0</v>
      </c>
      <c r="G117" s="23">
        <v>0</v>
      </c>
      <c r="H117" s="23">
        <v>0</v>
      </c>
      <c r="I117" s="23" t="s">
        <v>60</v>
      </c>
      <c r="J117"/>
      <c r="K117" s="23" t="s">
        <v>185</v>
      </c>
      <c r="L117" s="3"/>
      <c r="M117" s="3" t="s">
        <v>190</v>
      </c>
      <c r="N117" s="3"/>
    </row>
    <row r="118" spans="2:14" s="1" customFormat="1" x14ac:dyDescent="0.25">
      <c r="B118" t="s">
        <v>154</v>
      </c>
      <c r="C118" t="s">
        <v>155</v>
      </c>
      <c r="D118" s="43">
        <f>1/HtgDeltaTNew/Btu_per_Fgpm/Gal_per_CCF*Min_per_hr*Btu_per_kBtu*Btu_per_kBtu*HtgMakeupNew</f>
        <v>3.5641094181591377E-3</v>
      </c>
      <c r="E118" s="43">
        <f>1/HtgDeltaTNew/Btu_per_Fgpm/Gal_per_CCF*Min_per_hr*Btu_per_kBtu*Btu_per_kBtu*HtgMakeupNew</f>
        <v>3.5641094181591377E-3</v>
      </c>
      <c r="F118" s="43">
        <f>1/HtgDeltaTNew/Btu_per_Fgpm/Gal_per_CCF*Min_per_hr*Btu_per_kBtu*Btu_per_kBtu*HtgMakeupNew</f>
        <v>3.5641094181591377E-3</v>
      </c>
      <c r="G118" s="43">
        <f>1/HtgDeltaTNew/Btu_per_Fgpm/Gal_per_CCF*Min_per_hr*Btu_per_kBtu*Btu_per_kBtu*HtgMakeupNew</f>
        <v>3.5641094181591377E-3</v>
      </c>
      <c r="H118" s="43">
        <f>1/HtgDeltaTNew/Btu_per_Fgpm/Gal_per_CCF*Min_per_hr*Btu_per_kBtu*Btu_per_kBtu*HtgMakeupNew</f>
        <v>3.5641094181591377E-3</v>
      </c>
      <c r="I118" s="23" t="s">
        <v>60</v>
      </c>
      <c r="J118"/>
      <c r="K118" s="23" t="s">
        <v>153</v>
      </c>
      <c r="L118" s="3"/>
      <c r="M118" s="3" t="s">
        <v>191</v>
      </c>
      <c r="N118" s="3"/>
    </row>
    <row r="119" spans="2:14" x14ac:dyDescent="0.25">
      <c r="M119" s="3"/>
      <c r="N119" s="3"/>
    </row>
    <row r="120" spans="2:14" s="1" customFormat="1" ht="15.75" thickBot="1" x14ac:dyDescent="0.3">
      <c r="B120" s="20" t="s">
        <v>157</v>
      </c>
      <c r="C120" s="20"/>
      <c r="D120" s="20"/>
      <c r="E120" s="20"/>
      <c r="F120" s="20"/>
      <c r="G120" s="20"/>
      <c r="H120" s="20"/>
      <c r="I120" s="20"/>
      <c r="J120" s="20"/>
      <c r="K120" s="20"/>
      <c r="L120" s="3"/>
      <c r="M120" s="3"/>
      <c r="N120" s="3"/>
    </row>
    <row r="121" spans="2:14" s="1" customFormat="1" x14ac:dyDescent="0.25">
      <c r="B121" t="s">
        <v>141</v>
      </c>
      <c r="C121" t="s">
        <v>74</v>
      </c>
      <c r="D121" s="8">
        <f>HRCeffNew*HRCcoolingFraction+ElecChillerEffNew*(1-HRCcoolingFraction)</f>
        <v>0.83800000000000008</v>
      </c>
      <c r="E121" s="8">
        <f>HRCeffNew*HRCcoolingFraction+ElecChillerEffNew*(1-HRCcoolingFraction)</f>
        <v>0.83800000000000008</v>
      </c>
      <c r="F121" s="8">
        <f>HRCeffNew*HRCcoolingFraction+ElecChillerEffNew*(1-HRCcoolingFraction)</f>
        <v>0.83800000000000008</v>
      </c>
      <c r="G121" s="8">
        <f>HRCeffNew*HRCcoolingFraction+ElecChillerEffNew*(1-HRCcoolingFraction)</f>
        <v>0.83800000000000008</v>
      </c>
      <c r="H121" s="8">
        <f>HRCeffNew*HRCcoolingFraction+ElecChillerEffNew*(1-HRCcoolingFraction)</f>
        <v>0.83800000000000008</v>
      </c>
      <c r="I121" s="23" t="s">
        <v>60</v>
      </c>
      <c r="J121"/>
      <c r="K121" s="23" t="s">
        <v>177</v>
      </c>
      <c r="L121" s="3"/>
      <c r="M121" s="3" t="s">
        <v>192</v>
      </c>
      <c r="N121" s="3"/>
    </row>
    <row r="122" spans="2:14" s="1" customFormat="1" x14ac:dyDescent="0.25">
      <c r="B122" t="s">
        <v>154</v>
      </c>
      <c r="C122" t="s">
        <v>161</v>
      </c>
      <c r="D122" s="43">
        <f>ClgTowerFlowNew*Min_per_hr*ClgTowerEvapNew/Gal_per_CCF</f>
        <v>3.4724174308740897E-3</v>
      </c>
      <c r="E122" s="43">
        <f>ClgTowerFlowNew*Min_per_hr*ClgTowerEvapNew/Gal_per_CCF</f>
        <v>3.4724174308740897E-3</v>
      </c>
      <c r="F122" s="43">
        <f>ClgTowerFlowNew*Min_per_hr*ClgTowerEvapNew/Gal_per_CCF</f>
        <v>3.4724174308740897E-3</v>
      </c>
      <c r="G122" s="43">
        <f>ClgTowerFlowNew*Min_per_hr*ClgTowerEvapNew/Gal_per_CCF</f>
        <v>3.4724174308740897E-3</v>
      </c>
      <c r="H122" s="43">
        <f>ClgTowerFlowNew*Min_per_hr*ClgTowerEvapNew/Gal_per_CCF</f>
        <v>3.4724174308740897E-3</v>
      </c>
      <c r="I122" s="23" t="s">
        <v>60</v>
      </c>
      <c r="J122"/>
      <c r="K122" s="23" t="s">
        <v>153</v>
      </c>
      <c r="L122" s="3"/>
      <c r="M122" s="3" t="s">
        <v>193</v>
      </c>
      <c r="N122" s="3"/>
    </row>
    <row r="123" spans="2:14" x14ac:dyDescent="0.25">
      <c r="M123" s="3"/>
      <c r="N123" s="3"/>
    </row>
    <row r="124" spans="2:14" s="1" customFormat="1" ht="15.75" thickBot="1" x14ac:dyDescent="0.3">
      <c r="B124" s="20" t="s">
        <v>162</v>
      </c>
      <c r="C124" s="20"/>
      <c r="D124" s="20"/>
      <c r="E124" s="20"/>
      <c r="F124" s="20"/>
      <c r="G124" s="20"/>
      <c r="H124" s="20"/>
      <c r="I124" s="20"/>
      <c r="J124" s="20"/>
      <c r="K124" s="20"/>
      <c r="L124" s="3"/>
      <c r="M124" s="3"/>
      <c r="N124" s="3"/>
    </row>
    <row r="125" spans="2:14" s="1" customFormat="1" x14ac:dyDescent="0.25">
      <c r="B125" t="s">
        <v>141</v>
      </c>
      <c r="C125" t="s">
        <v>163</v>
      </c>
      <c r="D125" s="38">
        <f>1/Btuh_per_W*(1/Btu_per_kBtu)/(ElecSteamGenEffNew/Enthalpy)/BldgHtgEffNew</f>
        <v>0.31500358844294063</v>
      </c>
      <c r="E125" s="38">
        <f>1/Btuh_per_W*(1/Btu_per_kBtu)/(ElecSteamGenEffNew/Enthalpy)/BldgHtgEffNew</f>
        <v>0.31500358844294063</v>
      </c>
      <c r="F125" s="38">
        <f>1/Btuh_per_W*(1/Btu_per_kBtu)/(ElecSteamGenEffNew/Enthalpy)/BldgHtgEffNew</f>
        <v>0.31500358844294063</v>
      </c>
      <c r="G125" s="38">
        <f>1/Btuh_per_W*(1/Btu_per_kBtu)/(ElecSteamGenEffNew/Enthalpy)/BldgHtgEffNew</f>
        <v>0.31500358844294063</v>
      </c>
      <c r="H125" s="38">
        <f>1/Btuh_per_W*(1/Btu_per_kBtu)/(ElecSteamGenEffNew/Enthalpy)/BldgHtgEffNew</f>
        <v>0.31500358844294063</v>
      </c>
      <c r="I125" s="23" t="s">
        <v>60</v>
      </c>
      <c r="J125"/>
      <c r="K125" s="23" t="s">
        <v>153</v>
      </c>
      <c r="L125" s="3"/>
      <c r="M125" s="3" t="s">
        <v>194</v>
      </c>
      <c r="N125" s="3"/>
    </row>
    <row r="126" spans="2:14" s="1" customFormat="1" x14ac:dyDescent="0.25">
      <c r="B126" t="s">
        <v>136</v>
      </c>
      <c r="C126" t="s">
        <v>165</v>
      </c>
      <c r="D126" s="17">
        <v>0</v>
      </c>
      <c r="E126" s="17">
        <v>0</v>
      </c>
      <c r="F126" s="17">
        <v>0</v>
      </c>
      <c r="G126" s="17">
        <v>0</v>
      </c>
      <c r="H126" s="17">
        <v>0</v>
      </c>
      <c r="I126" s="23" t="s">
        <v>60</v>
      </c>
      <c r="J126"/>
      <c r="K126" s="23" t="s">
        <v>186</v>
      </c>
      <c r="L126" s="3"/>
      <c r="M126" s="3" t="s">
        <v>195</v>
      </c>
      <c r="N126" s="3"/>
    </row>
    <row r="127" spans="2:14" s="1" customFormat="1" x14ac:dyDescent="0.25">
      <c r="B127" t="s">
        <v>154</v>
      </c>
      <c r="C127" t="s">
        <v>166</v>
      </c>
      <c r="D127" s="48">
        <f>1/SteamDensity/ft3_per_ccf/(1-BldgSteamLossNew)</f>
        <v>1.6862610197157637E-4</v>
      </c>
      <c r="E127" s="48">
        <f>1/SteamDensity/ft3_per_ccf/(1-BldgSteamLossNew)</f>
        <v>1.6862610197157637E-4</v>
      </c>
      <c r="F127" s="48">
        <f>1/SteamDensity/ft3_per_ccf/(1-BldgSteamLossNew)</f>
        <v>1.6862610197157637E-4</v>
      </c>
      <c r="G127" s="48">
        <f>1/SteamDensity/ft3_per_ccf/(1-BldgSteamLossNew)</f>
        <v>1.6862610197157637E-4</v>
      </c>
      <c r="H127" s="48">
        <f>1/SteamDensity/ft3_per_ccf/(1-BldgSteamLossNew)</f>
        <v>1.6862610197157637E-4</v>
      </c>
      <c r="I127" s="23" t="s">
        <v>60</v>
      </c>
      <c r="J127"/>
      <c r="K127" s="23"/>
      <c r="L127" s="3"/>
      <c r="M127" s="3" t="s">
        <v>196</v>
      </c>
      <c r="N127" s="3"/>
    </row>
    <row r="128" spans="2:14" x14ac:dyDescent="0.25">
      <c r="M128" s="3"/>
      <c r="N128" s="3"/>
    </row>
    <row r="129" spans="2:14" s="1" customFormat="1" ht="15.75" thickBot="1" x14ac:dyDescent="0.3">
      <c r="B129" s="20" t="s">
        <v>141</v>
      </c>
      <c r="C129" s="20"/>
      <c r="D129" s="20"/>
      <c r="E129" s="20"/>
      <c r="F129" s="20"/>
      <c r="G129" s="20"/>
      <c r="H129" s="20"/>
      <c r="I129" s="20"/>
      <c r="J129" s="20"/>
      <c r="K129" s="20"/>
      <c r="L129" s="3"/>
      <c r="M129" s="3"/>
      <c r="N129" s="3"/>
    </row>
    <row r="130" spans="2:14" s="1" customFormat="1" x14ac:dyDescent="0.25">
      <c r="B130" t="s">
        <v>141</v>
      </c>
      <c r="C130" t="s">
        <v>167</v>
      </c>
      <c r="D130" s="42">
        <f>1+TransfLossNew</f>
        <v>1.02</v>
      </c>
      <c r="E130" s="42">
        <f>1+TransfLossNew</f>
        <v>1.02</v>
      </c>
      <c r="F130" s="42">
        <f>1+TransfLossNew</f>
        <v>1.02</v>
      </c>
      <c r="G130" s="42">
        <f>1+TransfLossNew</f>
        <v>1.02</v>
      </c>
      <c r="H130" s="42">
        <f>1+TransfLossNew</f>
        <v>1.02</v>
      </c>
      <c r="I130" s="23" t="s">
        <v>60</v>
      </c>
      <c r="J130"/>
      <c r="K130" s="23" t="s">
        <v>187</v>
      </c>
      <c r="L130" s="3"/>
      <c r="M130" s="3" t="s">
        <v>197</v>
      </c>
      <c r="N130" s="3"/>
    </row>
    <row r="132" spans="2:14" s="1" customFormat="1" ht="15.75" thickBot="1" x14ac:dyDescent="0.3">
      <c r="B132" s="20" t="s">
        <v>168</v>
      </c>
      <c r="C132" s="20"/>
      <c r="D132" s="20"/>
      <c r="E132" s="20"/>
      <c r="F132" s="20"/>
      <c r="G132" s="20"/>
      <c r="H132" s="20"/>
      <c r="I132" s="20"/>
      <c r="J132" s="20"/>
      <c r="K132" s="20"/>
      <c r="L132" s="3"/>
    </row>
    <row r="133" spans="2:14" s="1" customFormat="1" x14ac:dyDescent="0.25">
      <c r="B133" t="s">
        <v>141</v>
      </c>
      <c r="C133" t="s">
        <v>109</v>
      </c>
      <c r="D133" s="23"/>
      <c r="E133" s="23"/>
      <c r="F133" s="23"/>
      <c r="G133" s="23"/>
      <c r="H133" s="23"/>
      <c r="I133" s="23"/>
      <c r="J133"/>
      <c r="K133" s="23"/>
      <c r="L133" s="3"/>
    </row>
    <row r="134" spans="2:14" s="1" customFormat="1" x14ac:dyDescent="0.25">
      <c r="B134" t="s">
        <v>136</v>
      </c>
      <c r="C134" t="s">
        <v>169</v>
      </c>
      <c r="D134" s="23"/>
      <c r="E134" s="23"/>
      <c r="F134" s="23"/>
      <c r="G134" s="23"/>
      <c r="H134" s="23"/>
      <c r="I134" s="23"/>
      <c r="J134"/>
      <c r="K134" s="23"/>
      <c r="L134" s="3"/>
    </row>
    <row r="135" spans="2:14" s="1" customFormat="1" x14ac:dyDescent="0.25">
      <c r="B135" t="s">
        <v>154</v>
      </c>
      <c r="C135" t="s">
        <v>170</v>
      </c>
      <c r="D135" s="23"/>
      <c r="E135" s="23"/>
      <c r="F135" s="23"/>
      <c r="G135" s="23"/>
      <c r="H135" s="23"/>
      <c r="I135" s="17"/>
      <c r="J135"/>
      <c r="K135" s="23"/>
      <c r="L135" s="3"/>
    </row>
    <row r="138" spans="2:14" s="1" customFormat="1" ht="20.25" thickBot="1" x14ac:dyDescent="0.35">
      <c r="B138" s="18" t="s">
        <v>198</v>
      </c>
      <c r="C138" s="18"/>
      <c r="D138" s="18"/>
      <c r="E138" s="18"/>
      <c r="F138" s="18"/>
      <c r="G138" s="18"/>
      <c r="H138" s="18"/>
      <c r="I138" s="18"/>
      <c r="J138" s="18"/>
      <c r="K138" s="18"/>
      <c r="L138" s="3"/>
    </row>
    <row r="139" spans="2:14" s="1" customFormat="1" ht="18" thickTop="1" thickBot="1" x14ac:dyDescent="0.3">
      <c r="B139" s="19" t="s">
        <v>12</v>
      </c>
      <c r="C139" s="19" t="s">
        <v>13</v>
      </c>
      <c r="D139" s="19" t="s">
        <v>14</v>
      </c>
      <c r="E139" s="19"/>
      <c r="F139" s="19"/>
      <c r="G139" s="19"/>
      <c r="H139" s="19"/>
      <c r="I139" s="19"/>
      <c r="J139" s="19"/>
      <c r="K139" s="19" t="s">
        <v>15</v>
      </c>
      <c r="L139" s="3"/>
    </row>
    <row r="140" spans="2:14" s="1" customFormat="1" ht="16.5" thickTop="1" thickBot="1" x14ac:dyDescent="0.3">
      <c r="B140" s="20" t="s">
        <v>143</v>
      </c>
      <c r="C140" s="20"/>
      <c r="D140" s="20" t="s">
        <v>144</v>
      </c>
      <c r="E140" s="20" t="s">
        <v>145</v>
      </c>
      <c r="F140" s="20" t="s">
        <v>146</v>
      </c>
      <c r="G140" s="20" t="s">
        <v>147</v>
      </c>
      <c r="H140" s="20" t="s">
        <v>148</v>
      </c>
      <c r="I140" s="20" t="s">
        <v>149</v>
      </c>
      <c r="J140" s="20"/>
      <c r="K140" s="20"/>
      <c r="L140" s="3"/>
    </row>
    <row r="141" spans="2:14" s="1" customFormat="1" x14ac:dyDescent="0.25">
      <c r="B141" t="s">
        <v>141</v>
      </c>
      <c r="C141" t="s">
        <v>150</v>
      </c>
      <c r="D141" s="23" t="s">
        <v>60</v>
      </c>
      <c r="E141" s="23" t="s">
        <v>60</v>
      </c>
      <c r="F141" s="23" t="s">
        <v>60</v>
      </c>
      <c r="G141" s="23" t="s">
        <v>60</v>
      </c>
      <c r="H141" s="23" t="s">
        <v>60</v>
      </c>
      <c r="I141" s="17">
        <v>0</v>
      </c>
      <c r="J141"/>
      <c r="K141" s="23" t="s">
        <v>151</v>
      </c>
      <c r="L141" s="3"/>
    </row>
    <row r="142" spans="2:14" s="1" customFormat="1" x14ac:dyDescent="0.25">
      <c r="B142" t="s">
        <v>136</v>
      </c>
      <c r="C142" t="s">
        <v>152</v>
      </c>
      <c r="D142" s="23" t="s">
        <v>60</v>
      </c>
      <c r="E142" s="23" t="s">
        <v>60</v>
      </c>
      <c r="F142" s="23" t="s">
        <v>60</v>
      </c>
      <c r="G142" s="23" t="s">
        <v>60</v>
      </c>
      <c r="H142" s="23" t="s">
        <v>60</v>
      </c>
      <c r="I142" s="38">
        <f>1/Btu_per_therm/(CogenEffNew/(Btu_per_kBtu*Btu_per_kBtu))/BldgHtgEffNew/(1-DistSteamLossNew)</f>
        <v>16.44736842105263</v>
      </c>
      <c r="J142"/>
      <c r="K142" s="23" t="s">
        <v>153</v>
      </c>
      <c r="L142" s="3"/>
    </row>
    <row r="143" spans="2:14" s="1" customFormat="1" x14ac:dyDescent="0.25">
      <c r="B143" t="s">
        <v>154</v>
      </c>
      <c r="C143" t="s">
        <v>155</v>
      </c>
      <c r="D143" s="23" t="s">
        <v>60</v>
      </c>
      <c r="E143" s="23" t="s">
        <v>60</v>
      </c>
      <c r="F143" s="23" t="s">
        <v>60</v>
      </c>
      <c r="G143" s="23" t="s">
        <v>60</v>
      </c>
      <c r="H143" s="23" t="s">
        <v>60</v>
      </c>
      <c r="I143" s="43">
        <f>1/HtgDeltaTNew/Btu_per_Fgpm/Gal_per_CCF*Min_per_hr*Btu_per_kBtu*Btu_per_kBtu*HtgMakeupNew*(1+CogenWaterLossNew)</f>
        <v>3.6353916065223206E-3</v>
      </c>
      <c r="J143"/>
      <c r="K143" s="23" t="s">
        <v>153</v>
      </c>
      <c r="L143" s="3"/>
    </row>
    <row r="145" spans="2:12" s="1" customFormat="1" ht="15.75" thickBot="1" x14ac:dyDescent="0.3">
      <c r="B145" s="20" t="s">
        <v>157</v>
      </c>
      <c r="C145" s="20"/>
      <c r="D145" s="20"/>
      <c r="E145" s="20"/>
      <c r="F145" s="20"/>
      <c r="G145" s="20"/>
      <c r="H145" s="20"/>
      <c r="I145" s="20"/>
      <c r="J145" s="20"/>
      <c r="K145" s="20"/>
      <c r="L145" s="3"/>
    </row>
    <row r="146" spans="2:12" s="1" customFormat="1" x14ac:dyDescent="0.25">
      <c r="B146" t="s">
        <v>141</v>
      </c>
      <c r="C146" t="s">
        <v>74</v>
      </c>
      <c r="D146" s="23" t="s">
        <v>60</v>
      </c>
      <c r="E146" s="23" t="s">
        <v>60</v>
      </c>
      <c r="F146" s="23" t="s">
        <v>60</v>
      </c>
      <c r="G146" s="23" t="s">
        <v>60</v>
      </c>
      <c r="H146" s="23" t="s">
        <v>60</v>
      </c>
      <c r="I146" s="35">
        <f>AbsChillerSplit*ElecChillerEffNew+ElecChillerEffExstg*(1-AbsChillerSplit)</f>
        <v>1.107</v>
      </c>
      <c r="J146"/>
      <c r="K146" s="23" t="s">
        <v>199</v>
      </c>
      <c r="L146" s="3"/>
    </row>
    <row r="147" spans="2:12" s="1" customFormat="1" x14ac:dyDescent="0.25">
      <c r="B147" t="s">
        <v>154</v>
      </c>
      <c r="C147" t="s">
        <v>161</v>
      </c>
      <c r="D147" s="23" t="s">
        <v>60</v>
      </c>
      <c r="E147" s="23" t="s">
        <v>60</v>
      </c>
      <c r="F147" s="23" t="s">
        <v>60</v>
      </c>
      <c r="G147" s="23" t="s">
        <v>60</v>
      </c>
      <c r="H147" s="23" t="s">
        <v>60</v>
      </c>
      <c r="I147" s="43">
        <f>ClgTowerFlowExstg*Min_per_hr*ClgTowerEvapExstg/Gal_per_CCF</f>
        <v>5.2086261463111351E-3</v>
      </c>
      <c r="J147"/>
      <c r="K147" s="23"/>
      <c r="L147" s="3"/>
    </row>
    <row r="149" spans="2:12" s="1" customFormat="1" ht="15.75" thickBot="1" x14ac:dyDescent="0.3">
      <c r="B149" s="20" t="s">
        <v>162</v>
      </c>
      <c r="C149" s="20"/>
      <c r="D149" s="20"/>
      <c r="E149" s="20"/>
      <c r="F149" s="20"/>
      <c r="G149" s="20"/>
      <c r="H149" s="20"/>
      <c r="I149" s="20"/>
      <c r="J149" s="20"/>
      <c r="K149" s="20"/>
      <c r="L149" s="3"/>
    </row>
    <row r="150" spans="2:12" s="1" customFormat="1" x14ac:dyDescent="0.25">
      <c r="B150" t="s">
        <v>141</v>
      </c>
      <c r="C150" t="s">
        <v>163</v>
      </c>
      <c r="D150" s="23" t="s">
        <v>60</v>
      </c>
      <c r="E150" s="23" t="s">
        <v>60</v>
      </c>
      <c r="F150" s="23" t="s">
        <v>60</v>
      </c>
      <c r="G150" s="23" t="s">
        <v>60</v>
      </c>
      <c r="H150" s="23" t="s">
        <v>60</v>
      </c>
      <c r="I150" s="17">
        <v>0</v>
      </c>
      <c r="J150"/>
      <c r="K150" s="23" t="s">
        <v>164</v>
      </c>
      <c r="L150" s="3"/>
    </row>
    <row r="151" spans="2:12" s="1" customFormat="1" x14ac:dyDescent="0.25">
      <c r="B151" t="s">
        <v>136</v>
      </c>
      <c r="C151" t="s">
        <v>165</v>
      </c>
      <c r="D151" s="23" t="s">
        <v>60</v>
      </c>
      <c r="E151" s="23" t="s">
        <v>60</v>
      </c>
      <c r="F151" s="23" t="s">
        <v>60</v>
      </c>
      <c r="G151" s="23" t="s">
        <v>60</v>
      </c>
      <c r="H151" s="23" t="s">
        <v>60</v>
      </c>
      <c r="I151" s="38">
        <f>1/Btu_per_therm/(GasSteamGenEffNew/Enthalpy)/BldgHtgEffNew</f>
        <v>1.1872705018359856E-2</v>
      </c>
      <c r="J151"/>
      <c r="K151" s="23" t="s">
        <v>153</v>
      </c>
      <c r="L151" s="3"/>
    </row>
    <row r="152" spans="2:12" s="1" customFormat="1" x14ac:dyDescent="0.25">
      <c r="B152" t="s">
        <v>154</v>
      </c>
      <c r="C152" t="s">
        <v>166</v>
      </c>
      <c r="D152" s="23" t="s">
        <v>60</v>
      </c>
      <c r="E152" s="23" t="s">
        <v>60</v>
      </c>
      <c r="F152" s="23" t="s">
        <v>60</v>
      </c>
      <c r="G152" s="23" t="s">
        <v>60</v>
      </c>
      <c r="H152" s="23" t="s">
        <v>60</v>
      </c>
      <c r="I152" s="48">
        <f>1/SteamDensity/ft3_per_ccf/(1-BldgSteamLossNew)</f>
        <v>1.6862610197157637E-4</v>
      </c>
      <c r="J152"/>
      <c r="K152" s="23"/>
      <c r="L152" s="3"/>
    </row>
    <row r="154" spans="2:12" s="1" customFormat="1" ht="15.75" thickBot="1" x14ac:dyDescent="0.3">
      <c r="B154" s="20" t="s">
        <v>141</v>
      </c>
      <c r="C154" s="20"/>
      <c r="D154" s="20"/>
      <c r="E154" s="20"/>
      <c r="F154" s="20"/>
      <c r="G154" s="20"/>
      <c r="H154" s="20"/>
      <c r="I154" s="20"/>
      <c r="J154" s="20"/>
      <c r="K154" s="20"/>
      <c r="L154" s="3"/>
    </row>
    <row r="155" spans="2:12" s="1" customFormat="1" x14ac:dyDescent="0.25">
      <c r="B155" t="s">
        <v>141</v>
      </c>
      <c r="C155" t="s">
        <v>167</v>
      </c>
      <c r="D155" s="23" t="s">
        <v>60</v>
      </c>
      <c r="E155" s="23" t="s">
        <v>60</v>
      </c>
      <c r="F155" s="23" t="s">
        <v>60</v>
      </c>
      <c r="G155" s="23" t="s">
        <v>60</v>
      </c>
      <c r="H155" s="23" t="s">
        <v>60</v>
      </c>
      <c r="I155" s="42">
        <f>1+TransfLossExstg</f>
        <v>1.05</v>
      </c>
      <c r="J155"/>
      <c r="K155" s="23" t="s">
        <v>153</v>
      </c>
      <c r="L155" s="3"/>
    </row>
    <row r="157" spans="2:12" s="1" customFormat="1" ht="15.75" thickBot="1" x14ac:dyDescent="0.3">
      <c r="B157" s="20" t="s">
        <v>168</v>
      </c>
      <c r="C157" s="20"/>
      <c r="D157" s="20"/>
      <c r="E157" s="20"/>
      <c r="F157" s="20"/>
      <c r="G157" s="20"/>
      <c r="H157" s="20"/>
      <c r="I157" s="20"/>
      <c r="J157" s="20"/>
      <c r="K157" s="20"/>
      <c r="L157" s="3"/>
    </row>
    <row r="158" spans="2:12" s="1" customFormat="1" x14ac:dyDescent="0.25">
      <c r="B158" t="s">
        <v>141</v>
      </c>
      <c r="C158" t="s">
        <v>109</v>
      </c>
      <c r="D158" s="23"/>
      <c r="E158" s="23"/>
      <c r="F158" s="23"/>
      <c r="G158" s="23"/>
      <c r="H158" s="23"/>
      <c r="I158" s="23"/>
      <c r="J158"/>
      <c r="K158" s="23"/>
      <c r="L158" s="3"/>
    </row>
    <row r="159" spans="2:12" s="1" customFormat="1" x14ac:dyDescent="0.25">
      <c r="B159" t="s">
        <v>136</v>
      </c>
      <c r="C159" t="s">
        <v>169</v>
      </c>
      <c r="D159" s="23"/>
      <c r="E159" s="23"/>
      <c r="F159" s="23"/>
      <c r="G159" s="23"/>
      <c r="H159" s="23"/>
      <c r="I159" s="23"/>
      <c r="J159"/>
      <c r="K159" s="23"/>
      <c r="L159" s="3"/>
    </row>
    <row r="160" spans="2:12" s="1" customFormat="1" x14ac:dyDescent="0.25">
      <c r="B160" t="s">
        <v>154</v>
      </c>
      <c r="C160" t="s">
        <v>170</v>
      </c>
      <c r="D160" s="23"/>
      <c r="E160" s="23"/>
      <c r="F160" s="23"/>
      <c r="G160" s="23"/>
      <c r="H160" s="23"/>
      <c r="I160" s="17"/>
      <c r="J160"/>
      <c r="K160" s="23"/>
      <c r="L160" s="3"/>
    </row>
    <row r="163" spans="2:12" s="1" customFormat="1" ht="20.25" thickBot="1" x14ac:dyDescent="0.35">
      <c r="B163" s="18" t="s">
        <v>200</v>
      </c>
      <c r="C163" s="18"/>
      <c r="D163" s="18"/>
      <c r="E163" s="18"/>
      <c r="F163" s="18"/>
      <c r="G163" s="18"/>
      <c r="H163" s="18"/>
      <c r="I163" s="18"/>
      <c r="J163" s="18"/>
      <c r="K163" s="18"/>
      <c r="L163" s="3"/>
    </row>
    <row r="164" spans="2:12" s="1" customFormat="1" ht="18" thickTop="1" thickBot="1" x14ac:dyDescent="0.3">
      <c r="B164" s="19" t="s">
        <v>12</v>
      </c>
      <c r="C164" s="19" t="s">
        <v>13</v>
      </c>
      <c r="D164" s="19" t="s">
        <v>14</v>
      </c>
      <c r="E164" s="19"/>
      <c r="F164" s="19"/>
      <c r="G164" s="19"/>
      <c r="H164" s="19"/>
      <c r="I164" s="19"/>
      <c r="J164" s="19"/>
      <c r="K164" s="19" t="s">
        <v>15</v>
      </c>
      <c r="L164" s="3"/>
    </row>
    <row r="165" spans="2:12" s="1" customFormat="1" ht="16.5" thickTop="1" thickBot="1" x14ac:dyDescent="0.3">
      <c r="B165" s="20" t="s">
        <v>143</v>
      </c>
      <c r="C165" s="20"/>
      <c r="D165" s="20" t="s">
        <v>144</v>
      </c>
      <c r="E165" s="20" t="s">
        <v>145</v>
      </c>
      <c r="F165" s="20" t="s">
        <v>146</v>
      </c>
      <c r="G165" s="20" t="s">
        <v>147</v>
      </c>
      <c r="H165" s="20" t="s">
        <v>148</v>
      </c>
      <c r="I165" s="20" t="s">
        <v>149</v>
      </c>
      <c r="J165" s="20"/>
      <c r="K165" s="20"/>
      <c r="L165" s="3"/>
    </row>
    <row r="166" spans="2:12" s="1" customFormat="1" x14ac:dyDescent="0.25">
      <c r="B166" t="s">
        <v>141</v>
      </c>
      <c r="C166" t="s">
        <v>150</v>
      </c>
      <c r="D166" s="23" t="s">
        <v>60</v>
      </c>
      <c r="E166" s="23" t="s">
        <v>60</v>
      </c>
      <c r="F166" s="23" t="s">
        <v>60</v>
      </c>
      <c r="G166" s="23" t="s">
        <v>60</v>
      </c>
      <c r="H166" s="23" t="s">
        <v>60</v>
      </c>
      <c r="I166" s="17">
        <v>0</v>
      </c>
      <c r="J166"/>
      <c r="K166" s="23" t="s">
        <v>151</v>
      </c>
    </row>
    <row r="167" spans="2:12" s="1" customFormat="1" x14ac:dyDescent="0.25">
      <c r="B167" t="s">
        <v>136</v>
      </c>
      <c r="C167" t="s">
        <v>152</v>
      </c>
      <c r="D167" s="23" t="s">
        <v>60</v>
      </c>
      <c r="E167" s="23" t="s">
        <v>60</v>
      </c>
      <c r="F167" s="23" t="s">
        <v>60</v>
      </c>
      <c r="G167" s="23" t="s">
        <v>60</v>
      </c>
      <c r="H167" s="23" t="s">
        <v>60</v>
      </c>
      <c r="I167" s="43">
        <f>1/(GasBoilerEffNew)*(1/Btu_per_therm)*(Btu_per_kBtu*Btu_per_kBtu)/(1-DistHHWLossNew)/BldgHtgEffNew</f>
        <v>11.795512986859801</v>
      </c>
      <c r="J167"/>
      <c r="K167" s="23" t="s">
        <v>153</v>
      </c>
    </row>
    <row r="168" spans="2:12" s="1" customFormat="1" x14ac:dyDescent="0.25">
      <c r="B168" t="s">
        <v>154</v>
      </c>
      <c r="C168" t="s">
        <v>155</v>
      </c>
      <c r="D168" s="23" t="s">
        <v>60</v>
      </c>
      <c r="E168" s="23" t="s">
        <v>60</v>
      </c>
      <c r="F168" s="23" t="s">
        <v>60</v>
      </c>
      <c r="G168" s="23" t="s">
        <v>60</v>
      </c>
      <c r="H168" s="23" t="s">
        <v>60</v>
      </c>
      <c r="I168" s="43">
        <f>1/HtgDeltaTNew/Btu_per_Fgpm/Gal_per_CCF*Min_per_hr*Btu_per_kBtu*Btu_per_kBtu*HtgMakeupNew</f>
        <v>3.5641094181591377E-3</v>
      </c>
      <c r="J168"/>
      <c r="K168" s="23" t="s">
        <v>153</v>
      </c>
    </row>
    <row r="169" spans="2:12" x14ac:dyDescent="0.25">
      <c r="L169" s="1"/>
    </row>
    <row r="170" spans="2:12" s="1" customFormat="1" ht="15.75" thickBot="1" x14ac:dyDescent="0.3">
      <c r="B170" s="20" t="s">
        <v>157</v>
      </c>
      <c r="C170" s="20"/>
      <c r="D170" s="20"/>
      <c r="E170" s="20"/>
      <c r="F170" s="20"/>
      <c r="G170" s="20"/>
      <c r="H170" s="20"/>
      <c r="I170" s="20"/>
      <c r="J170" s="20"/>
      <c r="K170" s="20"/>
    </row>
    <row r="171" spans="2:12" s="1" customFormat="1" x14ac:dyDescent="0.25">
      <c r="B171" t="s">
        <v>141</v>
      </c>
      <c r="C171" t="s">
        <v>74</v>
      </c>
      <c r="D171" s="23" t="s">
        <v>60</v>
      </c>
      <c r="E171" s="23" t="s">
        <v>60</v>
      </c>
      <c r="F171" s="23" t="s">
        <v>60</v>
      </c>
      <c r="G171" s="23" t="s">
        <v>60</v>
      </c>
      <c r="H171" s="23" t="s">
        <v>60</v>
      </c>
      <c r="I171" s="35">
        <f>AbsChillerSplit*ElecChillerEffNew+ElecChillerEffExstg*(1-AbsChillerSplit)</f>
        <v>1.107</v>
      </c>
      <c r="J171"/>
      <c r="K171" s="23" t="s">
        <v>199</v>
      </c>
    </row>
    <row r="172" spans="2:12" s="1" customFormat="1" x14ac:dyDescent="0.25">
      <c r="B172" t="s">
        <v>154</v>
      </c>
      <c r="C172" t="s">
        <v>161</v>
      </c>
      <c r="D172" s="23" t="s">
        <v>60</v>
      </c>
      <c r="E172" s="23" t="s">
        <v>60</v>
      </c>
      <c r="F172" s="23" t="s">
        <v>60</v>
      </c>
      <c r="G172" s="23" t="s">
        <v>60</v>
      </c>
      <c r="H172" s="23" t="s">
        <v>60</v>
      </c>
      <c r="I172" s="43">
        <f>ClgTowerFlowExstg*Min_per_hr*ClgTowerEvapExstg/Gal_per_CCF</f>
        <v>5.2086261463111351E-3</v>
      </c>
      <c r="J172"/>
      <c r="K172" s="23"/>
    </row>
    <row r="173" spans="2:12" x14ac:dyDescent="0.25">
      <c r="L173" s="1"/>
    </row>
    <row r="174" spans="2:12" s="1" customFormat="1" ht="15.75" thickBot="1" x14ac:dyDescent="0.3">
      <c r="B174" s="20" t="s">
        <v>162</v>
      </c>
      <c r="C174" s="20"/>
      <c r="D174" s="20"/>
      <c r="E174" s="20"/>
      <c r="F174" s="20"/>
      <c r="G174" s="20"/>
      <c r="H174" s="20"/>
      <c r="I174" s="20"/>
      <c r="J174" s="20"/>
      <c r="K174" s="20"/>
    </row>
    <row r="175" spans="2:12" s="1" customFormat="1" x14ac:dyDescent="0.25">
      <c r="B175" t="s">
        <v>141</v>
      </c>
      <c r="C175" t="s">
        <v>163</v>
      </c>
      <c r="D175" s="23" t="s">
        <v>60</v>
      </c>
      <c r="E175" s="23" t="s">
        <v>60</v>
      </c>
      <c r="F175" s="23" t="s">
        <v>60</v>
      </c>
      <c r="G175" s="23" t="s">
        <v>60</v>
      </c>
      <c r="H175" s="23" t="s">
        <v>60</v>
      </c>
      <c r="I175" s="38">
        <f>1/Btuh_per_W*(1/Btu_per_kBtu)/(ElecSteamGenEffNew/Enthalpy)/BldgHtgEffNew</f>
        <v>0.31500358844294063</v>
      </c>
      <c r="J175"/>
      <c r="K175" s="23" t="s">
        <v>153</v>
      </c>
    </row>
    <row r="176" spans="2:12" s="1" customFormat="1" x14ac:dyDescent="0.25">
      <c r="B176" t="s">
        <v>136</v>
      </c>
      <c r="C176" t="s">
        <v>165</v>
      </c>
      <c r="D176" s="23" t="s">
        <v>60</v>
      </c>
      <c r="E176" s="23" t="s">
        <v>60</v>
      </c>
      <c r="F176" s="23" t="s">
        <v>60</v>
      </c>
      <c r="G176" s="23" t="s">
        <v>60</v>
      </c>
      <c r="H176" s="23" t="s">
        <v>60</v>
      </c>
      <c r="I176" s="17">
        <v>0</v>
      </c>
      <c r="J176"/>
      <c r="K176" s="23" t="s">
        <v>201</v>
      </c>
    </row>
    <row r="177" spans="2:12" s="1" customFormat="1" x14ac:dyDescent="0.25">
      <c r="B177" t="s">
        <v>154</v>
      </c>
      <c r="C177" t="s">
        <v>166</v>
      </c>
      <c r="D177" s="23" t="s">
        <v>60</v>
      </c>
      <c r="E177" s="23" t="s">
        <v>60</v>
      </c>
      <c r="F177" s="23" t="s">
        <v>60</v>
      </c>
      <c r="G177" s="23" t="s">
        <v>60</v>
      </c>
      <c r="H177" s="23" t="s">
        <v>60</v>
      </c>
      <c r="I177" s="48">
        <f>1/SteamDensity/ft3_per_ccf/(1-BldgSteamLossNew)</f>
        <v>1.6862610197157637E-4</v>
      </c>
      <c r="J177"/>
      <c r="K177" s="23"/>
    </row>
    <row r="178" spans="2:12" x14ac:dyDescent="0.25">
      <c r="L178" s="1"/>
    </row>
    <row r="179" spans="2:12" s="1" customFormat="1" ht="15.75" thickBot="1" x14ac:dyDescent="0.3">
      <c r="B179" s="20" t="s">
        <v>141</v>
      </c>
      <c r="C179" s="20"/>
      <c r="D179" s="20"/>
      <c r="E179" s="20"/>
      <c r="F179" s="20"/>
      <c r="G179" s="20"/>
      <c r="H179" s="20"/>
      <c r="I179" s="20"/>
      <c r="J179" s="20"/>
      <c r="K179" s="20"/>
    </row>
    <row r="180" spans="2:12" s="1" customFormat="1" x14ac:dyDescent="0.25">
      <c r="B180" t="s">
        <v>141</v>
      </c>
      <c r="C180" t="s">
        <v>167</v>
      </c>
      <c r="D180" s="23" t="s">
        <v>60</v>
      </c>
      <c r="E180" s="23" t="s">
        <v>60</v>
      </c>
      <c r="F180" s="23" t="s">
        <v>60</v>
      </c>
      <c r="G180" s="23" t="s">
        <v>60</v>
      </c>
      <c r="H180" s="23" t="s">
        <v>60</v>
      </c>
      <c r="I180" s="42">
        <f>1+TransfLossNew</f>
        <v>1.02</v>
      </c>
      <c r="J180"/>
      <c r="K180" s="23" t="s">
        <v>153</v>
      </c>
    </row>
    <row r="181" spans="2:12" x14ac:dyDescent="0.25">
      <c r="L181" s="1"/>
    </row>
    <row r="182" spans="2:12" s="1" customFormat="1" ht="15.75" thickBot="1" x14ac:dyDescent="0.3">
      <c r="B182" s="20" t="s">
        <v>168</v>
      </c>
      <c r="C182" s="20"/>
      <c r="D182" s="20"/>
      <c r="E182" s="20"/>
      <c r="F182" s="20"/>
      <c r="G182" s="20"/>
      <c r="H182" s="20"/>
      <c r="I182" s="20"/>
      <c r="J182" s="20"/>
      <c r="K182" s="20"/>
    </row>
    <row r="183" spans="2:12" s="1" customFormat="1" x14ac:dyDescent="0.25">
      <c r="B183" t="s">
        <v>141</v>
      </c>
      <c r="C183" t="s">
        <v>109</v>
      </c>
      <c r="D183" s="23"/>
      <c r="E183" s="23"/>
      <c r="F183" s="23"/>
      <c r="G183" s="23"/>
      <c r="H183" s="23"/>
      <c r="I183" s="23"/>
      <c r="J183"/>
      <c r="K183" s="23"/>
      <c r="L183" s="3"/>
    </row>
    <row r="184" spans="2:12" s="1" customFormat="1" x14ac:dyDescent="0.25">
      <c r="B184" t="s">
        <v>136</v>
      </c>
      <c r="C184" t="s">
        <v>169</v>
      </c>
      <c r="D184" s="23"/>
      <c r="E184" s="23"/>
      <c r="F184" s="23"/>
      <c r="G184" s="23"/>
      <c r="H184" s="23"/>
      <c r="I184" s="23"/>
      <c r="J184"/>
      <c r="K184" s="23"/>
      <c r="L184" s="3"/>
    </row>
    <row r="185" spans="2:12" s="1" customFormat="1" x14ac:dyDescent="0.25">
      <c r="B185" t="s">
        <v>154</v>
      </c>
      <c r="C185" t="s">
        <v>170</v>
      </c>
      <c r="D185" s="23"/>
      <c r="E185" s="23"/>
      <c r="F185" s="23"/>
      <c r="G185" s="23"/>
      <c r="H185" s="23"/>
      <c r="I185" s="17"/>
      <c r="J185"/>
      <c r="K185" s="23"/>
      <c r="L185" s="3"/>
    </row>
    <row r="188" spans="2:12" s="1" customFormat="1" ht="20.25" thickBot="1" x14ac:dyDescent="0.35">
      <c r="B188" s="18" t="s">
        <v>202</v>
      </c>
      <c r="C188" s="18"/>
      <c r="D188" s="18"/>
      <c r="E188" s="18"/>
      <c r="F188" s="18"/>
      <c r="G188" s="18"/>
      <c r="H188" s="18"/>
      <c r="I188" s="18"/>
      <c r="J188" s="18"/>
      <c r="K188" s="18"/>
      <c r="L188" s="3"/>
    </row>
    <row r="189" spans="2:12" s="1" customFormat="1" ht="18" thickTop="1" thickBot="1" x14ac:dyDescent="0.3">
      <c r="B189" s="19" t="s">
        <v>12</v>
      </c>
      <c r="C189" s="19" t="s">
        <v>13</v>
      </c>
      <c r="D189" s="19" t="s">
        <v>14</v>
      </c>
      <c r="E189" s="19"/>
      <c r="F189" s="19"/>
      <c r="G189" s="19"/>
      <c r="H189" s="19"/>
      <c r="I189" s="19"/>
      <c r="J189" s="19"/>
      <c r="K189" s="19" t="s">
        <v>15</v>
      </c>
      <c r="L189" s="3"/>
    </row>
    <row r="190" spans="2:12" s="1" customFormat="1" ht="16.5" thickTop="1" thickBot="1" x14ac:dyDescent="0.3">
      <c r="B190" s="20" t="s">
        <v>143</v>
      </c>
      <c r="C190" s="20"/>
      <c r="D190" s="20" t="s">
        <v>144</v>
      </c>
      <c r="E190" s="20" t="s">
        <v>145</v>
      </c>
      <c r="F190" s="20" t="s">
        <v>146</v>
      </c>
      <c r="G190" s="20" t="s">
        <v>147</v>
      </c>
      <c r="H190" s="20" t="s">
        <v>148</v>
      </c>
      <c r="I190" s="20" t="s">
        <v>149</v>
      </c>
      <c r="J190" s="20"/>
      <c r="K190" s="20"/>
      <c r="L190" s="3"/>
    </row>
    <row r="191" spans="2:12" s="1" customFormat="1" x14ac:dyDescent="0.25">
      <c r="B191" t="s">
        <v>141</v>
      </c>
      <c r="C191" t="s">
        <v>150</v>
      </c>
      <c r="D191" s="23" t="s">
        <v>60</v>
      </c>
      <c r="E191" s="23" t="s">
        <v>60</v>
      </c>
      <c r="F191" s="23" t="s">
        <v>60</v>
      </c>
      <c r="G191" s="23" t="s">
        <v>60</v>
      </c>
      <c r="H191" s="23" t="s">
        <v>60</v>
      </c>
      <c r="I191" s="35">
        <f>1/ElecBoilerEffNew*(1/Btuh_per_W)*(1/Btu_per_kBtu)*(Btu_per_kBtu*Btu_per_kBtu)/(1-DistHHWLossNew)/BldgHtgEffNew</f>
        <v>321.26280234676835</v>
      </c>
      <c r="J191"/>
      <c r="K191" s="23" t="s">
        <v>153</v>
      </c>
      <c r="L191" s="3"/>
    </row>
    <row r="192" spans="2:12" s="1" customFormat="1" x14ac:dyDescent="0.25">
      <c r="B192" t="s">
        <v>136</v>
      </c>
      <c r="C192" t="s">
        <v>152</v>
      </c>
      <c r="D192" s="23" t="s">
        <v>60</v>
      </c>
      <c r="E192" s="23" t="s">
        <v>60</v>
      </c>
      <c r="F192" s="23" t="s">
        <v>60</v>
      </c>
      <c r="G192" s="23" t="s">
        <v>60</v>
      </c>
      <c r="H192" s="23" t="s">
        <v>60</v>
      </c>
      <c r="I192" s="23">
        <v>0</v>
      </c>
      <c r="J192"/>
      <c r="K192" s="23" t="s">
        <v>185</v>
      </c>
      <c r="L192" s="3"/>
    </row>
    <row r="193" spans="2:12" s="1" customFormat="1" x14ac:dyDescent="0.25">
      <c r="B193" t="s">
        <v>154</v>
      </c>
      <c r="C193" t="s">
        <v>155</v>
      </c>
      <c r="D193" s="23" t="s">
        <v>60</v>
      </c>
      <c r="E193" s="23" t="s">
        <v>60</v>
      </c>
      <c r="F193" s="23" t="s">
        <v>60</v>
      </c>
      <c r="G193" s="23" t="s">
        <v>60</v>
      </c>
      <c r="H193" s="23" t="s">
        <v>60</v>
      </c>
      <c r="I193" s="43">
        <f>1/HtgDeltaTNew/Btu_per_Fgpm/Gal_per_CCF*Min_per_hr*Btu_per_kBtu*Btu_per_kBtu*HtgMakeupNew</f>
        <v>3.5641094181591377E-3</v>
      </c>
      <c r="J193"/>
      <c r="K193" s="23" t="s">
        <v>153</v>
      </c>
      <c r="L193" s="3"/>
    </row>
    <row r="195" spans="2:12" s="1" customFormat="1" ht="15.75" thickBot="1" x14ac:dyDescent="0.3">
      <c r="B195" s="20" t="s">
        <v>157</v>
      </c>
      <c r="C195" s="20"/>
      <c r="D195" s="20"/>
      <c r="E195" s="20"/>
      <c r="F195" s="20"/>
      <c r="G195" s="20"/>
      <c r="H195" s="20"/>
      <c r="I195" s="20"/>
      <c r="J195" s="20"/>
      <c r="K195" s="20"/>
      <c r="L195" s="3"/>
    </row>
    <row r="196" spans="2:12" s="1" customFormat="1" x14ac:dyDescent="0.25">
      <c r="B196" t="s">
        <v>141</v>
      </c>
      <c r="C196" t="s">
        <v>74</v>
      </c>
      <c r="D196" s="23" t="s">
        <v>60</v>
      </c>
      <c r="E196" s="23" t="s">
        <v>60</v>
      </c>
      <c r="F196" s="23" t="s">
        <v>60</v>
      </c>
      <c r="G196" s="23" t="s">
        <v>60</v>
      </c>
      <c r="H196" s="23" t="s">
        <v>60</v>
      </c>
      <c r="I196" s="35">
        <f>AbsChillerSplit*ElecChillerEffNew+ElecChillerEffExstg*(1-AbsChillerSplit)</f>
        <v>1.107</v>
      </c>
      <c r="J196"/>
      <c r="K196" s="23" t="s">
        <v>199</v>
      </c>
      <c r="L196" s="3"/>
    </row>
    <row r="197" spans="2:12" s="1" customFormat="1" x14ac:dyDescent="0.25">
      <c r="B197" t="s">
        <v>154</v>
      </c>
      <c r="C197" t="s">
        <v>161</v>
      </c>
      <c r="D197" s="23" t="s">
        <v>60</v>
      </c>
      <c r="E197" s="23" t="s">
        <v>60</v>
      </c>
      <c r="F197" s="23" t="s">
        <v>60</v>
      </c>
      <c r="G197" s="23" t="s">
        <v>60</v>
      </c>
      <c r="H197" s="23" t="s">
        <v>60</v>
      </c>
      <c r="I197" s="43">
        <f>ClgTowerFlowExstg*Min_per_hr*ClgTowerEvapExstg/Gal_per_CCF</f>
        <v>5.2086261463111351E-3</v>
      </c>
      <c r="J197"/>
      <c r="K197" s="23"/>
      <c r="L197" s="3"/>
    </row>
    <row r="199" spans="2:12" s="1" customFormat="1" ht="15.75" thickBot="1" x14ac:dyDescent="0.3">
      <c r="B199" s="20" t="s">
        <v>162</v>
      </c>
      <c r="C199" s="20"/>
      <c r="D199" s="20"/>
      <c r="E199" s="20"/>
      <c r="F199" s="20"/>
      <c r="G199" s="20"/>
      <c r="H199" s="20"/>
      <c r="I199" s="20"/>
      <c r="J199" s="20"/>
      <c r="K199" s="20"/>
      <c r="L199" s="3"/>
    </row>
    <row r="200" spans="2:12" s="1" customFormat="1" x14ac:dyDescent="0.25">
      <c r="B200" t="s">
        <v>141</v>
      </c>
      <c r="C200" t="s">
        <v>163</v>
      </c>
      <c r="D200" s="23" t="s">
        <v>60</v>
      </c>
      <c r="E200" s="23" t="s">
        <v>60</v>
      </c>
      <c r="F200" s="23" t="s">
        <v>60</v>
      </c>
      <c r="G200" s="23" t="s">
        <v>60</v>
      </c>
      <c r="H200" s="23" t="s">
        <v>60</v>
      </c>
      <c r="I200" s="38">
        <f>1/Btuh_per_W*(1/Btu_per_kBtu)/(ElecSteamGenEffNew/Enthalpy)/BldgHtgEffNew</f>
        <v>0.31500358844294063</v>
      </c>
      <c r="J200"/>
      <c r="K200" s="23" t="s">
        <v>153</v>
      </c>
      <c r="L200" s="3"/>
    </row>
    <row r="201" spans="2:12" s="1" customFormat="1" x14ac:dyDescent="0.25">
      <c r="B201" t="s">
        <v>136</v>
      </c>
      <c r="C201" t="s">
        <v>165</v>
      </c>
      <c r="D201" s="23" t="s">
        <v>60</v>
      </c>
      <c r="E201" s="23" t="s">
        <v>60</v>
      </c>
      <c r="F201" s="23" t="s">
        <v>60</v>
      </c>
      <c r="G201" s="23" t="s">
        <v>60</v>
      </c>
      <c r="H201" s="23" t="s">
        <v>60</v>
      </c>
      <c r="I201" s="17">
        <v>0</v>
      </c>
      <c r="J201"/>
      <c r="K201" s="23" t="s">
        <v>186</v>
      </c>
      <c r="L201" s="3"/>
    </row>
    <row r="202" spans="2:12" s="1" customFormat="1" x14ac:dyDescent="0.25">
      <c r="B202" t="s">
        <v>154</v>
      </c>
      <c r="C202" t="s">
        <v>166</v>
      </c>
      <c r="D202" s="23" t="s">
        <v>60</v>
      </c>
      <c r="E202" s="23" t="s">
        <v>60</v>
      </c>
      <c r="F202" s="23" t="s">
        <v>60</v>
      </c>
      <c r="G202" s="23" t="s">
        <v>60</v>
      </c>
      <c r="H202" s="23" t="s">
        <v>60</v>
      </c>
      <c r="I202" s="48">
        <f>1/SteamDensity/ft3_per_ccf/(1-BldgSteamLossNew)</f>
        <v>1.6862610197157637E-4</v>
      </c>
      <c r="J202"/>
      <c r="K202" s="23"/>
      <c r="L202" s="3"/>
    </row>
    <row r="204" spans="2:12" s="1" customFormat="1" ht="15.75" thickBot="1" x14ac:dyDescent="0.3">
      <c r="B204" s="20" t="s">
        <v>141</v>
      </c>
      <c r="C204" s="20"/>
      <c r="D204" s="20"/>
      <c r="E204" s="20"/>
      <c r="F204" s="20"/>
      <c r="G204" s="20"/>
      <c r="H204" s="20"/>
      <c r="I204" s="20"/>
      <c r="J204" s="20"/>
      <c r="K204" s="20"/>
      <c r="L204" s="3"/>
    </row>
    <row r="205" spans="2:12" s="1" customFormat="1" x14ac:dyDescent="0.25">
      <c r="B205" t="s">
        <v>141</v>
      </c>
      <c r="C205" t="s">
        <v>167</v>
      </c>
      <c r="D205" s="23" t="s">
        <v>60</v>
      </c>
      <c r="E205" s="23" t="s">
        <v>60</v>
      </c>
      <c r="F205" s="23" t="s">
        <v>60</v>
      </c>
      <c r="G205" s="23" t="s">
        <v>60</v>
      </c>
      <c r="H205" s="23" t="s">
        <v>60</v>
      </c>
      <c r="I205" s="42">
        <f>1+TransfLossNew</f>
        <v>1.02</v>
      </c>
      <c r="J205"/>
      <c r="K205" s="23" t="s">
        <v>187</v>
      </c>
      <c r="L205" s="3"/>
    </row>
    <row r="207" spans="2:12" s="1" customFormat="1" ht="15.75" thickBot="1" x14ac:dyDescent="0.3">
      <c r="B207" s="20" t="s">
        <v>168</v>
      </c>
      <c r="C207" s="20"/>
      <c r="D207" s="20"/>
      <c r="E207" s="20"/>
      <c r="F207" s="20"/>
      <c r="G207" s="20"/>
      <c r="H207" s="20"/>
      <c r="I207" s="20"/>
      <c r="J207" s="20"/>
      <c r="K207" s="20"/>
      <c r="L207" s="3"/>
    </row>
    <row r="208" spans="2:12" s="1" customFormat="1" x14ac:dyDescent="0.25">
      <c r="B208" t="s">
        <v>141</v>
      </c>
      <c r="C208" t="s">
        <v>109</v>
      </c>
      <c r="D208" s="23"/>
      <c r="E208" s="23"/>
      <c r="F208" s="23"/>
      <c r="G208" s="23"/>
      <c r="H208" s="23"/>
      <c r="I208" s="23"/>
      <c r="J208"/>
      <c r="K208" s="23"/>
      <c r="L208" s="3"/>
    </row>
    <row r="209" spans="2:12" s="1" customFormat="1" x14ac:dyDescent="0.25">
      <c r="B209" t="s">
        <v>136</v>
      </c>
      <c r="C209" t="s">
        <v>169</v>
      </c>
      <c r="D209" s="23"/>
      <c r="E209" s="23"/>
      <c r="F209" s="23"/>
      <c r="G209" s="23"/>
      <c r="H209" s="23"/>
      <c r="I209" s="23"/>
      <c r="J209"/>
      <c r="K209" s="23"/>
      <c r="L209" s="3"/>
    </row>
    <row r="210" spans="2:12" s="1" customFormat="1" x14ac:dyDescent="0.25">
      <c r="B210" t="s">
        <v>154</v>
      </c>
      <c r="C210" t="s">
        <v>170</v>
      </c>
      <c r="D210" s="23"/>
      <c r="E210" s="23"/>
      <c r="F210" s="23"/>
      <c r="G210" s="23"/>
      <c r="H210" s="23"/>
      <c r="I210" s="17"/>
      <c r="J210"/>
      <c r="K210" s="23"/>
      <c r="L210" s="3"/>
    </row>
    <row r="213" spans="2:12" s="1" customFormat="1" ht="20.25" thickBot="1" x14ac:dyDescent="0.35">
      <c r="B213" s="18" t="s">
        <v>203</v>
      </c>
      <c r="C213" s="18"/>
      <c r="D213" s="18"/>
      <c r="E213" s="18"/>
      <c r="F213" s="18"/>
      <c r="G213" s="18"/>
      <c r="H213" s="18"/>
      <c r="I213" s="18"/>
      <c r="J213" s="18"/>
      <c r="K213" s="18"/>
      <c r="L213" s="3"/>
    </row>
    <row r="214" spans="2:12" s="1" customFormat="1" ht="18" thickTop="1" thickBot="1" x14ac:dyDescent="0.3">
      <c r="B214" s="19" t="s">
        <v>12</v>
      </c>
      <c r="C214" s="19" t="s">
        <v>13</v>
      </c>
      <c r="D214" s="19" t="s">
        <v>14</v>
      </c>
      <c r="E214" s="19"/>
      <c r="F214" s="19"/>
      <c r="G214" s="19"/>
      <c r="H214" s="19"/>
      <c r="I214" s="19"/>
      <c r="J214" s="19"/>
      <c r="K214" s="19" t="s">
        <v>15</v>
      </c>
      <c r="L214" s="3"/>
    </row>
    <row r="215" spans="2:12" s="1" customFormat="1" ht="16.5" thickTop="1" thickBot="1" x14ac:dyDescent="0.3">
      <c r="B215" s="20" t="s">
        <v>143</v>
      </c>
      <c r="C215" s="20"/>
      <c r="D215" s="20" t="s">
        <v>144</v>
      </c>
      <c r="E215" s="20" t="s">
        <v>145</v>
      </c>
      <c r="F215" s="20" t="s">
        <v>146</v>
      </c>
      <c r="G215" s="20" t="s">
        <v>147</v>
      </c>
      <c r="H215" s="20" t="s">
        <v>148</v>
      </c>
      <c r="I215" s="20" t="s">
        <v>149</v>
      </c>
      <c r="J215" s="20"/>
      <c r="K215" s="20"/>
      <c r="L215" s="3"/>
    </row>
    <row r="216" spans="2:12" s="1" customFormat="1" x14ac:dyDescent="0.25">
      <c r="B216" t="s">
        <v>141</v>
      </c>
      <c r="C216" t="s">
        <v>150</v>
      </c>
      <c r="D216" s="23" t="s">
        <v>60</v>
      </c>
      <c r="E216" s="23" t="s">
        <v>60</v>
      </c>
      <c r="F216" s="23" t="s">
        <v>60</v>
      </c>
      <c r="G216" s="23" t="s">
        <v>60</v>
      </c>
      <c r="H216" s="23" t="s">
        <v>60</v>
      </c>
      <c r="I216" s="43">
        <f>1/HP_EERnew*Btu_per_kBtu/(1-DistHHWLossNew)/BldgHtgEffNew</f>
        <v>108.51871947911016</v>
      </c>
      <c r="J216"/>
      <c r="K216" s="23" t="s">
        <v>153</v>
      </c>
      <c r="L216" s="3"/>
    </row>
    <row r="217" spans="2:12" s="1" customFormat="1" x14ac:dyDescent="0.25">
      <c r="B217" t="s">
        <v>136</v>
      </c>
      <c r="C217" t="s">
        <v>152</v>
      </c>
      <c r="D217" s="23" t="s">
        <v>60</v>
      </c>
      <c r="E217" s="23" t="s">
        <v>60</v>
      </c>
      <c r="F217" s="23" t="s">
        <v>60</v>
      </c>
      <c r="G217" s="23" t="s">
        <v>60</v>
      </c>
      <c r="H217" s="23" t="s">
        <v>60</v>
      </c>
      <c r="I217" s="23">
        <v>0</v>
      </c>
      <c r="J217"/>
      <c r="K217" s="23" t="s">
        <v>185</v>
      </c>
      <c r="L217" s="3"/>
    </row>
    <row r="218" spans="2:12" s="1" customFormat="1" x14ac:dyDescent="0.25">
      <c r="B218" t="s">
        <v>154</v>
      </c>
      <c r="C218" t="s">
        <v>155</v>
      </c>
      <c r="D218" s="23" t="s">
        <v>60</v>
      </c>
      <c r="E218" s="23" t="s">
        <v>60</v>
      </c>
      <c r="F218" s="23" t="s">
        <v>60</v>
      </c>
      <c r="G218" s="23" t="s">
        <v>60</v>
      </c>
      <c r="H218" s="23" t="s">
        <v>60</v>
      </c>
      <c r="I218" s="43">
        <f>1/HtgDeltaTNew/Btu_per_Fgpm/Gal_per_CCF*Min_per_hr*Btu_per_kBtu*Btu_per_kBtu*HtgMakeupNew</f>
        <v>3.5641094181591377E-3</v>
      </c>
      <c r="J218"/>
      <c r="K218" s="23" t="s">
        <v>153</v>
      </c>
      <c r="L218" s="3"/>
    </row>
    <row r="220" spans="2:12" s="1" customFormat="1" ht="15.75" thickBot="1" x14ac:dyDescent="0.3">
      <c r="B220" s="20" t="s">
        <v>157</v>
      </c>
      <c r="C220" s="20"/>
      <c r="D220" s="20"/>
      <c r="E220" s="20"/>
      <c r="F220" s="20"/>
      <c r="G220" s="20"/>
      <c r="H220" s="20"/>
      <c r="I220" s="20"/>
      <c r="J220" s="20"/>
      <c r="K220" s="20"/>
      <c r="L220" s="3"/>
    </row>
    <row r="221" spans="2:12" s="1" customFormat="1" x14ac:dyDescent="0.25">
      <c r="B221" t="s">
        <v>141</v>
      </c>
      <c r="C221" t="s">
        <v>74</v>
      </c>
      <c r="D221" s="23" t="s">
        <v>60</v>
      </c>
      <c r="E221" s="23" t="s">
        <v>60</v>
      </c>
      <c r="F221" s="23" t="s">
        <v>60</v>
      </c>
      <c r="G221" s="23" t="s">
        <v>60</v>
      </c>
      <c r="H221" s="23" t="s">
        <v>60</v>
      </c>
      <c r="I221" s="35">
        <f>AbsChillerSplit*ElecChillerEffNew+ElecChillerEffExstg*(1-AbsChillerSplit)</f>
        <v>1.107</v>
      </c>
      <c r="J221"/>
      <c r="K221" s="23" t="s">
        <v>199</v>
      </c>
      <c r="L221" s="3"/>
    </row>
    <row r="222" spans="2:12" s="1" customFormat="1" x14ac:dyDescent="0.25">
      <c r="B222" t="s">
        <v>154</v>
      </c>
      <c r="C222" t="s">
        <v>161</v>
      </c>
      <c r="D222" s="23" t="s">
        <v>60</v>
      </c>
      <c r="E222" s="23" t="s">
        <v>60</v>
      </c>
      <c r="F222" s="23" t="s">
        <v>60</v>
      </c>
      <c r="G222" s="23" t="s">
        <v>60</v>
      </c>
      <c r="H222" s="23" t="s">
        <v>60</v>
      </c>
      <c r="I222" s="43">
        <f>ClgTowerFlowExstg*Min_per_hr*ClgTowerEvapExstg/Gal_per_CCF</f>
        <v>5.2086261463111351E-3</v>
      </c>
      <c r="J222"/>
      <c r="K222" s="23"/>
      <c r="L222" s="3"/>
    </row>
    <row r="224" spans="2:12" s="1" customFormat="1" ht="15.75" thickBot="1" x14ac:dyDescent="0.3">
      <c r="B224" s="20" t="s">
        <v>162</v>
      </c>
      <c r="C224" s="20"/>
      <c r="D224" s="20"/>
      <c r="E224" s="20"/>
      <c r="F224" s="20"/>
      <c r="G224" s="20"/>
      <c r="H224" s="20"/>
      <c r="I224" s="20"/>
      <c r="J224" s="20"/>
      <c r="K224" s="20"/>
      <c r="L224" s="3"/>
    </row>
    <row r="225" spans="2:12" s="1" customFormat="1" x14ac:dyDescent="0.25">
      <c r="B225" t="s">
        <v>141</v>
      </c>
      <c r="C225" t="s">
        <v>163</v>
      </c>
      <c r="D225" s="23" t="s">
        <v>60</v>
      </c>
      <c r="E225" s="23" t="s">
        <v>60</v>
      </c>
      <c r="F225" s="23" t="s">
        <v>60</v>
      </c>
      <c r="G225" s="23" t="s">
        <v>60</v>
      </c>
      <c r="H225" s="23" t="s">
        <v>60</v>
      </c>
      <c r="I225" s="38">
        <f>1/Btuh_per_W*(1/Btu_per_kBtu)/(ElecSteamGenEffNew/Enthalpy)/BldgHtgEffNew</f>
        <v>0.31500358844294063</v>
      </c>
      <c r="J225"/>
      <c r="K225" s="23" t="s">
        <v>153</v>
      </c>
      <c r="L225" s="3"/>
    </row>
    <row r="226" spans="2:12" s="1" customFormat="1" x14ac:dyDescent="0.25">
      <c r="B226" t="s">
        <v>136</v>
      </c>
      <c r="C226" t="s">
        <v>165</v>
      </c>
      <c r="D226" s="23" t="s">
        <v>60</v>
      </c>
      <c r="E226" s="23" t="s">
        <v>60</v>
      </c>
      <c r="F226" s="23" t="s">
        <v>60</v>
      </c>
      <c r="G226" s="23" t="s">
        <v>60</v>
      </c>
      <c r="H226" s="23" t="s">
        <v>60</v>
      </c>
      <c r="I226" s="17">
        <v>0</v>
      </c>
      <c r="J226"/>
      <c r="K226" s="23" t="s">
        <v>186</v>
      </c>
      <c r="L226" s="3"/>
    </row>
    <row r="227" spans="2:12" s="1" customFormat="1" x14ac:dyDescent="0.25">
      <c r="B227" t="s">
        <v>154</v>
      </c>
      <c r="C227" t="s">
        <v>166</v>
      </c>
      <c r="D227" s="23" t="s">
        <v>60</v>
      </c>
      <c r="E227" s="23" t="s">
        <v>60</v>
      </c>
      <c r="F227" s="23" t="s">
        <v>60</v>
      </c>
      <c r="G227" s="23" t="s">
        <v>60</v>
      </c>
      <c r="H227" s="23" t="s">
        <v>60</v>
      </c>
      <c r="I227" s="48">
        <f>1/SteamDensity/ft3_per_ccf/(1-BldgSteamLossNew)</f>
        <v>1.6862610197157637E-4</v>
      </c>
      <c r="J227"/>
      <c r="K227" s="23"/>
      <c r="L227" s="3"/>
    </row>
    <row r="229" spans="2:12" s="1" customFormat="1" ht="15.75" thickBot="1" x14ac:dyDescent="0.3">
      <c r="B229" s="20" t="s">
        <v>141</v>
      </c>
      <c r="C229" s="20"/>
      <c r="D229" s="20"/>
      <c r="E229" s="20"/>
      <c r="F229" s="20"/>
      <c r="G229" s="20"/>
      <c r="H229" s="20"/>
      <c r="I229" s="20"/>
      <c r="J229" s="20"/>
      <c r="K229" s="20"/>
      <c r="L229" s="3"/>
    </row>
    <row r="230" spans="2:12" s="1" customFormat="1" x14ac:dyDescent="0.25">
      <c r="B230" t="s">
        <v>141</v>
      </c>
      <c r="C230" t="s">
        <v>167</v>
      </c>
      <c r="D230" s="23" t="s">
        <v>60</v>
      </c>
      <c r="E230" s="23" t="s">
        <v>60</v>
      </c>
      <c r="F230" s="23" t="s">
        <v>60</v>
      </c>
      <c r="G230" s="23" t="s">
        <v>60</v>
      </c>
      <c r="H230" s="23" t="s">
        <v>60</v>
      </c>
      <c r="I230" s="42">
        <f>1+TransfLossNew</f>
        <v>1.02</v>
      </c>
      <c r="J230"/>
      <c r="K230" s="23" t="s">
        <v>187</v>
      </c>
      <c r="L230" s="3"/>
    </row>
    <row r="232" spans="2:12" s="1" customFormat="1" ht="15.75" thickBot="1" x14ac:dyDescent="0.3">
      <c r="B232" s="20" t="s">
        <v>168</v>
      </c>
      <c r="C232" s="20"/>
      <c r="D232" s="20"/>
      <c r="E232" s="20"/>
      <c r="F232" s="20"/>
      <c r="G232" s="20"/>
      <c r="H232" s="20"/>
      <c r="I232" s="20"/>
      <c r="J232" s="20"/>
      <c r="K232" s="20"/>
      <c r="L232" s="3"/>
    </row>
    <row r="233" spans="2:12" s="1" customFormat="1" x14ac:dyDescent="0.25">
      <c r="B233" t="s">
        <v>141</v>
      </c>
      <c r="C233" t="s">
        <v>109</v>
      </c>
      <c r="D233" s="23"/>
      <c r="E233" s="23"/>
      <c r="F233" s="23"/>
      <c r="G233" s="23"/>
      <c r="H233" s="23"/>
      <c r="I233" s="23"/>
      <c r="J233"/>
      <c r="K233" s="23"/>
      <c r="L233" s="3"/>
    </row>
    <row r="234" spans="2:12" s="1" customFormat="1" x14ac:dyDescent="0.25">
      <c r="B234" t="s">
        <v>136</v>
      </c>
      <c r="C234" t="s">
        <v>169</v>
      </c>
      <c r="D234" s="23"/>
      <c r="E234" s="23"/>
      <c r="F234" s="23"/>
      <c r="G234" s="23"/>
      <c r="H234" s="23"/>
      <c r="I234" s="23"/>
      <c r="J234"/>
      <c r="K234" s="23"/>
      <c r="L234" s="3"/>
    </row>
    <row r="235" spans="2:12" s="1" customFormat="1" x14ac:dyDescent="0.25">
      <c r="B235" t="s">
        <v>154</v>
      </c>
      <c r="C235" t="s">
        <v>170</v>
      </c>
      <c r="D235" s="23"/>
      <c r="E235" s="23"/>
      <c r="F235" s="23"/>
      <c r="G235" s="23"/>
      <c r="H235" s="23"/>
      <c r="I235" s="17"/>
      <c r="J235"/>
      <c r="K235" s="23"/>
      <c r="L235" s="3"/>
    </row>
    <row r="238" spans="2:12" s="1" customFormat="1" ht="20.25" thickBot="1" x14ac:dyDescent="0.35">
      <c r="B238" s="18" t="s">
        <v>204</v>
      </c>
      <c r="C238" s="18"/>
      <c r="D238" s="18"/>
      <c r="E238" s="18"/>
      <c r="F238" s="18"/>
      <c r="G238" s="18"/>
      <c r="H238" s="18"/>
      <c r="I238" s="18"/>
      <c r="J238" s="18"/>
      <c r="K238" s="18"/>
      <c r="L238" s="3"/>
    </row>
    <row r="239" spans="2:12" s="1" customFormat="1" ht="18" thickTop="1" thickBot="1" x14ac:dyDescent="0.3">
      <c r="B239" s="19" t="s">
        <v>12</v>
      </c>
      <c r="C239" s="19" t="s">
        <v>13</v>
      </c>
      <c r="D239" s="19" t="s">
        <v>14</v>
      </c>
      <c r="E239" s="19"/>
      <c r="F239" s="19"/>
      <c r="G239" s="19"/>
      <c r="H239" s="19"/>
      <c r="I239" s="19"/>
      <c r="J239" s="19"/>
      <c r="K239" s="19" t="s">
        <v>15</v>
      </c>
      <c r="L239" s="3"/>
    </row>
    <row r="240" spans="2:12" s="1" customFormat="1" ht="16.5" thickTop="1" thickBot="1" x14ac:dyDescent="0.3">
      <c r="B240" s="20" t="s">
        <v>143</v>
      </c>
      <c r="C240" s="20"/>
      <c r="D240" s="20" t="s">
        <v>144</v>
      </c>
      <c r="E240" s="20" t="s">
        <v>145</v>
      </c>
      <c r="F240" s="20" t="s">
        <v>146</v>
      </c>
      <c r="G240" s="20" t="s">
        <v>147</v>
      </c>
      <c r="H240" s="20" t="s">
        <v>148</v>
      </c>
      <c r="I240" s="20" t="s">
        <v>149</v>
      </c>
      <c r="J240" s="20"/>
      <c r="K240" s="20"/>
      <c r="L240" s="3"/>
    </row>
    <row r="241" spans="2:12" s="1" customFormat="1" x14ac:dyDescent="0.25">
      <c r="B241" t="s">
        <v>141</v>
      </c>
      <c r="C241" t="s">
        <v>150</v>
      </c>
      <c r="D241" s="23" t="s">
        <v>60</v>
      </c>
      <c r="E241" s="23" t="s">
        <v>60</v>
      </c>
      <c r="F241" s="23" t="s">
        <v>60</v>
      </c>
      <c r="G241" s="23" t="s">
        <v>60</v>
      </c>
      <c r="H241" s="23" t="s">
        <v>60</v>
      </c>
      <c r="I241" s="17">
        <v>0</v>
      </c>
      <c r="J241"/>
      <c r="K241" s="23" t="s">
        <v>151</v>
      </c>
      <c r="L241" s="3"/>
    </row>
    <row r="242" spans="2:12" s="1" customFormat="1" x14ac:dyDescent="0.25">
      <c r="B242" t="s">
        <v>136</v>
      </c>
      <c r="C242" t="s">
        <v>152</v>
      </c>
      <c r="D242" s="23" t="s">
        <v>60</v>
      </c>
      <c r="E242" s="23" t="s">
        <v>60</v>
      </c>
      <c r="F242" s="23" t="s">
        <v>60</v>
      </c>
      <c r="G242" s="23" t="s">
        <v>60</v>
      </c>
      <c r="H242" s="23" t="s">
        <v>60</v>
      </c>
      <c r="I242" s="38">
        <f>1/Btu_per_therm/(GasSteamBoilerEffNew/(Btu_per_kBtu*Btu_per_kBtu))/(1-BldgSteamLossNew)/BldgHtgEffNew/(1-DistSteamLossNew)</f>
        <v>15.739108536892472</v>
      </c>
      <c r="J242"/>
      <c r="K242" s="23" t="s">
        <v>153</v>
      </c>
      <c r="L242" s="3"/>
    </row>
    <row r="243" spans="2:12" s="1" customFormat="1" x14ac:dyDescent="0.25">
      <c r="B243" t="s">
        <v>154</v>
      </c>
      <c r="C243" t="s">
        <v>155</v>
      </c>
      <c r="D243" s="23" t="s">
        <v>60</v>
      </c>
      <c r="E243" s="23" t="s">
        <v>60</v>
      </c>
      <c r="F243" s="23" t="s">
        <v>60</v>
      </c>
      <c r="G243" s="23" t="s">
        <v>60</v>
      </c>
      <c r="H243" s="23" t="s">
        <v>60</v>
      </c>
      <c r="I243" s="43">
        <f>Htg_exstg_CCF_per_MMBtu_campus/SteamWtrLossExstg*SteamWtrLossNew</f>
        <v>8.6300000000000002E-2</v>
      </c>
      <c r="J243"/>
      <c r="K243" s="23" t="s">
        <v>172</v>
      </c>
      <c r="L243" s="3"/>
    </row>
    <row r="245" spans="2:12" s="1" customFormat="1" ht="15.75" thickBot="1" x14ac:dyDescent="0.3">
      <c r="B245" s="20" t="s">
        <v>157</v>
      </c>
      <c r="C245" s="20"/>
      <c r="D245" s="20"/>
      <c r="E245" s="20"/>
      <c r="F245" s="20"/>
      <c r="G245" s="20"/>
      <c r="H245" s="20"/>
      <c r="I245" s="20"/>
      <c r="J245" s="20"/>
      <c r="K245" s="20"/>
      <c r="L245" s="3"/>
    </row>
    <row r="246" spans="2:12" s="1" customFormat="1" x14ac:dyDescent="0.25">
      <c r="B246" t="s">
        <v>141</v>
      </c>
      <c r="C246" t="s">
        <v>74</v>
      </c>
      <c r="D246" s="23" t="s">
        <v>60</v>
      </c>
      <c r="E246" s="23" t="s">
        <v>60</v>
      </c>
      <c r="F246" s="23" t="s">
        <v>60</v>
      </c>
      <c r="G246" s="23" t="s">
        <v>60</v>
      </c>
      <c r="H246" s="23" t="s">
        <v>60</v>
      </c>
      <c r="I246" s="8">
        <f>ElecChillerEffExstg</f>
        <v>1.25</v>
      </c>
      <c r="J246"/>
      <c r="K246" s="23" t="s">
        <v>158</v>
      </c>
      <c r="L246" s="3"/>
    </row>
    <row r="247" spans="2:12" s="1" customFormat="1" x14ac:dyDescent="0.25">
      <c r="B247" t="s">
        <v>136</v>
      </c>
      <c r="C247" t="s">
        <v>160</v>
      </c>
      <c r="D247" s="23" t="s">
        <v>60</v>
      </c>
      <c r="E247" s="23" t="s">
        <v>60</v>
      </c>
      <c r="F247" s="23" t="s">
        <v>60</v>
      </c>
      <c r="G247" s="23" t="s">
        <v>60</v>
      </c>
      <c r="H247" s="23" t="s">
        <v>60</v>
      </c>
      <c r="I247" s="35">
        <f>(1/Btu_per_therm/(1-DistSteamLossNew)/(1-BldgSteamLossNew)/(1-CogenEffExstg))/(AbsChillerEffExstg/Btu_per_ton)</f>
        <v>1.2071463061323033</v>
      </c>
      <c r="J247"/>
      <c r="K247" s="23" t="s">
        <v>153</v>
      </c>
      <c r="L247" s="3"/>
    </row>
    <row r="248" spans="2:12" s="1" customFormat="1" x14ac:dyDescent="0.25">
      <c r="B248" t="s">
        <v>154</v>
      </c>
      <c r="C248" t="s">
        <v>161</v>
      </c>
      <c r="D248" s="23" t="s">
        <v>60</v>
      </c>
      <c r="E248" s="23" t="s">
        <v>60</v>
      </c>
      <c r="F248" s="23" t="s">
        <v>60</v>
      </c>
      <c r="G248" s="23" t="s">
        <v>60</v>
      </c>
      <c r="H248" s="23" t="s">
        <v>60</v>
      </c>
      <c r="I248" s="43">
        <f>ClgTowerFlowExstg*Min_per_hr*ClgTowerEvapExstg/Gal_per_CCF</f>
        <v>5.2086261463111351E-3</v>
      </c>
      <c r="J248"/>
      <c r="K248" s="23"/>
      <c r="L248" s="3"/>
    </row>
    <row r="250" spans="2:12" s="1" customFormat="1" ht="15.75" thickBot="1" x14ac:dyDescent="0.3">
      <c r="B250" s="20" t="s">
        <v>162</v>
      </c>
      <c r="C250" s="20"/>
      <c r="D250" s="20"/>
      <c r="E250" s="20"/>
      <c r="F250" s="20"/>
      <c r="G250" s="20"/>
      <c r="H250" s="20"/>
      <c r="I250" s="20"/>
      <c r="J250" s="20"/>
      <c r="K250" s="20"/>
      <c r="L250" s="3"/>
    </row>
    <row r="251" spans="2:12" s="1" customFormat="1" x14ac:dyDescent="0.25">
      <c r="B251" t="s">
        <v>141</v>
      </c>
      <c r="C251" t="s">
        <v>163</v>
      </c>
      <c r="D251" s="23" t="s">
        <v>60</v>
      </c>
      <c r="E251" s="23" t="s">
        <v>60</v>
      </c>
      <c r="F251" s="23" t="s">
        <v>60</v>
      </c>
      <c r="G251" s="23" t="s">
        <v>60</v>
      </c>
      <c r="H251" s="23" t="s">
        <v>60</v>
      </c>
      <c r="I251" s="17">
        <v>0</v>
      </c>
      <c r="J251"/>
      <c r="K251" s="23" t="s">
        <v>164</v>
      </c>
      <c r="L251" s="3"/>
    </row>
    <row r="252" spans="2:12" s="1" customFormat="1" x14ac:dyDescent="0.25">
      <c r="B252" t="s">
        <v>136</v>
      </c>
      <c r="C252" t="s">
        <v>165</v>
      </c>
      <c r="D252" s="23" t="s">
        <v>60</v>
      </c>
      <c r="E252" s="23" t="s">
        <v>60</v>
      </c>
      <c r="F252" s="23" t="s">
        <v>60</v>
      </c>
      <c r="G252" s="23" t="s">
        <v>60</v>
      </c>
      <c r="H252" s="23" t="s">
        <v>60</v>
      </c>
      <c r="I252" s="38">
        <f>1/Btu_per_therm/(CogenEffExstg/Enthalpy)/(1-BldgSteamLossNew)/BldgHtgEffExstg/(1-DistSteamLossNew)</f>
        <v>1.9962708836688582E-2</v>
      </c>
      <c r="J252"/>
      <c r="K252" s="23" t="s">
        <v>153</v>
      </c>
      <c r="L252" s="3"/>
    </row>
    <row r="253" spans="2:12" s="1" customFormat="1" x14ac:dyDescent="0.25">
      <c r="B253" t="s">
        <v>154</v>
      </c>
      <c r="C253" t="s">
        <v>166</v>
      </c>
      <c r="D253" s="23" t="s">
        <v>60</v>
      </c>
      <c r="E253" s="23" t="s">
        <v>60</v>
      </c>
      <c r="F253" s="23" t="s">
        <v>60</v>
      </c>
      <c r="G253" s="23" t="s">
        <v>60</v>
      </c>
      <c r="H253" s="23" t="s">
        <v>60</v>
      </c>
      <c r="I253" s="35">
        <f>1/SteamDensity/ft3_per_ccf/(1-BldgSteamLossNew)/(1-SteamWtrLossNew)</f>
        <v>1.8736233552397373E-4</v>
      </c>
      <c r="J253"/>
      <c r="K253" s="23"/>
      <c r="L253" s="3"/>
    </row>
    <row r="255" spans="2:12" s="1" customFormat="1" ht="15.75" thickBot="1" x14ac:dyDescent="0.3">
      <c r="B255" s="20" t="s">
        <v>141</v>
      </c>
      <c r="C255" s="20"/>
      <c r="D255" s="20"/>
      <c r="E255" s="20"/>
      <c r="F255" s="20"/>
      <c r="G255" s="20"/>
      <c r="H255" s="20"/>
      <c r="I255" s="20"/>
      <c r="J255" s="20"/>
      <c r="K255" s="20"/>
      <c r="L255" s="3"/>
    </row>
    <row r="256" spans="2:12" s="1" customFormat="1" x14ac:dyDescent="0.25">
      <c r="B256" t="s">
        <v>141</v>
      </c>
      <c r="C256" t="s">
        <v>167</v>
      </c>
      <c r="D256" s="23" t="s">
        <v>60</v>
      </c>
      <c r="E256" s="23" t="s">
        <v>60</v>
      </c>
      <c r="F256" s="23" t="s">
        <v>60</v>
      </c>
      <c r="G256" s="23" t="s">
        <v>60</v>
      </c>
      <c r="H256" s="23" t="s">
        <v>60</v>
      </c>
      <c r="I256" s="42">
        <f>1+TransfLossNew</f>
        <v>1.02</v>
      </c>
      <c r="J256"/>
      <c r="K256" s="23" t="s">
        <v>153</v>
      </c>
      <c r="L256" s="3"/>
    </row>
    <row r="258" spans="2:12" s="1" customFormat="1" ht="15.75" thickBot="1" x14ac:dyDescent="0.3">
      <c r="B258" s="20" t="s">
        <v>168</v>
      </c>
      <c r="C258" s="20"/>
      <c r="D258" s="20"/>
      <c r="E258" s="20"/>
      <c r="F258" s="20"/>
      <c r="G258" s="20"/>
      <c r="H258" s="20"/>
      <c r="I258" s="20"/>
      <c r="J258" s="20"/>
      <c r="K258" s="20"/>
      <c r="L258" s="3"/>
    </row>
    <row r="259" spans="2:12" s="1" customFormat="1" x14ac:dyDescent="0.25">
      <c r="B259" t="s">
        <v>141</v>
      </c>
      <c r="C259" t="s">
        <v>109</v>
      </c>
      <c r="D259" s="23"/>
      <c r="E259" s="23"/>
      <c r="F259" s="23"/>
      <c r="G259" s="23"/>
      <c r="H259" s="23"/>
      <c r="I259" s="23"/>
      <c r="J259"/>
      <c r="K259" s="23"/>
      <c r="L259" s="3"/>
    </row>
    <row r="260" spans="2:12" s="1" customFormat="1" x14ac:dyDescent="0.25">
      <c r="B260" t="s">
        <v>136</v>
      </c>
      <c r="C260" t="s">
        <v>169</v>
      </c>
      <c r="D260" s="23"/>
      <c r="E260" s="23"/>
      <c r="F260" s="23"/>
      <c r="G260" s="23"/>
      <c r="H260" s="23"/>
      <c r="I260" s="23"/>
      <c r="J260"/>
      <c r="K260" s="23"/>
      <c r="L260" s="3"/>
    </row>
    <row r="261" spans="2:12" s="1" customFormat="1" x14ac:dyDescent="0.25">
      <c r="B261" t="s">
        <v>154</v>
      </c>
      <c r="C261" t="s">
        <v>170</v>
      </c>
      <c r="D261" s="23"/>
      <c r="E261" s="23"/>
      <c r="F261" s="23"/>
      <c r="G261" s="23"/>
      <c r="H261" s="23"/>
      <c r="I261" s="17"/>
      <c r="J261"/>
      <c r="K261" s="23"/>
      <c r="L261" s="3"/>
    </row>
    <row r="264" spans="2:12" s="1" customFormat="1" ht="20.25" thickBot="1" x14ac:dyDescent="0.35">
      <c r="B264" s="18" t="s">
        <v>205</v>
      </c>
      <c r="C264" s="18"/>
      <c r="D264" s="18"/>
      <c r="E264" s="18"/>
      <c r="F264" s="18"/>
      <c r="G264" s="18"/>
      <c r="H264" s="18"/>
      <c r="I264" s="18"/>
      <c r="J264" s="18"/>
      <c r="K264" s="18"/>
      <c r="L264" s="3"/>
    </row>
    <row r="265" spans="2:12" s="1" customFormat="1" ht="18" thickTop="1" thickBot="1" x14ac:dyDescent="0.3">
      <c r="B265" s="19" t="s">
        <v>12</v>
      </c>
      <c r="C265" s="19" t="s">
        <v>13</v>
      </c>
      <c r="D265" s="19" t="s">
        <v>14</v>
      </c>
      <c r="E265" s="19"/>
      <c r="F265" s="19"/>
      <c r="G265" s="19"/>
      <c r="H265" s="19"/>
      <c r="I265" s="19"/>
      <c r="J265" s="19"/>
      <c r="K265" s="19" t="s">
        <v>15</v>
      </c>
      <c r="L265" s="3"/>
    </row>
    <row r="266" spans="2:12" s="1" customFormat="1" ht="16.5" thickTop="1" thickBot="1" x14ac:dyDescent="0.3">
      <c r="B266" s="20" t="s">
        <v>143</v>
      </c>
      <c r="C266" s="20"/>
      <c r="D266" s="20" t="s">
        <v>144</v>
      </c>
      <c r="E266" s="20" t="s">
        <v>145</v>
      </c>
      <c r="F266" s="20" t="s">
        <v>146</v>
      </c>
      <c r="G266" s="20" t="s">
        <v>147</v>
      </c>
      <c r="H266" s="20" t="s">
        <v>148</v>
      </c>
      <c r="I266" s="20" t="s">
        <v>149</v>
      </c>
      <c r="J266" s="20"/>
      <c r="K266" s="20"/>
      <c r="L266" s="3"/>
    </row>
    <row r="267" spans="2:12" s="1" customFormat="1" x14ac:dyDescent="0.25">
      <c r="B267" t="s">
        <v>141</v>
      </c>
      <c r="C267" t="s">
        <v>150</v>
      </c>
      <c r="D267" s="23" t="s">
        <v>60</v>
      </c>
      <c r="E267" s="23" t="s">
        <v>60</v>
      </c>
      <c r="F267" s="23" t="s">
        <v>60</v>
      </c>
      <c r="G267" s="23" t="s">
        <v>60</v>
      </c>
      <c r="H267" s="23" t="s">
        <v>60</v>
      </c>
      <c r="I267" s="23">
        <v>0</v>
      </c>
      <c r="J267"/>
      <c r="K267" s="23" t="s">
        <v>151</v>
      </c>
      <c r="L267" s="3" t="s">
        <v>174</v>
      </c>
    </row>
    <row r="268" spans="2:12" s="1" customFormat="1" x14ac:dyDescent="0.25">
      <c r="B268" t="s">
        <v>136</v>
      </c>
      <c r="C268" t="s">
        <v>152</v>
      </c>
      <c r="D268" s="23" t="s">
        <v>60</v>
      </c>
      <c r="E268" s="23" t="s">
        <v>60</v>
      </c>
      <c r="F268" s="23" t="s">
        <v>60</v>
      </c>
      <c r="G268" s="23" t="s">
        <v>60</v>
      </c>
      <c r="H268" s="23" t="s">
        <v>60</v>
      </c>
      <c r="I268" s="43">
        <f>1/(GasBoilerEffNew*(1+HRCoffsetNew))*(1/Btu_per_therm)*(Btu_per_kBtu*Btu_per_kBtu)/(1-DistHHWLossNew)/BldgHtgEffNew</f>
        <v>8.4253664191855702</v>
      </c>
      <c r="J268"/>
      <c r="K268" s="23" t="s">
        <v>153</v>
      </c>
      <c r="L268" s="3" t="s">
        <v>175</v>
      </c>
    </row>
    <row r="269" spans="2:12" s="1" customFormat="1" x14ac:dyDescent="0.25">
      <c r="B269" t="s">
        <v>154</v>
      </c>
      <c r="C269" t="s">
        <v>155</v>
      </c>
      <c r="D269" s="23" t="s">
        <v>60</v>
      </c>
      <c r="E269" s="23" t="s">
        <v>60</v>
      </c>
      <c r="F269" s="23" t="s">
        <v>60</v>
      </c>
      <c r="G269" s="23" t="s">
        <v>60</v>
      </c>
      <c r="H269" s="23" t="s">
        <v>60</v>
      </c>
      <c r="I269" s="43">
        <f>1/HtgDeltaTNew/Btu_per_Fgpm/Gal_per_CCF*Min_per_hr*Btu_per_kBtu*Btu_per_kBtu*HtgMakeupNew</f>
        <v>3.5641094181591377E-3</v>
      </c>
      <c r="J269"/>
      <c r="K269" s="23" t="s">
        <v>153</v>
      </c>
      <c r="L269" s="3" t="s">
        <v>176</v>
      </c>
    </row>
    <row r="271" spans="2:12" s="1" customFormat="1" ht="15.75" thickBot="1" x14ac:dyDescent="0.3">
      <c r="B271" s="20" t="s">
        <v>157</v>
      </c>
      <c r="C271" s="20"/>
      <c r="D271" s="20"/>
      <c r="E271" s="20"/>
      <c r="F271" s="20"/>
      <c r="G271" s="20"/>
      <c r="H271" s="20"/>
      <c r="I271" s="20"/>
      <c r="J271" s="20"/>
      <c r="K271" s="20"/>
      <c r="L271" s="3"/>
    </row>
    <row r="272" spans="2:12" s="1" customFormat="1" x14ac:dyDescent="0.25">
      <c r="B272" t="s">
        <v>141</v>
      </c>
      <c r="C272" t="s">
        <v>74</v>
      </c>
      <c r="D272" s="23" t="s">
        <v>60</v>
      </c>
      <c r="E272" s="23" t="s">
        <v>60</v>
      </c>
      <c r="F272" s="23" t="s">
        <v>60</v>
      </c>
      <c r="G272" s="23" t="s">
        <v>60</v>
      </c>
      <c r="H272" s="23" t="s">
        <v>60</v>
      </c>
      <c r="I272" s="8">
        <f>HRCeffNew*HRCcoolingFraction+ElecChillerEffNew*(1-HRCcoolingFraction)</f>
        <v>0.83800000000000008</v>
      </c>
      <c r="J272"/>
      <c r="K272" s="23" t="s">
        <v>177</v>
      </c>
      <c r="L272" s="3" t="s">
        <v>178</v>
      </c>
    </row>
    <row r="273" spans="2:12" s="1" customFormat="1" x14ac:dyDescent="0.25">
      <c r="B273" t="s">
        <v>154</v>
      </c>
      <c r="C273" t="s">
        <v>161</v>
      </c>
      <c r="D273" s="23" t="s">
        <v>60</v>
      </c>
      <c r="E273" s="23" t="s">
        <v>60</v>
      </c>
      <c r="F273" s="23" t="s">
        <v>60</v>
      </c>
      <c r="G273" s="23" t="s">
        <v>60</v>
      </c>
      <c r="H273" s="23" t="s">
        <v>60</v>
      </c>
      <c r="I273" s="43">
        <f>ClgTowerFlowNew*Min_per_hr*ClgTowerEvapNew/Gal_per_CCF</f>
        <v>3.4724174308740897E-3</v>
      </c>
      <c r="J273"/>
      <c r="K273" s="23" t="s">
        <v>153</v>
      </c>
      <c r="L273" s="3" t="s">
        <v>179</v>
      </c>
    </row>
    <row r="275" spans="2:12" s="1" customFormat="1" ht="15.75" thickBot="1" x14ac:dyDescent="0.3">
      <c r="B275" s="20" t="s">
        <v>162</v>
      </c>
      <c r="C275" s="20"/>
      <c r="D275" s="20"/>
      <c r="E275" s="20"/>
      <c r="F275" s="20"/>
      <c r="G275" s="20"/>
      <c r="H275" s="20"/>
      <c r="I275" s="20"/>
      <c r="J275" s="20"/>
      <c r="K275" s="20"/>
      <c r="L275" s="3"/>
    </row>
    <row r="276" spans="2:12" s="1" customFormat="1" x14ac:dyDescent="0.25">
      <c r="B276" t="s">
        <v>141</v>
      </c>
      <c r="C276" t="s">
        <v>163</v>
      </c>
      <c r="D276" s="23" t="s">
        <v>60</v>
      </c>
      <c r="E276" s="23" t="s">
        <v>60</v>
      </c>
      <c r="F276" s="23" t="s">
        <v>60</v>
      </c>
      <c r="G276" s="23" t="s">
        <v>60</v>
      </c>
      <c r="H276" s="23" t="s">
        <v>60</v>
      </c>
      <c r="I276" s="17">
        <v>0</v>
      </c>
      <c r="J276"/>
      <c r="K276" s="23" t="s">
        <v>164</v>
      </c>
      <c r="L276" s="3" t="s">
        <v>180</v>
      </c>
    </row>
    <row r="277" spans="2:12" s="1" customFormat="1" x14ac:dyDescent="0.25">
      <c r="B277" t="s">
        <v>136</v>
      </c>
      <c r="C277" t="s">
        <v>165</v>
      </c>
      <c r="D277" s="23" t="s">
        <v>60</v>
      </c>
      <c r="E277" s="23" t="s">
        <v>60</v>
      </c>
      <c r="F277" s="23" t="s">
        <v>60</v>
      </c>
      <c r="G277" s="23" t="s">
        <v>60</v>
      </c>
      <c r="H277" s="23" t="s">
        <v>60</v>
      </c>
      <c r="I277" s="38">
        <f>1/Btu_per_therm/(GasSteamGenEffNew/Enthalpy)/BldgHtgEffNew</f>
        <v>1.1872705018359856E-2</v>
      </c>
      <c r="J277"/>
      <c r="K277" s="23" t="s">
        <v>153</v>
      </c>
      <c r="L277" s="3" t="s">
        <v>181</v>
      </c>
    </row>
    <row r="278" spans="2:12" s="1" customFormat="1" x14ac:dyDescent="0.25">
      <c r="B278" t="s">
        <v>154</v>
      </c>
      <c r="C278" t="s">
        <v>166</v>
      </c>
      <c r="D278" s="23" t="s">
        <v>60</v>
      </c>
      <c r="E278" s="23" t="s">
        <v>60</v>
      </c>
      <c r="F278" s="23" t="s">
        <v>60</v>
      </c>
      <c r="G278" s="23" t="s">
        <v>60</v>
      </c>
      <c r="H278" s="23" t="s">
        <v>60</v>
      </c>
      <c r="I278" s="48">
        <f>1/SteamDensity/ft3_per_ccf/(1-BldgSteamLossNew)</f>
        <v>1.6862610197157637E-4</v>
      </c>
      <c r="J278"/>
      <c r="K278" s="23"/>
      <c r="L278" s="3" t="s">
        <v>182</v>
      </c>
    </row>
    <row r="280" spans="2:12" s="1" customFormat="1" ht="15.75" thickBot="1" x14ac:dyDescent="0.3">
      <c r="B280" s="20" t="s">
        <v>141</v>
      </c>
      <c r="C280" s="20"/>
      <c r="D280" s="20"/>
      <c r="E280" s="20"/>
      <c r="F280" s="20"/>
      <c r="G280" s="20"/>
      <c r="H280" s="20"/>
      <c r="I280" s="20"/>
      <c r="J280" s="20"/>
      <c r="K280" s="20"/>
      <c r="L280" s="3"/>
    </row>
    <row r="281" spans="2:12" s="1" customFormat="1" x14ac:dyDescent="0.25">
      <c r="B281" t="s">
        <v>141</v>
      </c>
      <c r="C281" t="s">
        <v>167</v>
      </c>
      <c r="D281" s="23" t="s">
        <v>60</v>
      </c>
      <c r="E281" s="23" t="s">
        <v>60</v>
      </c>
      <c r="F281" s="23" t="s">
        <v>60</v>
      </c>
      <c r="G281" s="23" t="s">
        <v>60</v>
      </c>
      <c r="H281" s="23" t="s">
        <v>60</v>
      </c>
      <c r="I281" s="42">
        <f>1+TransfLossExstg</f>
        <v>1.05</v>
      </c>
      <c r="J281"/>
      <c r="K281" s="23" t="s">
        <v>153</v>
      </c>
      <c r="L281" s="3" t="s">
        <v>183</v>
      </c>
    </row>
    <row r="283" spans="2:12" s="1" customFormat="1" ht="15.75" thickBot="1" x14ac:dyDescent="0.3">
      <c r="B283" s="20" t="s">
        <v>168</v>
      </c>
      <c r="C283" s="20"/>
      <c r="D283" s="20"/>
      <c r="E283" s="20"/>
      <c r="F283" s="20"/>
      <c r="G283" s="20"/>
      <c r="H283" s="20"/>
      <c r="I283" s="20"/>
      <c r="J283" s="20"/>
      <c r="K283" s="20"/>
      <c r="L283" s="3"/>
    </row>
    <row r="284" spans="2:12" s="1" customFormat="1" x14ac:dyDescent="0.25">
      <c r="B284" t="s">
        <v>141</v>
      </c>
      <c r="C284" t="s">
        <v>109</v>
      </c>
      <c r="D284" s="23"/>
      <c r="E284" s="23"/>
      <c r="F284" s="23"/>
      <c r="G284" s="23"/>
      <c r="H284" s="23"/>
      <c r="I284" s="23"/>
      <c r="J284"/>
      <c r="K284" s="23"/>
      <c r="L284" s="3"/>
    </row>
    <row r="285" spans="2:12" s="1" customFormat="1" x14ac:dyDescent="0.25">
      <c r="B285" t="s">
        <v>136</v>
      </c>
      <c r="C285" t="s">
        <v>169</v>
      </c>
      <c r="D285" s="23"/>
      <c r="E285" s="23"/>
      <c r="F285" s="23"/>
      <c r="G285" s="23"/>
      <c r="H285" s="23"/>
      <c r="I285" s="23"/>
      <c r="J285"/>
      <c r="K285" s="23"/>
      <c r="L285" s="3"/>
    </row>
    <row r="286" spans="2:12" s="1" customFormat="1" x14ac:dyDescent="0.25">
      <c r="B286" t="s">
        <v>154</v>
      </c>
      <c r="C286" t="s">
        <v>170</v>
      </c>
      <c r="D286" s="23"/>
      <c r="E286" s="23"/>
      <c r="F286" s="23"/>
      <c r="G286" s="23"/>
      <c r="H286" s="23"/>
      <c r="I286" s="17"/>
      <c r="J286"/>
      <c r="K286" s="23"/>
      <c r="L286" s="3"/>
    </row>
    <row r="289" spans="2:12" s="1" customFormat="1" ht="20.25" thickBot="1" x14ac:dyDescent="0.35">
      <c r="B289" s="18" t="s">
        <v>206</v>
      </c>
      <c r="C289" s="18"/>
      <c r="D289" s="18"/>
      <c r="E289" s="18"/>
      <c r="F289" s="18"/>
      <c r="G289" s="18"/>
      <c r="H289" s="18"/>
      <c r="I289" s="18"/>
      <c r="J289" s="18"/>
      <c r="K289" s="18"/>
      <c r="L289" s="3"/>
    </row>
    <row r="290" spans="2:12" s="1" customFormat="1" ht="18" thickTop="1" thickBot="1" x14ac:dyDescent="0.3">
      <c r="B290" s="19" t="s">
        <v>12</v>
      </c>
      <c r="C290" s="19" t="s">
        <v>13</v>
      </c>
      <c r="D290" s="19" t="s">
        <v>14</v>
      </c>
      <c r="E290" s="19"/>
      <c r="F290" s="19"/>
      <c r="G290" s="19"/>
      <c r="H290" s="19"/>
      <c r="I290" s="19"/>
      <c r="J290" s="19"/>
      <c r="K290" s="19" t="s">
        <v>15</v>
      </c>
      <c r="L290" s="3"/>
    </row>
    <row r="291" spans="2:12" s="1" customFormat="1" ht="16.5" thickTop="1" thickBot="1" x14ac:dyDescent="0.3">
      <c r="B291" s="20" t="s">
        <v>143</v>
      </c>
      <c r="C291" s="20"/>
      <c r="D291" s="20" t="s">
        <v>144</v>
      </c>
      <c r="E291" s="20" t="s">
        <v>145</v>
      </c>
      <c r="F291" s="20" t="s">
        <v>146</v>
      </c>
      <c r="G291" s="20" t="s">
        <v>147</v>
      </c>
      <c r="H291" s="20" t="s">
        <v>148</v>
      </c>
      <c r="I291" s="20" t="s">
        <v>149</v>
      </c>
      <c r="J291" s="20"/>
      <c r="K291" s="20"/>
      <c r="L291" s="3"/>
    </row>
    <row r="292" spans="2:12" s="1" customFormat="1" x14ac:dyDescent="0.25">
      <c r="B292" t="s">
        <v>141</v>
      </c>
      <c r="C292" t="s">
        <v>150</v>
      </c>
      <c r="D292" s="23" t="s">
        <v>60</v>
      </c>
      <c r="E292" s="23" t="s">
        <v>60</v>
      </c>
      <c r="F292" s="23" t="s">
        <v>60</v>
      </c>
      <c r="G292" s="23" t="s">
        <v>60</v>
      </c>
      <c r="H292" s="23" t="s">
        <v>60</v>
      </c>
      <c r="I292" s="35">
        <f>1/(ElecBoilerEffNew*(1+HRCoffsetNew))*(1/Btuh_per_W)*(1/Btu_per_kBtu)*(Btu_per_kBtu*Btu_per_kBtu)/(1-DistHHWLossNew)/BldgHtgEffNew</f>
        <v>229.47343024769162</v>
      </c>
      <c r="J292"/>
      <c r="K292" s="23" t="s">
        <v>153</v>
      </c>
      <c r="L292" s="3" t="s">
        <v>174</v>
      </c>
    </row>
    <row r="293" spans="2:12" s="1" customFormat="1" x14ac:dyDescent="0.25">
      <c r="B293" t="s">
        <v>136</v>
      </c>
      <c r="C293" t="s">
        <v>152</v>
      </c>
      <c r="D293" s="23" t="s">
        <v>60</v>
      </c>
      <c r="E293" s="23" t="s">
        <v>60</v>
      </c>
      <c r="F293" s="23" t="s">
        <v>60</v>
      </c>
      <c r="G293" s="23" t="s">
        <v>60</v>
      </c>
      <c r="H293" s="23" t="s">
        <v>60</v>
      </c>
      <c r="I293" s="23">
        <v>0</v>
      </c>
      <c r="J293"/>
      <c r="K293" s="23" t="s">
        <v>185</v>
      </c>
      <c r="L293" s="3" t="s">
        <v>175</v>
      </c>
    </row>
    <row r="294" spans="2:12" s="1" customFormat="1" x14ac:dyDescent="0.25">
      <c r="B294" t="s">
        <v>154</v>
      </c>
      <c r="C294" t="s">
        <v>155</v>
      </c>
      <c r="D294" s="23" t="s">
        <v>60</v>
      </c>
      <c r="E294" s="23" t="s">
        <v>60</v>
      </c>
      <c r="F294" s="23" t="s">
        <v>60</v>
      </c>
      <c r="G294" s="23" t="s">
        <v>60</v>
      </c>
      <c r="H294" s="23" t="s">
        <v>60</v>
      </c>
      <c r="I294" s="43">
        <f>1/HtgDeltaTNew/Btu_per_Fgpm/Gal_per_CCF*Min_per_hr*Btu_per_kBtu*Btu_per_kBtu*HtgMakeupNew</f>
        <v>3.5641094181591377E-3</v>
      </c>
      <c r="J294"/>
      <c r="K294" s="23" t="s">
        <v>153</v>
      </c>
      <c r="L294" s="3" t="s">
        <v>176</v>
      </c>
    </row>
    <row r="296" spans="2:12" s="1" customFormat="1" ht="15.75" thickBot="1" x14ac:dyDescent="0.3">
      <c r="B296" s="20" t="s">
        <v>157</v>
      </c>
      <c r="C296" s="20"/>
      <c r="D296" s="20"/>
      <c r="E296" s="20"/>
      <c r="F296" s="20"/>
      <c r="G296" s="20"/>
      <c r="H296" s="20"/>
      <c r="I296" s="20"/>
      <c r="J296" s="20"/>
      <c r="K296" s="20"/>
      <c r="L296" s="3"/>
    </row>
    <row r="297" spans="2:12" s="1" customFormat="1" x14ac:dyDescent="0.25">
      <c r="B297" t="s">
        <v>141</v>
      </c>
      <c r="C297" t="s">
        <v>74</v>
      </c>
      <c r="D297" s="23" t="s">
        <v>60</v>
      </c>
      <c r="E297" s="23" t="s">
        <v>60</v>
      </c>
      <c r="F297" s="23" t="s">
        <v>60</v>
      </c>
      <c r="G297" s="23" t="s">
        <v>60</v>
      </c>
      <c r="H297" s="23" t="s">
        <v>60</v>
      </c>
      <c r="I297" s="8">
        <f>HRCeffNew*HRCcoolingFraction+ElecChillerEffNew*(1-HRCcoolingFraction)</f>
        <v>0.83800000000000008</v>
      </c>
      <c r="J297"/>
      <c r="K297" s="23" t="s">
        <v>177</v>
      </c>
      <c r="L297" s="3" t="s">
        <v>178</v>
      </c>
    </row>
    <row r="298" spans="2:12" s="1" customFormat="1" x14ac:dyDescent="0.25">
      <c r="B298" t="s">
        <v>154</v>
      </c>
      <c r="C298" t="s">
        <v>161</v>
      </c>
      <c r="D298" s="23" t="s">
        <v>60</v>
      </c>
      <c r="E298" s="23" t="s">
        <v>60</v>
      </c>
      <c r="F298" s="23" t="s">
        <v>60</v>
      </c>
      <c r="G298" s="23" t="s">
        <v>60</v>
      </c>
      <c r="H298" s="23" t="s">
        <v>60</v>
      </c>
      <c r="I298" s="43">
        <f>ClgTowerFlowNew*Min_per_hr*ClgTowerEvapNew/Gal_per_CCF</f>
        <v>3.4724174308740897E-3</v>
      </c>
      <c r="J298"/>
      <c r="K298" s="23" t="s">
        <v>153</v>
      </c>
      <c r="L298" s="3" t="s">
        <v>179</v>
      </c>
    </row>
    <row r="300" spans="2:12" s="1" customFormat="1" ht="15.75" thickBot="1" x14ac:dyDescent="0.3">
      <c r="B300" s="20" t="s">
        <v>162</v>
      </c>
      <c r="C300" s="20"/>
      <c r="D300" s="20"/>
      <c r="E300" s="20"/>
      <c r="F300" s="20"/>
      <c r="G300" s="20"/>
      <c r="H300" s="20"/>
      <c r="I300" s="20"/>
      <c r="J300" s="20"/>
      <c r="K300" s="20"/>
      <c r="L300" s="3"/>
    </row>
    <row r="301" spans="2:12" s="1" customFormat="1" x14ac:dyDescent="0.25">
      <c r="B301" t="s">
        <v>141</v>
      </c>
      <c r="C301" t="s">
        <v>163</v>
      </c>
      <c r="D301" s="23" t="s">
        <v>60</v>
      </c>
      <c r="E301" s="23" t="s">
        <v>60</v>
      </c>
      <c r="F301" s="23" t="s">
        <v>60</v>
      </c>
      <c r="G301" s="23" t="s">
        <v>60</v>
      </c>
      <c r="H301" s="23" t="s">
        <v>60</v>
      </c>
      <c r="I301" s="38">
        <f>1/Btuh_per_W*(1/Btu_per_kBtu)/(ElecSteamGenEffNew/Enthalpy)/BldgHtgEffNew</f>
        <v>0.31500358844294063</v>
      </c>
      <c r="J301"/>
      <c r="K301" s="23" t="s">
        <v>153</v>
      </c>
      <c r="L301" s="3" t="s">
        <v>180</v>
      </c>
    </row>
    <row r="302" spans="2:12" s="1" customFormat="1" x14ac:dyDescent="0.25">
      <c r="B302" t="s">
        <v>136</v>
      </c>
      <c r="C302" t="s">
        <v>165</v>
      </c>
      <c r="D302" s="23" t="s">
        <v>60</v>
      </c>
      <c r="E302" s="23" t="s">
        <v>60</v>
      </c>
      <c r="F302" s="23" t="s">
        <v>60</v>
      </c>
      <c r="G302" s="23" t="s">
        <v>60</v>
      </c>
      <c r="H302" s="23" t="s">
        <v>60</v>
      </c>
      <c r="I302" s="17">
        <v>0</v>
      </c>
      <c r="J302"/>
      <c r="K302" s="23" t="s">
        <v>186</v>
      </c>
      <c r="L302" s="3" t="s">
        <v>181</v>
      </c>
    </row>
    <row r="303" spans="2:12" s="1" customFormat="1" x14ac:dyDescent="0.25">
      <c r="B303" t="s">
        <v>154</v>
      </c>
      <c r="C303" t="s">
        <v>166</v>
      </c>
      <c r="D303" s="23" t="s">
        <v>60</v>
      </c>
      <c r="E303" s="23" t="s">
        <v>60</v>
      </c>
      <c r="F303" s="23" t="s">
        <v>60</v>
      </c>
      <c r="G303" s="23" t="s">
        <v>60</v>
      </c>
      <c r="H303" s="23" t="s">
        <v>60</v>
      </c>
      <c r="I303" s="48">
        <f>1/SteamDensity/ft3_per_ccf/(1-BldgSteamLossNew)</f>
        <v>1.6862610197157637E-4</v>
      </c>
      <c r="J303"/>
      <c r="K303" s="23"/>
      <c r="L303" s="3" t="s">
        <v>182</v>
      </c>
    </row>
    <row r="305" spans="2:12" s="1" customFormat="1" ht="15.75" thickBot="1" x14ac:dyDescent="0.3">
      <c r="B305" s="20" t="s">
        <v>141</v>
      </c>
      <c r="C305" s="20"/>
      <c r="D305" s="20"/>
      <c r="E305" s="20"/>
      <c r="F305" s="20"/>
      <c r="G305" s="20"/>
      <c r="H305" s="20"/>
      <c r="I305" s="20"/>
      <c r="J305" s="20"/>
      <c r="K305" s="20"/>
      <c r="L305" s="3"/>
    </row>
    <row r="306" spans="2:12" s="1" customFormat="1" x14ac:dyDescent="0.25">
      <c r="B306" t="s">
        <v>141</v>
      </c>
      <c r="C306" t="s">
        <v>167</v>
      </c>
      <c r="D306" s="23" t="s">
        <v>60</v>
      </c>
      <c r="E306" s="23" t="s">
        <v>60</v>
      </c>
      <c r="F306" s="23" t="s">
        <v>60</v>
      </c>
      <c r="G306" s="23" t="s">
        <v>60</v>
      </c>
      <c r="H306" s="23" t="s">
        <v>60</v>
      </c>
      <c r="I306" s="42">
        <f>1+TransfLossNew</f>
        <v>1.02</v>
      </c>
      <c r="J306"/>
      <c r="K306" s="23" t="s">
        <v>187</v>
      </c>
      <c r="L306" s="3" t="s">
        <v>183</v>
      </c>
    </row>
    <row r="308" spans="2:12" s="1" customFormat="1" ht="15.75" thickBot="1" x14ac:dyDescent="0.3">
      <c r="B308" s="20" t="s">
        <v>168</v>
      </c>
      <c r="C308" s="20"/>
      <c r="D308" s="20"/>
      <c r="E308" s="20"/>
      <c r="F308" s="20"/>
      <c r="G308" s="20"/>
      <c r="H308" s="20"/>
      <c r="I308" s="20"/>
      <c r="J308" s="20"/>
      <c r="K308" s="20"/>
      <c r="L308" s="3"/>
    </row>
    <row r="309" spans="2:12" s="1" customFormat="1" x14ac:dyDescent="0.25">
      <c r="B309" t="s">
        <v>141</v>
      </c>
      <c r="C309" t="s">
        <v>109</v>
      </c>
      <c r="D309" s="23"/>
      <c r="E309" s="23"/>
      <c r="F309" s="23"/>
      <c r="G309" s="23"/>
      <c r="H309" s="23"/>
      <c r="I309" s="23"/>
      <c r="J309"/>
      <c r="K309" s="23"/>
      <c r="L309" s="3"/>
    </row>
    <row r="310" spans="2:12" s="1" customFormat="1" x14ac:dyDescent="0.25">
      <c r="B310" t="s">
        <v>136</v>
      </c>
      <c r="C310" t="s">
        <v>169</v>
      </c>
      <c r="D310" s="23"/>
      <c r="E310" s="23"/>
      <c r="F310" s="23"/>
      <c r="G310" s="23"/>
      <c r="H310" s="23"/>
      <c r="I310" s="23"/>
      <c r="J310"/>
      <c r="K310" s="23"/>
      <c r="L310" s="3"/>
    </row>
    <row r="311" spans="2:12" s="1" customFormat="1" x14ac:dyDescent="0.25">
      <c r="B311" t="s">
        <v>154</v>
      </c>
      <c r="C311" t="s">
        <v>170</v>
      </c>
      <c r="D311" s="23"/>
      <c r="E311" s="23"/>
      <c r="F311" s="23"/>
      <c r="G311" s="23"/>
      <c r="H311" s="23"/>
      <c r="I311" s="17"/>
      <c r="J311"/>
      <c r="K311" s="23"/>
      <c r="L311" s="3"/>
    </row>
    <row r="314" spans="2:12" s="1" customFormat="1" ht="20.25" thickBot="1" x14ac:dyDescent="0.35">
      <c r="B314" s="18" t="s">
        <v>207</v>
      </c>
      <c r="C314" s="18"/>
      <c r="D314" s="18"/>
      <c r="E314" s="18"/>
      <c r="F314" s="18"/>
      <c r="G314" s="18"/>
      <c r="H314" s="18"/>
      <c r="I314" s="18"/>
      <c r="J314" s="18"/>
      <c r="K314" s="18"/>
      <c r="L314" s="3"/>
    </row>
    <row r="315" spans="2:12" s="1" customFormat="1" ht="18" thickTop="1" thickBot="1" x14ac:dyDescent="0.3">
      <c r="B315" s="19" t="s">
        <v>12</v>
      </c>
      <c r="C315" s="19" t="s">
        <v>13</v>
      </c>
      <c r="D315" s="19" t="s">
        <v>14</v>
      </c>
      <c r="E315" s="19"/>
      <c r="F315" s="19"/>
      <c r="G315" s="19"/>
      <c r="H315" s="19"/>
      <c r="I315" s="19"/>
      <c r="J315" s="19"/>
      <c r="K315" s="19" t="s">
        <v>15</v>
      </c>
      <c r="L315" s="3"/>
    </row>
    <row r="316" spans="2:12" s="1" customFormat="1" ht="16.5" thickTop="1" thickBot="1" x14ac:dyDescent="0.3">
      <c r="B316" s="20" t="s">
        <v>143</v>
      </c>
      <c r="C316" s="20"/>
      <c r="D316" s="20" t="s">
        <v>144</v>
      </c>
      <c r="E316" s="20" t="s">
        <v>145</v>
      </c>
      <c r="F316" s="20" t="s">
        <v>146</v>
      </c>
      <c r="G316" s="20" t="s">
        <v>147</v>
      </c>
      <c r="H316" s="20" t="s">
        <v>148</v>
      </c>
      <c r="I316" s="20" t="s">
        <v>149</v>
      </c>
      <c r="J316" s="20"/>
      <c r="K316" s="20"/>
      <c r="L316" s="3"/>
    </row>
    <row r="317" spans="2:12" s="1" customFormat="1" x14ac:dyDescent="0.25">
      <c r="B317" t="s">
        <v>141</v>
      </c>
      <c r="C317" t="s">
        <v>150</v>
      </c>
      <c r="D317" s="23" t="s">
        <v>60</v>
      </c>
      <c r="E317" s="23" t="s">
        <v>60</v>
      </c>
      <c r="F317" s="23" t="s">
        <v>60</v>
      </c>
      <c r="G317" s="23" t="s">
        <v>60</v>
      </c>
      <c r="H317" s="23" t="s">
        <v>60</v>
      </c>
      <c r="I317" s="43">
        <f>1/(HP_EERnew*(1+HRCoffsetNew))*Btu_per_kBtu/(1-DistHHWLossNew)/BldgHtgEffNew</f>
        <v>77.513371056507253</v>
      </c>
      <c r="J317"/>
      <c r="K317" s="23" t="s">
        <v>153</v>
      </c>
      <c r="L317" s="3"/>
    </row>
    <row r="318" spans="2:12" s="1" customFormat="1" x14ac:dyDescent="0.25">
      <c r="B318" t="s">
        <v>136</v>
      </c>
      <c r="C318" t="s">
        <v>152</v>
      </c>
      <c r="D318" s="23" t="s">
        <v>60</v>
      </c>
      <c r="E318" s="23" t="s">
        <v>60</v>
      </c>
      <c r="F318" s="23" t="s">
        <v>60</v>
      </c>
      <c r="G318" s="23" t="s">
        <v>60</v>
      </c>
      <c r="H318" s="23" t="s">
        <v>60</v>
      </c>
      <c r="I318" s="23">
        <v>0</v>
      </c>
      <c r="J318"/>
      <c r="K318" s="23" t="s">
        <v>185</v>
      </c>
      <c r="L318" s="3"/>
    </row>
    <row r="319" spans="2:12" s="1" customFormat="1" x14ac:dyDescent="0.25">
      <c r="B319" t="s">
        <v>154</v>
      </c>
      <c r="C319" t="s">
        <v>155</v>
      </c>
      <c r="D319" s="23" t="s">
        <v>60</v>
      </c>
      <c r="E319" s="23" t="s">
        <v>60</v>
      </c>
      <c r="F319" s="23" t="s">
        <v>60</v>
      </c>
      <c r="G319" s="23" t="s">
        <v>60</v>
      </c>
      <c r="H319" s="23" t="s">
        <v>60</v>
      </c>
      <c r="I319" s="43">
        <f>1/HtgDeltaTNew/Btu_per_Fgpm/Gal_per_CCF*Min_per_hr*Btu_per_kBtu*Btu_per_kBtu*HtgMakeupNew</f>
        <v>3.5641094181591377E-3</v>
      </c>
      <c r="J319"/>
      <c r="K319" s="23" t="s">
        <v>153</v>
      </c>
      <c r="L319" s="3"/>
    </row>
    <row r="321" spans="2:12" s="1" customFormat="1" ht="15.75" thickBot="1" x14ac:dyDescent="0.3">
      <c r="B321" s="20" t="s">
        <v>157</v>
      </c>
      <c r="C321" s="20"/>
      <c r="D321" s="20"/>
      <c r="E321" s="20"/>
      <c r="F321" s="20"/>
      <c r="G321" s="20"/>
      <c r="H321" s="20"/>
      <c r="I321" s="20"/>
      <c r="J321" s="20"/>
      <c r="K321" s="20"/>
      <c r="L321" s="3"/>
    </row>
    <row r="322" spans="2:12" s="1" customFormat="1" x14ac:dyDescent="0.25">
      <c r="B322" t="s">
        <v>141</v>
      </c>
      <c r="C322" t="s">
        <v>74</v>
      </c>
      <c r="D322" s="23" t="s">
        <v>60</v>
      </c>
      <c r="E322" s="23" t="s">
        <v>60</v>
      </c>
      <c r="F322" s="23" t="s">
        <v>60</v>
      </c>
      <c r="G322" s="23" t="s">
        <v>60</v>
      </c>
      <c r="H322" s="23" t="s">
        <v>60</v>
      </c>
      <c r="I322" s="8">
        <f>HRCeffNew*HRCcoolingFraction+ElecChillerEffNew*(1-HRCcoolingFraction)</f>
        <v>0.83800000000000008</v>
      </c>
      <c r="J322"/>
      <c r="K322" s="23" t="s">
        <v>177</v>
      </c>
      <c r="L322" s="3"/>
    </row>
    <row r="323" spans="2:12" s="1" customFormat="1" x14ac:dyDescent="0.25">
      <c r="B323" t="s">
        <v>154</v>
      </c>
      <c r="C323" t="s">
        <v>161</v>
      </c>
      <c r="D323" s="23" t="s">
        <v>60</v>
      </c>
      <c r="E323" s="23" t="s">
        <v>60</v>
      </c>
      <c r="F323" s="23" t="s">
        <v>60</v>
      </c>
      <c r="G323" s="23" t="s">
        <v>60</v>
      </c>
      <c r="H323" s="23" t="s">
        <v>60</v>
      </c>
      <c r="I323" s="43">
        <f>ClgTowerFlowNew*Min_per_hr*ClgTowerEvapNew/Gal_per_CCF</f>
        <v>3.4724174308740897E-3</v>
      </c>
      <c r="J323"/>
      <c r="K323" s="23" t="s">
        <v>153</v>
      </c>
      <c r="L323" s="3"/>
    </row>
    <row r="325" spans="2:12" s="1" customFormat="1" ht="15.75" thickBot="1" x14ac:dyDescent="0.3">
      <c r="B325" s="20" t="s">
        <v>162</v>
      </c>
      <c r="C325" s="20"/>
      <c r="D325" s="20"/>
      <c r="E325" s="20"/>
      <c r="F325" s="20"/>
      <c r="G325" s="20"/>
      <c r="H325" s="20"/>
      <c r="I325" s="20"/>
      <c r="J325" s="20"/>
      <c r="K325" s="20"/>
      <c r="L325" s="3"/>
    </row>
    <row r="326" spans="2:12" s="1" customFormat="1" x14ac:dyDescent="0.25">
      <c r="B326" t="s">
        <v>141</v>
      </c>
      <c r="C326" t="s">
        <v>163</v>
      </c>
      <c r="D326" s="23" t="s">
        <v>60</v>
      </c>
      <c r="E326" s="23" t="s">
        <v>60</v>
      </c>
      <c r="F326" s="23" t="s">
        <v>60</v>
      </c>
      <c r="G326" s="23" t="s">
        <v>60</v>
      </c>
      <c r="H326" s="23" t="s">
        <v>60</v>
      </c>
      <c r="I326" s="38">
        <f>1/Btuh_per_W*(1/Btu_per_kBtu)/(ElecSteamGenEffNew/Enthalpy)/BldgHtgEffNew</f>
        <v>0.31500358844294063</v>
      </c>
      <c r="J326"/>
      <c r="K326" s="23" t="s">
        <v>153</v>
      </c>
      <c r="L326" s="3"/>
    </row>
    <row r="327" spans="2:12" s="1" customFormat="1" x14ac:dyDescent="0.25">
      <c r="B327" t="s">
        <v>136</v>
      </c>
      <c r="C327" t="s">
        <v>165</v>
      </c>
      <c r="D327" s="23" t="s">
        <v>60</v>
      </c>
      <c r="E327" s="23" t="s">
        <v>60</v>
      </c>
      <c r="F327" s="23" t="s">
        <v>60</v>
      </c>
      <c r="G327" s="23" t="s">
        <v>60</v>
      </c>
      <c r="H327" s="23" t="s">
        <v>60</v>
      </c>
      <c r="I327" s="17">
        <v>0</v>
      </c>
      <c r="J327"/>
      <c r="K327" s="23" t="s">
        <v>186</v>
      </c>
      <c r="L327" s="3"/>
    </row>
    <row r="328" spans="2:12" s="1" customFormat="1" x14ac:dyDescent="0.25">
      <c r="B328" t="s">
        <v>154</v>
      </c>
      <c r="C328" t="s">
        <v>166</v>
      </c>
      <c r="D328" s="23" t="s">
        <v>60</v>
      </c>
      <c r="E328" s="23" t="s">
        <v>60</v>
      </c>
      <c r="F328" s="23" t="s">
        <v>60</v>
      </c>
      <c r="G328" s="23" t="s">
        <v>60</v>
      </c>
      <c r="H328" s="23" t="s">
        <v>60</v>
      </c>
      <c r="I328" s="48">
        <f>1/SteamDensity/ft3_per_ccf/(1-BldgSteamLossNew)</f>
        <v>1.6862610197157637E-4</v>
      </c>
      <c r="J328"/>
      <c r="K328" s="23"/>
      <c r="L328" s="3"/>
    </row>
    <row r="330" spans="2:12" s="1" customFormat="1" ht="15.75" thickBot="1" x14ac:dyDescent="0.3">
      <c r="B330" s="20" t="s">
        <v>141</v>
      </c>
      <c r="C330" s="20"/>
      <c r="D330" s="20"/>
      <c r="E330" s="20"/>
      <c r="F330" s="20"/>
      <c r="G330" s="20"/>
      <c r="H330" s="20"/>
      <c r="I330" s="20"/>
      <c r="J330" s="20"/>
      <c r="K330" s="20"/>
      <c r="L330" s="3"/>
    </row>
    <row r="331" spans="2:12" s="1" customFormat="1" x14ac:dyDescent="0.25">
      <c r="B331" t="s">
        <v>141</v>
      </c>
      <c r="C331" t="s">
        <v>167</v>
      </c>
      <c r="D331" s="23" t="s">
        <v>60</v>
      </c>
      <c r="E331" s="23" t="s">
        <v>60</v>
      </c>
      <c r="F331" s="23" t="s">
        <v>60</v>
      </c>
      <c r="G331" s="23" t="s">
        <v>60</v>
      </c>
      <c r="H331" s="23" t="s">
        <v>60</v>
      </c>
      <c r="I331" s="42">
        <f>1+TransfLossNew</f>
        <v>1.02</v>
      </c>
      <c r="J331"/>
      <c r="K331" s="23" t="s">
        <v>187</v>
      </c>
      <c r="L331" s="3"/>
    </row>
    <row r="333" spans="2:12" s="1" customFormat="1" ht="15.75" thickBot="1" x14ac:dyDescent="0.3">
      <c r="B333" s="20" t="s">
        <v>168</v>
      </c>
      <c r="C333" s="20"/>
      <c r="D333" s="20"/>
      <c r="E333" s="20"/>
      <c r="F333" s="20"/>
      <c r="G333" s="20"/>
      <c r="H333" s="20"/>
      <c r="I333" s="20"/>
      <c r="J333" s="20"/>
      <c r="K333" s="20"/>
      <c r="L333" s="3"/>
    </row>
    <row r="334" spans="2:12" s="1" customFormat="1" x14ac:dyDescent="0.25">
      <c r="B334" t="s">
        <v>141</v>
      </c>
      <c r="C334" t="s">
        <v>109</v>
      </c>
      <c r="D334" s="23"/>
      <c r="E334" s="23"/>
      <c r="F334" s="23"/>
      <c r="G334" s="23"/>
      <c r="H334" s="23"/>
      <c r="I334" s="23"/>
      <c r="J334"/>
      <c r="K334" s="23"/>
      <c r="L334" s="3"/>
    </row>
    <row r="335" spans="2:12" s="1" customFormat="1" x14ac:dyDescent="0.25">
      <c r="B335" t="s">
        <v>136</v>
      </c>
      <c r="C335" t="s">
        <v>169</v>
      </c>
      <c r="D335" s="23"/>
      <c r="E335" s="23"/>
      <c r="F335" s="23"/>
      <c r="G335" s="23"/>
      <c r="H335" s="23"/>
      <c r="I335" s="23"/>
      <c r="J335"/>
      <c r="K335" s="23"/>
      <c r="L335" s="3"/>
    </row>
    <row r="336" spans="2:12" s="1" customFormat="1" x14ac:dyDescent="0.25">
      <c r="B336" t="s">
        <v>154</v>
      </c>
      <c r="C336" t="s">
        <v>170</v>
      </c>
      <c r="D336" s="23"/>
      <c r="E336" s="23"/>
      <c r="F336" s="23"/>
      <c r="G336" s="23"/>
      <c r="H336" s="23"/>
      <c r="I336" s="17"/>
      <c r="J336"/>
      <c r="K336" s="23"/>
      <c r="L336" s="3"/>
    </row>
    <row r="339" spans="2:14" s="1" customFormat="1" ht="20.25" thickBot="1" x14ac:dyDescent="0.35">
      <c r="B339" s="18" t="s">
        <v>208</v>
      </c>
      <c r="C339" s="18"/>
      <c r="D339" s="18"/>
      <c r="E339" s="18"/>
      <c r="F339" s="18"/>
      <c r="G339" s="18"/>
      <c r="H339" s="18"/>
      <c r="I339" s="18"/>
      <c r="J339" s="18"/>
      <c r="K339" s="18"/>
      <c r="L339" s="3"/>
    </row>
    <row r="340" spans="2:14" s="1" customFormat="1" ht="18" thickTop="1" thickBot="1" x14ac:dyDescent="0.3">
      <c r="B340" s="19" t="s">
        <v>12</v>
      </c>
      <c r="C340" s="19" t="s">
        <v>13</v>
      </c>
      <c r="D340" s="19" t="s">
        <v>14</v>
      </c>
      <c r="E340" s="19"/>
      <c r="F340" s="19"/>
      <c r="G340" s="19"/>
      <c r="H340" s="19"/>
      <c r="I340" s="19"/>
      <c r="J340" s="19"/>
      <c r="K340" s="19" t="s">
        <v>15</v>
      </c>
      <c r="L340" s="3"/>
    </row>
    <row r="341" spans="2:14" s="1" customFormat="1" ht="16.5" thickTop="1" thickBot="1" x14ac:dyDescent="0.3">
      <c r="B341" s="20" t="s">
        <v>143</v>
      </c>
      <c r="C341" s="20"/>
      <c r="D341" s="20" t="s">
        <v>144</v>
      </c>
      <c r="E341" s="20" t="s">
        <v>145</v>
      </c>
      <c r="F341" s="20" t="s">
        <v>146</v>
      </c>
      <c r="G341" s="20" t="s">
        <v>147</v>
      </c>
      <c r="H341" s="20" t="s">
        <v>148</v>
      </c>
      <c r="I341" s="20" t="s">
        <v>149</v>
      </c>
      <c r="J341" s="20"/>
      <c r="K341" s="20"/>
      <c r="L341" s="3"/>
    </row>
    <row r="342" spans="2:14" s="1" customFormat="1" x14ac:dyDescent="0.25">
      <c r="B342" t="s">
        <v>141</v>
      </c>
      <c r="C342" t="s">
        <v>150</v>
      </c>
      <c r="D342" s="43">
        <f>1/(HP_EERnew*(1+HRCoffsetNew))*Btu_per_kBtu/(1-DistHHWLossNew)/BldgHtgEffNew</f>
        <v>77.513371056507253</v>
      </c>
      <c r="E342" s="17">
        <v>0</v>
      </c>
      <c r="F342" s="43">
        <f>1/(HP_EERnew*(1+HRCoffsetNew))*Btu_per_kBtu/(1-DistHHWLossNew)/BldgHtgEffNew</f>
        <v>77.513371056507253</v>
      </c>
      <c r="G342" s="17">
        <v>0</v>
      </c>
      <c r="H342" s="17">
        <v>0</v>
      </c>
      <c r="I342" s="23" t="s">
        <v>60</v>
      </c>
      <c r="J342"/>
      <c r="K342" s="23" t="s">
        <v>209</v>
      </c>
      <c r="L342" s="3"/>
      <c r="M342" s="3" t="s">
        <v>210</v>
      </c>
      <c r="N342" s="3"/>
    </row>
    <row r="343" spans="2:14" s="1" customFormat="1" x14ac:dyDescent="0.25">
      <c r="B343" t="s">
        <v>136</v>
      </c>
      <c r="C343" t="s">
        <v>152</v>
      </c>
      <c r="D343" s="23">
        <v>0</v>
      </c>
      <c r="E343" s="38">
        <f>1/Btu_per_therm/(CogenEffExstg/(Btu_per_kBtu*Btu_per_kBtu))/(1-BldgSteamLossNew)/BldgHtgEffNew/(1-DistSteamLossNew)</f>
        <v>20.580112202771733</v>
      </c>
      <c r="F343" s="23">
        <v>0</v>
      </c>
      <c r="G343" s="38">
        <f>1/Btu_per_therm/(CogenEffExstg/(Btu_per_kBtu*Btu_per_kBtu))/(1-BldgSteamLossNew)/BldgHtgEffNew/(1-DistSteamLossNew)</f>
        <v>20.580112202771733</v>
      </c>
      <c r="H343" s="38">
        <f>1/Btu_per_therm/(CogenEffExstg/(Btu_per_kBtu*Btu_per_kBtu))/(1-BldgSteamLossNew)/BldgHtgEffNew/(1-DistSteamLossNew)</f>
        <v>20.580112202771733</v>
      </c>
      <c r="I343" s="23" t="s">
        <v>60</v>
      </c>
      <c r="J343"/>
      <c r="K343" s="23" t="s">
        <v>209</v>
      </c>
      <c r="L343" s="3"/>
      <c r="M343" s="3" t="s">
        <v>211</v>
      </c>
      <c r="N343" s="3"/>
    </row>
    <row r="344" spans="2:14" s="1" customFormat="1" x14ac:dyDescent="0.25">
      <c r="B344" t="s">
        <v>154</v>
      </c>
      <c r="C344" t="s">
        <v>155</v>
      </c>
      <c r="D344" s="43">
        <f>1/HtgDeltaTNew/Btu_per_Fgpm/Gal_per_CCF*Min_per_hr*Btu_per_kBtu*Btu_per_kBtu*HtgMakeupNew</f>
        <v>3.5641094181591377E-3</v>
      </c>
      <c r="E344" s="43">
        <f>Htg_exstg_CCF_per_MMBtu_campus/SteamWtrLossExstg*SteamWtrLossNew</f>
        <v>8.6300000000000002E-2</v>
      </c>
      <c r="F344" s="43">
        <f>1/HtgDeltaTNew/Btu_per_Fgpm/Gal_per_CCF*Min_per_hr*Btu_per_kBtu*Btu_per_kBtu*HtgMakeupNew</f>
        <v>3.5641094181591377E-3</v>
      </c>
      <c r="G344" s="43">
        <f>Htg_exstg_CCF_per_MMBtu_campus/SteamWtrLossExstg*SteamWtrLossNew</f>
        <v>8.6300000000000002E-2</v>
      </c>
      <c r="H344" s="43">
        <f>Htg_exstg_CCF_per_MMBtu_campus/SteamWtrLossExstg*SteamWtrLossNew</f>
        <v>8.6300000000000002E-2</v>
      </c>
      <c r="I344" s="23" t="s">
        <v>60</v>
      </c>
      <c r="J344"/>
      <c r="K344" s="23" t="s">
        <v>209</v>
      </c>
      <c r="L344" s="3"/>
      <c r="M344" s="3" t="s">
        <v>212</v>
      </c>
      <c r="N344" s="3"/>
    </row>
    <row r="345" spans="2:14" x14ac:dyDescent="0.25">
      <c r="M345" s="3"/>
      <c r="N345" s="3"/>
    </row>
    <row r="346" spans="2:14" s="1" customFormat="1" ht="15.75" thickBot="1" x14ac:dyDescent="0.3">
      <c r="B346" s="20" t="s">
        <v>157</v>
      </c>
      <c r="C346" s="20"/>
      <c r="D346" s="20"/>
      <c r="E346" s="20"/>
      <c r="F346" s="20"/>
      <c r="G346" s="20"/>
      <c r="H346" s="20"/>
      <c r="I346" s="20"/>
      <c r="J346" s="20"/>
      <c r="K346" s="20"/>
      <c r="L346" s="3"/>
      <c r="M346" s="3"/>
      <c r="N346" s="3"/>
    </row>
    <row r="347" spans="2:14" s="1" customFormat="1" x14ac:dyDescent="0.25">
      <c r="B347" t="s">
        <v>141</v>
      </c>
      <c r="C347" t="s">
        <v>74</v>
      </c>
      <c r="D347" s="8">
        <f>HRCeffNew*HRCcoolingFraction+ElecChillerEffNew*(1-HRCcoolingFraction)</f>
        <v>0.83800000000000008</v>
      </c>
      <c r="E347" s="8">
        <f>ElecChillerEffExstg</f>
        <v>1.25</v>
      </c>
      <c r="F347" s="8">
        <f>HRCeffNew*HRCcoolingFraction+ElecChillerEffNew*(1-HRCcoolingFraction)</f>
        <v>0.83800000000000008</v>
      </c>
      <c r="G347" s="8">
        <f>ElecChillerEffExstg</f>
        <v>1.25</v>
      </c>
      <c r="H347" s="8">
        <f>ElecChillerEffExstg</f>
        <v>1.25</v>
      </c>
      <c r="I347" s="23" t="s">
        <v>60</v>
      </c>
      <c r="J347"/>
      <c r="K347" s="23" t="s">
        <v>209</v>
      </c>
      <c r="L347" s="3"/>
      <c r="M347" s="3" t="s">
        <v>213</v>
      </c>
      <c r="N347" s="3"/>
    </row>
    <row r="348" spans="2:14" s="1" customFormat="1" x14ac:dyDescent="0.25">
      <c r="B348" t="s">
        <v>136</v>
      </c>
      <c r="C348" t="s">
        <v>160</v>
      </c>
      <c r="D348" s="23" t="s">
        <v>60</v>
      </c>
      <c r="E348" s="35">
        <f>(1/Btu_per_therm/(1-DistSteamLossNew)/(1-BldgSteamLossNew)/(1-CogenEffExstg))/(AbsChillerEffExstg/Btu_per_ton)</f>
        <v>1.2071463061323033</v>
      </c>
      <c r="F348" s="23" t="s">
        <v>60</v>
      </c>
      <c r="G348" s="35">
        <f>(1/Btu_per_therm/(1-DistSteamLossNew)/(1-BldgSteamLossNew)/(1-CogenEffExstg))/(AbsChillerEffExstg/Btu_per_ton)</f>
        <v>1.2071463061323033</v>
      </c>
      <c r="H348" s="35">
        <f>(1/Btu_per_therm/(1-DistSteamLossNew)/(1-BldgSteamLossNew)/(1-CogenEffExstg))/(AbsChillerEffExstg/Btu_per_ton)</f>
        <v>1.2071463061323033</v>
      </c>
      <c r="I348" s="23"/>
      <c r="J348"/>
      <c r="K348" s="23"/>
      <c r="L348" s="3"/>
      <c r="M348" s="3" t="s">
        <v>214</v>
      </c>
      <c r="N348" s="3"/>
    </row>
    <row r="349" spans="2:14" s="1" customFormat="1" x14ac:dyDescent="0.25">
      <c r="B349" t="s">
        <v>154</v>
      </c>
      <c r="C349" t="s">
        <v>161</v>
      </c>
      <c r="D349" s="43">
        <f>ClgTowerFlowNew*Min_per_hr*ClgTowerEvapNew/Gal_per_CCF</f>
        <v>3.4724174308740897E-3</v>
      </c>
      <c r="E349" s="43">
        <f>ClgTowerFlowExstg*Min_per_hr*ClgTowerEvapExstg/Gal_per_CCF</f>
        <v>5.2086261463111351E-3</v>
      </c>
      <c r="F349" s="43">
        <f>ClgTowerFlowNew*Min_per_hr*ClgTowerEvapNew/Gal_per_CCF</f>
        <v>3.4724174308740897E-3</v>
      </c>
      <c r="G349" s="43">
        <f>ClgTowerFlowExstg*Min_per_hr*ClgTowerEvapExstg/Gal_per_CCF</f>
        <v>5.2086261463111351E-3</v>
      </c>
      <c r="H349" s="43">
        <f>ClgTowerFlowExstg*Min_per_hr*ClgTowerEvapExstg/Gal_per_CCF</f>
        <v>5.2086261463111351E-3</v>
      </c>
      <c r="I349" s="23" t="s">
        <v>60</v>
      </c>
      <c r="J349"/>
      <c r="K349" s="23" t="s">
        <v>209</v>
      </c>
      <c r="L349" s="3"/>
      <c r="M349" s="3" t="s">
        <v>215</v>
      </c>
      <c r="N349" s="3"/>
    </row>
    <row r="350" spans="2:14" x14ac:dyDescent="0.25">
      <c r="M350" s="3"/>
      <c r="N350" s="3"/>
    </row>
    <row r="351" spans="2:14" s="1" customFormat="1" ht="15.75" thickBot="1" x14ac:dyDescent="0.3">
      <c r="B351" s="20" t="s">
        <v>162</v>
      </c>
      <c r="C351" s="20"/>
      <c r="D351" s="20"/>
      <c r="E351" s="20"/>
      <c r="F351" s="20"/>
      <c r="G351" s="20"/>
      <c r="H351" s="20"/>
      <c r="I351" s="20"/>
      <c r="J351" s="20"/>
      <c r="K351" s="20"/>
      <c r="L351" s="3"/>
      <c r="M351" s="3"/>
      <c r="N351" s="3"/>
    </row>
    <row r="352" spans="2:14" s="1" customFormat="1" x14ac:dyDescent="0.25">
      <c r="B352" t="s">
        <v>141</v>
      </c>
      <c r="C352" t="s">
        <v>163</v>
      </c>
      <c r="D352" s="38">
        <f>1/Btuh_per_W*(1/Btu_per_kBtu)/(ElecSteamGenEffNew/Enthalpy)/BldgHtgEffNew</f>
        <v>0.31500358844294063</v>
      </c>
      <c r="E352" s="17">
        <v>0</v>
      </c>
      <c r="F352" s="38">
        <f>1/Btuh_per_W*(1/Btu_per_kBtu)/(ElecSteamGenEffNew/Enthalpy)/BldgHtgEffNew</f>
        <v>0.31500358844294063</v>
      </c>
      <c r="G352" s="17">
        <v>0</v>
      </c>
      <c r="H352" s="17">
        <v>0</v>
      </c>
      <c r="I352" s="23" t="s">
        <v>60</v>
      </c>
      <c r="J352"/>
      <c r="K352" s="23" t="s">
        <v>209</v>
      </c>
      <c r="L352" s="3"/>
      <c r="M352" s="3" t="s">
        <v>216</v>
      </c>
      <c r="N352" s="3"/>
    </row>
    <row r="353" spans="2:14" s="1" customFormat="1" x14ac:dyDescent="0.25">
      <c r="B353" t="s">
        <v>136</v>
      </c>
      <c r="C353" t="s">
        <v>165</v>
      </c>
      <c r="D353" s="17">
        <v>0</v>
      </c>
      <c r="E353" s="38">
        <f>1/Btu_per_therm/(CogenEffExstg/Enthalpy)/(1-BldgSteamLossNew)/BldgHtgEffExstg/(1-DistSteamLossNew)</f>
        <v>1.9962708836688582E-2</v>
      </c>
      <c r="F353" s="17">
        <v>0</v>
      </c>
      <c r="G353" s="38">
        <f>1/Btu_per_therm/(CogenEffExstg/Enthalpy)/(1-BldgSteamLossNew)/BldgHtgEffExstg/(1-DistSteamLossNew)</f>
        <v>1.9962708836688582E-2</v>
      </c>
      <c r="H353" s="38">
        <f>1/Btu_per_therm/(CogenEffExstg/Enthalpy)/(1-BldgSteamLossNew)/BldgHtgEffExstg/(1-DistSteamLossNew)</f>
        <v>1.9962708836688582E-2</v>
      </c>
      <c r="I353" s="23" t="s">
        <v>60</v>
      </c>
      <c r="J353"/>
      <c r="K353" s="23" t="s">
        <v>209</v>
      </c>
      <c r="L353" s="3"/>
      <c r="M353" s="3" t="s">
        <v>217</v>
      </c>
      <c r="N353" s="3"/>
    </row>
    <row r="354" spans="2:14" s="1" customFormat="1" x14ac:dyDescent="0.25">
      <c r="B354" t="s">
        <v>154</v>
      </c>
      <c r="C354" t="s">
        <v>166</v>
      </c>
      <c r="D354" s="48">
        <f>1/SteamDensity/ft3_per_ccf/(1-BldgSteamLossNew)</f>
        <v>1.6862610197157637E-4</v>
      </c>
      <c r="E354" s="35">
        <f>1/SteamDensity/ft3_per_ccf/(1-BldgSteamLossNew)/(1-SteamWtrLossNew)</f>
        <v>1.8736233552397373E-4</v>
      </c>
      <c r="F354" s="48">
        <f>1/SteamDensity/ft3_per_ccf/(1-BldgSteamLossNew)</f>
        <v>1.6862610197157637E-4</v>
      </c>
      <c r="G354" s="35">
        <f>1/SteamDensity/ft3_per_ccf/(1-BldgSteamLossNew)/(1-SteamWtrLossNew)</f>
        <v>1.8736233552397373E-4</v>
      </c>
      <c r="H354" s="35">
        <f>1/SteamDensity/ft3_per_ccf/(1-BldgSteamLossNew)/(1-SteamWtrLossNew)</f>
        <v>1.8736233552397373E-4</v>
      </c>
      <c r="I354" s="23" t="s">
        <v>60</v>
      </c>
      <c r="J354"/>
      <c r="K354" s="23" t="s">
        <v>209</v>
      </c>
      <c r="L354" s="3"/>
      <c r="M354" s="3" t="s">
        <v>218</v>
      </c>
      <c r="N354" s="3"/>
    </row>
    <row r="355" spans="2:14" x14ac:dyDescent="0.25">
      <c r="M355" s="3"/>
      <c r="N355" s="3"/>
    </row>
    <row r="356" spans="2:14" s="1" customFormat="1" ht="15.75" thickBot="1" x14ac:dyDescent="0.3">
      <c r="B356" s="20" t="s">
        <v>141</v>
      </c>
      <c r="C356" s="20"/>
      <c r="D356" s="20"/>
      <c r="E356" s="20"/>
      <c r="F356" s="20"/>
      <c r="G356" s="20"/>
      <c r="H356" s="20"/>
      <c r="I356" s="20"/>
      <c r="J356" s="20"/>
      <c r="K356" s="20"/>
      <c r="L356" s="3"/>
      <c r="M356" s="3"/>
      <c r="N356" s="3"/>
    </row>
    <row r="357" spans="2:14" s="1" customFormat="1" x14ac:dyDescent="0.25">
      <c r="B357" t="s">
        <v>141</v>
      </c>
      <c r="C357" t="s">
        <v>167</v>
      </c>
      <c r="D357" s="42">
        <f>1+TransfLossNew</f>
        <v>1.02</v>
      </c>
      <c r="E357" s="42">
        <f>1+TransfLossExstg</f>
        <v>1.05</v>
      </c>
      <c r="F357" s="42">
        <f>1+TransfLossNew</f>
        <v>1.02</v>
      </c>
      <c r="G357" s="42">
        <f>1+TransfLossExstg</f>
        <v>1.05</v>
      </c>
      <c r="H357" s="42">
        <f>1+TransfLossExstg</f>
        <v>1.05</v>
      </c>
      <c r="I357" s="23" t="s">
        <v>60</v>
      </c>
      <c r="J357"/>
      <c r="K357" s="23" t="s">
        <v>209</v>
      </c>
      <c r="L357" s="3"/>
      <c r="M357" s="3" t="s">
        <v>219</v>
      </c>
      <c r="N357" s="3"/>
    </row>
    <row r="359" spans="2:14" s="1" customFormat="1" ht="15.75" thickBot="1" x14ac:dyDescent="0.3">
      <c r="B359" s="20" t="s">
        <v>168</v>
      </c>
      <c r="C359" s="20"/>
      <c r="D359" s="20"/>
      <c r="E359" s="20"/>
      <c r="F359" s="20"/>
      <c r="G359" s="20"/>
      <c r="H359" s="20"/>
      <c r="I359" s="20"/>
      <c r="J359" s="20"/>
      <c r="K359" s="20"/>
      <c r="L359" s="3"/>
    </row>
    <row r="360" spans="2:14" s="1" customFormat="1" x14ac:dyDescent="0.25">
      <c r="B360" t="s">
        <v>141</v>
      </c>
      <c r="C360" t="s">
        <v>109</v>
      </c>
      <c r="D360" s="23"/>
      <c r="E360" s="23"/>
      <c r="F360" s="23"/>
      <c r="G360" s="23"/>
      <c r="H360" s="23"/>
      <c r="I360" s="23"/>
      <c r="J360"/>
      <c r="K360" s="23"/>
      <c r="L360" s="3"/>
    </row>
    <row r="361" spans="2:14" s="1" customFormat="1" x14ac:dyDescent="0.25">
      <c r="B361" t="s">
        <v>136</v>
      </c>
      <c r="C361" t="s">
        <v>169</v>
      </c>
      <c r="D361" s="23"/>
      <c r="E361" s="23"/>
      <c r="F361" s="23"/>
      <c r="G361" s="23"/>
      <c r="H361" s="23"/>
      <c r="I361" s="23"/>
      <c r="J361"/>
      <c r="K361" s="23"/>
      <c r="L361" s="3"/>
    </row>
    <row r="362" spans="2:14" s="1" customFormat="1" x14ac:dyDescent="0.25">
      <c r="B362" t="s">
        <v>154</v>
      </c>
      <c r="C362" t="s">
        <v>170</v>
      </c>
      <c r="D362" s="23"/>
      <c r="E362" s="17"/>
      <c r="F362" s="23"/>
      <c r="G362" s="17"/>
      <c r="H362" s="17"/>
      <c r="I362" s="17"/>
      <c r="J362"/>
      <c r="K362" s="23"/>
      <c r="L362" s="3"/>
    </row>
  </sheetData>
  <pageMargins left="0.7" right="0.7" top="0.75" bottom="0.75" header="0.3" footer="0.3"/>
  <pageSetup paperSize="256"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48168-BA42-4AD2-A99B-0482FB98D14C}">
  <dimension ref="B1:T83"/>
  <sheetViews>
    <sheetView workbookViewId="0"/>
  </sheetViews>
  <sheetFormatPr defaultRowHeight="15" x14ac:dyDescent="0.25"/>
  <cols>
    <col min="1" max="1" width="3.7109375" customWidth="1"/>
    <col min="2" max="2" width="15.85546875" customWidth="1"/>
    <col min="3" max="3" width="25.85546875" bestFit="1" customWidth="1"/>
    <col min="4" max="4" width="18.140625" bestFit="1" customWidth="1"/>
    <col min="5" max="5" width="36.140625" bestFit="1" customWidth="1"/>
    <col min="6" max="6" width="9.5703125" bestFit="1" customWidth="1"/>
    <col min="7" max="7" width="21" bestFit="1" customWidth="1"/>
    <col min="8" max="9" width="5.85546875" bestFit="1" customWidth="1"/>
    <col min="11" max="11" width="11.5703125" bestFit="1" customWidth="1"/>
  </cols>
  <sheetData>
    <row r="1" spans="2:20" s="1" customFormat="1" x14ac:dyDescent="0.25">
      <c r="D1" s="9"/>
      <c r="E1" s="9"/>
      <c r="F1" s="9"/>
      <c r="G1" s="9"/>
      <c r="H1" s="9"/>
      <c r="I1" s="9"/>
    </row>
    <row r="2" spans="2:20" s="1" customFormat="1" x14ac:dyDescent="0.25">
      <c r="B2" s="3" t="s">
        <v>0</v>
      </c>
      <c r="C2" s="8" t="str">
        <f>'Global Inputs'!C2</f>
        <v>UC Berkeley</v>
      </c>
      <c r="E2" s="6" t="s">
        <v>2</v>
      </c>
    </row>
    <row r="3" spans="2:20" s="1" customFormat="1" x14ac:dyDescent="0.25">
      <c r="B3" s="3" t="s">
        <v>3</v>
      </c>
      <c r="C3" s="8" t="str">
        <f>'Global Inputs'!C3</f>
        <v>Campus energy study update</v>
      </c>
      <c r="E3" s="8" t="s">
        <v>5</v>
      </c>
    </row>
    <row r="4" spans="2:20" s="1" customFormat="1" x14ac:dyDescent="0.25">
      <c r="B4" s="3" t="s">
        <v>6</v>
      </c>
      <c r="C4" s="8">
        <f>'Global Inputs'!C4</f>
        <v>267147</v>
      </c>
      <c r="E4" s="7" t="s">
        <v>7</v>
      </c>
    </row>
    <row r="5" spans="2:20" s="1" customFormat="1" x14ac:dyDescent="0.25">
      <c r="B5" s="3"/>
      <c r="C5" s="3"/>
      <c r="E5" s="4" t="s">
        <v>8</v>
      </c>
    </row>
    <row r="6" spans="2:20" s="1" customFormat="1" x14ac:dyDescent="0.25">
      <c r="B6" s="3"/>
      <c r="C6" s="3"/>
      <c r="D6" s="9"/>
      <c r="E6" s="15" t="s">
        <v>9</v>
      </c>
      <c r="F6" s="9"/>
      <c r="G6" s="9"/>
      <c r="H6" s="9"/>
      <c r="I6" s="9"/>
    </row>
    <row r="7" spans="2:20" s="1" customFormat="1" x14ac:dyDescent="0.25">
      <c r="B7" s="3"/>
      <c r="C7" s="3"/>
      <c r="D7" s="9"/>
      <c r="E7" s="9"/>
      <c r="F7" s="9"/>
      <c r="G7" s="9"/>
      <c r="H7" s="9"/>
      <c r="I7" s="9"/>
    </row>
    <row r="8" spans="2:20" s="1" customFormat="1" ht="23.25" x14ac:dyDescent="0.35">
      <c r="B8" s="2" t="s">
        <v>220</v>
      </c>
      <c r="C8" s="10"/>
      <c r="D8" s="10"/>
      <c r="E8" s="10"/>
      <c r="F8" s="10"/>
      <c r="G8" s="10"/>
      <c r="H8" s="10"/>
    </row>
    <row r="10" spans="2:20" x14ac:dyDescent="0.25">
      <c r="D10" s="1"/>
      <c r="E10" s="1"/>
      <c r="F10" s="1"/>
      <c r="G10" s="1"/>
      <c r="H10" s="1"/>
      <c r="I10" s="1"/>
      <c r="P10" s="1"/>
      <c r="Q10" s="1"/>
      <c r="S10" s="1"/>
      <c r="T10" s="1"/>
    </row>
    <row r="11" spans="2:20" s="1" customFormat="1" ht="20.25" thickBot="1" x14ac:dyDescent="0.35">
      <c r="B11" s="18" t="s">
        <v>221</v>
      </c>
      <c r="C11" s="18"/>
      <c r="D11" s="18"/>
      <c r="E11" s="18"/>
      <c r="F11" s="18"/>
      <c r="G11" s="18"/>
      <c r="H11" s="18"/>
      <c r="I11"/>
      <c r="J11"/>
      <c r="K11"/>
    </row>
    <row r="12" spans="2:20" s="1" customFormat="1" ht="18" thickTop="1" thickBot="1" x14ac:dyDescent="0.3">
      <c r="B12" s="19" t="s">
        <v>222</v>
      </c>
      <c r="C12" s="19" t="s">
        <v>223</v>
      </c>
      <c r="D12" s="19"/>
      <c r="E12" s="19"/>
      <c r="F12" s="19"/>
      <c r="G12" s="19"/>
      <c r="H12" s="19"/>
      <c r="I12"/>
      <c r="J12"/>
      <c r="K12"/>
      <c r="L12"/>
    </row>
    <row r="13" spans="2:20" s="1" customFormat="1" ht="16.5" thickTop="1" thickBot="1" x14ac:dyDescent="0.3">
      <c r="B13" s="20"/>
      <c r="C13" s="20" t="s">
        <v>144</v>
      </c>
      <c r="D13" s="20" t="s">
        <v>145</v>
      </c>
      <c r="E13" s="20" t="s">
        <v>146</v>
      </c>
      <c r="F13" s="20" t="s">
        <v>147</v>
      </c>
      <c r="G13" s="20" t="s">
        <v>148</v>
      </c>
      <c r="H13" s="20" t="s">
        <v>224</v>
      </c>
      <c r="I13"/>
      <c r="J13"/>
      <c r="K13"/>
      <c r="L13"/>
    </row>
    <row r="14" spans="2:20" s="1" customFormat="1" x14ac:dyDescent="0.25">
      <c r="B14" s="24" t="s">
        <v>225</v>
      </c>
      <c r="C14" s="23"/>
      <c r="D14" s="23"/>
      <c r="E14" s="23"/>
      <c r="F14" s="23"/>
      <c r="G14" s="23"/>
      <c r="H14" s="23"/>
      <c r="I14"/>
      <c r="J14"/>
      <c r="K14"/>
      <c r="L14"/>
    </row>
    <row r="15" spans="2:20" s="1" customFormat="1" x14ac:dyDescent="0.25">
      <c r="B15" t="s">
        <v>226</v>
      </c>
      <c r="C15" s="23"/>
      <c r="D15" s="23"/>
      <c r="E15" s="23"/>
      <c r="F15" s="23"/>
      <c r="G15" s="23"/>
      <c r="H15" s="23"/>
      <c r="I15"/>
      <c r="J15"/>
      <c r="K15"/>
      <c r="L15"/>
    </row>
    <row r="16" spans="2:20" s="1" customFormat="1" x14ac:dyDescent="0.25">
      <c r="B16" t="s">
        <v>227</v>
      </c>
      <c r="C16" s="23"/>
      <c r="D16" s="23"/>
      <c r="E16" s="23"/>
      <c r="F16" s="23"/>
      <c r="G16" s="23"/>
      <c r="H16" s="23"/>
      <c r="I16"/>
      <c r="J16"/>
      <c r="K16"/>
      <c r="L16"/>
    </row>
    <row r="17" spans="2:12" s="1" customFormat="1" x14ac:dyDescent="0.25">
      <c r="B17" t="s">
        <v>228</v>
      </c>
      <c r="C17" s="23"/>
      <c r="D17" s="23"/>
      <c r="E17" s="23"/>
      <c r="F17" s="23"/>
      <c r="G17" s="23"/>
      <c r="H17" s="23"/>
      <c r="I17"/>
      <c r="J17"/>
      <c r="K17"/>
      <c r="L17"/>
    </row>
    <row r="18" spans="2:12" s="1" customFormat="1" x14ac:dyDescent="0.25">
      <c r="B18" s="24" t="s">
        <v>229</v>
      </c>
      <c r="C18" s="23"/>
      <c r="D18" s="23"/>
      <c r="E18" s="23"/>
      <c r="F18" s="23"/>
      <c r="G18" s="23"/>
      <c r="H18" s="23"/>
      <c r="I18"/>
      <c r="J18"/>
      <c r="K18"/>
      <c r="L18"/>
    </row>
    <row r="19" spans="2:12" s="1" customFormat="1" x14ac:dyDescent="0.25">
      <c r="B19" t="s">
        <v>230</v>
      </c>
      <c r="C19" s="23"/>
      <c r="D19" s="23"/>
      <c r="E19" s="23"/>
      <c r="F19" s="23"/>
      <c r="G19" s="23"/>
      <c r="H19" s="23"/>
      <c r="I19"/>
      <c r="J19"/>
      <c r="K19"/>
      <c r="L19"/>
    </row>
    <row r="20" spans="2:12" s="1" customFormat="1" x14ac:dyDescent="0.25">
      <c r="B20" t="s">
        <v>231</v>
      </c>
      <c r="C20" s="23"/>
      <c r="D20" s="23"/>
      <c r="E20" s="23"/>
      <c r="F20" s="23"/>
      <c r="G20" s="23"/>
      <c r="H20" s="23"/>
      <c r="I20"/>
      <c r="J20"/>
      <c r="K20"/>
      <c r="L20"/>
    </row>
    <row r="21" spans="2:12" s="1" customFormat="1" x14ac:dyDescent="0.25">
      <c r="B21" t="s">
        <v>232</v>
      </c>
      <c r="C21" s="23"/>
      <c r="D21" s="23"/>
      <c r="E21" s="23"/>
      <c r="F21" s="23"/>
      <c r="G21" s="23"/>
      <c r="H21" s="23"/>
      <c r="I21"/>
      <c r="J21"/>
      <c r="K21"/>
      <c r="L21"/>
    </row>
    <row r="22" spans="2:12" s="1" customFormat="1" x14ac:dyDescent="0.25">
      <c r="B22" t="s">
        <v>233</v>
      </c>
      <c r="C22" s="23"/>
      <c r="D22" s="23"/>
      <c r="E22" s="23"/>
      <c r="F22" s="23"/>
      <c r="G22" s="23"/>
      <c r="H22" s="23"/>
      <c r="I22"/>
      <c r="J22"/>
      <c r="K22"/>
      <c r="L22"/>
    </row>
    <row r="23" spans="2:12" x14ac:dyDescent="0.25">
      <c r="B23" t="s">
        <v>234</v>
      </c>
      <c r="C23" s="23"/>
      <c r="D23" s="23"/>
      <c r="E23" s="23"/>
      <c r="F23" s="23"/>
      <c r="G23" s="23"/>
      <c r="H23" s="23"/>
    </row>
    <row r="26" spans="2:12" ht="20.25" thickBot="1" x14ac:dyDescent="0.35">
      <c r="B26" s="18" t="s">
        <v>235</v>
      </c>
      <c r="C26" s="18"/>
      <c r="D26" s="18"/>
      <c r="E26" s="18"/>
      <c r="F26" s="18"/>
      <c r="G26" s="18"/>
      <c r="H26" s="18"/>
    </row>
    <row r="27" spans="2:12" ht="18" thickTop="1" thickBot="1" x14ac:dyDescent="0.3">
      <c r="B27" s="19" t="s">
        <v>222</v>
      </c>
      <c r="C27" s="19" t="s">
        <v>223</v>
      </c>
      <c r="D27" s="19"/>
      <c r="E27" s="19"/>
      <c r="F27" s="19"/>
      <c r="G27" s="19"/>
      <c r="H27" s="19"/>
    </row>
    <row r="28" spans="2:12" ht="16.5" thickTop="1" thickBot="1" x14ac:dyDescent="0.3">
      <c r="B28" s="20"/>
      <c r="C28" s="20" t="s">
        <v>144</v>
      </c>
      <c r="D28" s="20" t="s">
        <v>145</v>
      </c>
      <c r="E28" s="20" t="s">
        <v>146</v>
      </c>
      <c r="F28" s="20" t="s">
        <v>147</v>
      </c>
      <c r="G28" s="20" t="s">
        <v>148</v>
      </c>
      <c r="H28" s="20" t="s">
        <v>224</v>
      </c>
    </row>
    <row r="29" spans="2:12" x14ac:dyDescent="0.25">
      <c r="B29" s="24" t="s">
        <v>225</v>
      </c>
      <c r="C29" s="23"/>
      <c r="D29" s="23"/>
      <c r="E29" s="23"/>
      <c r="F29" s="23"/>
      <c r="G29" s="23"/>
      <c r="H29" s="23"/>
    </row>
    <row r="30" spans="2:12" x14ac:dyDescent="0.25">
      <c r="B30" t="s">
        <v>226</v>
      </c>
      <c r="C30" s="23"/>
      <c r="D30" s="23"/>
      <c r="E30" s="23"/>
      <c r="F30" s="23"/>
      <c r="G30" s="23"/>
      <c r="H30" s="23"/>
    </row>
    <row r="31" spans="2:12" x14ac:dyDescent="0.25">
      <c r="B31" t="s">
        <v>227</v>
      </c>
      <c r="C31" s="23"/>
      <c r="D31" s="23"/>
      <c r="E31" s="23"/>
      <c r="F31" s="23"/>
      <c r="G31" s="23"/>
      <c r="H31" s="23"/>
    </row>
    <row r="32" spans="2:12" x14ac:dyDescent="0.25">
      <c r="B32" t="s">
        <v>228</v>
      </c>
      <c r="C32" s="23"/>
      <c r="D32" s="23"/>
      <c r="E32" s="23"/>
      <c r="F32" s="23"/>
      <c r="G32" s="23"/>
      <c r="H32" s="23"/>
    </row>
    <row r="33" spans="2:8" x14ac:dyDescent="0.25">
      <c r="B33" s="24" t="s">
        <v>229</v>
      </c>
      <c r="C33" s="23"/>
      <c r="D33" s="23"/>
      <c r="E33" s="23"/>
      <c r="F33" s="23"/>
      <c r="G33" s="23"/>
      <c r="H33" s="23"/>
    </row>
    <row r="34" spans="2:8" x14ac:dyDescent="0.25">
      <c r="B34" t="s">
        <v>230</v>
      </c>
      <c r="C34" s="23"/>
      <c r="D34" s="23"/>
      <c r="E34" s="23"/>
      <c r="F34" s="23"/>
      <c r="G34" s="23"/>
      <c r="H34" s="23"/>
    </row>
    <row r="35" spans="2:8" x14ac:dyDescent="0.25">
      <c r="B35" t="s">
        <v>231</v>
      </c>
      <c r="C35" s="23"/>
      <c r="D35" s="23"/>
      <c r="E35" s="23"/>
      <c r="F35" s="23"/>
      <c r="G35" s="23"/>
      <c r="H35" s="23"/>
    </row>
    <row r="36" spans="2:8" x14ac:dyDescent="0.25">
      <c r="B36" t="s">
        <v>232</v>
      </c>
      <c r="C36" s="23"/>
      <c r="D36" s="23"/>
      <c r="E36" s="23"/>
      <c r="F36" s="23"/>
      <c r="G36" s="23"/>
      <c r="H36" s="23"/>
    </row>
    <row r="37" spans="2:8" x14ac:dyDescent="0.25">
      <c r="B37" t="s">
        <v>233</v>
      </c>
      <c r="C37" s="23"/>
      <c r="D37" s="23"/>
      <c r="E37" s="23"/>
      <c r="F37" s="23"/>
      <c r="G37" s="23"/>
      <c r="H37" s="23"/>
    </row>
    <row r="38" spans="2:8" x14ac:dyDescent="0.25">
      <c r="B38" t="s">
        <v>234</v>
      </c>
      <c r="C38" s="23"/>
      <c r="D38" s="23"/>
      <c r="E38" s="23"/>
      <c r="F38" s="23"/>
      <c r="G38" s="23"/>
      <c r="H38" s="23"/>
    </row>
    <row r="41" spans="2:8" ht="20.25" thickBot="1" x14ac:dyDescent="0.35">
      <c r="B41" s="18" t="s">
        <v>236</v>
      </c>
      <c r="C41" s="18"/>
      <c r="D41" s="18"/>
      <c r="E41" s="18"/>
      <c r="F41" s="18"/>
      <c r="G41" s="18"/>
      <c r="H41" s="18"/>
    </row>
    <row r="42" spans="2:8" ht="18" thickTop="1" thickBot="1" x14ac:dyDescent="0.3">
      <c r="B42" s="19" t="s">
        <v>222</v>
      </c>
      <c r="C42" s="19" t="s">
        <v>223</v>
      </c>
      <c r="D42" s="19"/>
      <c r="E42" s="19"/>
      <c r="F42" s="19"/>
      <c r="G42" s="19"/>
      <c r="H42" s="19"/>
    </row>
    <row r="43" spans="2:8" ht="16.5" thickTop="1" thickBot="1" x14ac:dyDescent="0.3">
      <c r="B43" s="20"/>
      <c r="C43" s="20" t="s">
        <v>144</v>
      </c>
      <c r="D43" s="20" t="s">
        <v>145</v>
      </c>
      <c r="E43" s="20" t="s">
        <v>146</v>
      </c>
      <c r="F43" s="20" t="s">
        <v>147</v>
      </c>
      <c r="G43" s="20" t="s">
        <v>148</v>
      </c>
      <c r="H43" s="20" t="s">
        <v>224</v>
      </c>
    </row>
    <row r="44" spans="2:8" x14ac:dyDescent="0.25">
      <c r="B44" s="24" t="s">
        <v>225</v>
      </c>
      <c r="C44" s="23"/>
      <c r="D44" s="23"/>
      <c r="E44" s="23"/>
      <c r="F44" s="23"/>
      <c r="G44" s="23"/>
      <c r="H44" s="23"/>
    </row>
    <row r="45" spans="2:8" x14ac:dyDescent="0.25">
      <c r="B45" t="s">
        <v>226</v>
      </c>
      <c r="C45" s="23"/>
      <c r="D45" s="23"/>
      <c r="E45" s="23"/>
      <c r="F45" s="23"/>
      <c r="G45" s="23"/>
      <c r="H45" s="23"/>
    </row>
    <row r="46" spans="2:8" x14ac:dyDescent="0.25">
      <c r="B46" t="s">
        <v>227</v>
      </c>
      <c r="C46" s="23"/>
      <c r="D46" s="23"/>
      <c r="E46" s="23"/>
      <c r="F46" s="23"/>
      <c r="G46" s="23"/>
      <c r="H46" s="23"/>
    </row>
    <row r="47" spans="2:8" x14ac:dyDescent="0.25">
      <c r="B47" t="s">
        <v>228</v>
      </c>
      <c r="C47" s="23"/>
      <c r="D47" s="23"/>
      <c r="E47" s="23"/>
      <c r="F47" s="23"/>
      <c r="G47" s="23"/>
      <c r="H47" s="23"/>
    </row>
    <row r="48" spans="2:8" x14ac:dyDescent="0.25">
      <c r="B48" s="24" t="s">
        <v>229</v>
      </c>
      <c r="C48" s="23"/>
      <c r="D48" s="23"/>
      <c r="E48" s="23"/>
      <c r="F48" s="23"/>
      <c r="G48" s="23"/>
      <c r="H48" s="23"/>
    </row>
    <row r="49" spans="2:8" x14ac:dyDescent="0.25">
      <c r="B49" t="s">
        <v>230</v>
      </c>
      <c r="C49" s="23"/>
      <c r="D49" s="23"/>
      <c r="E49" s="23"/>
      <c r="F49" s="23"/>
      <c r="G49" s="23"/>
      <c r="H49" s="23"/>
    </row>
    <row r="50" spans="2:8" x14ac:dyDescent="0.25">
      <c r="B50" t="s">
        <v>231</v>
      </c>
      <c r="C50" s="23"/>
      <c r="D50" s="23"/>
      <c r="E50" s="23"/>
      <c r="F50" s="23"/>
      <c r="G50" s="23"/>
      <c r="H50" s="23"/>
    </row>
    <row r="51" spans="2:8" x14ac:dyDescent="0.25">
      <c r="B51" t="s">
        <v>232</v>
      </c>
      <c r="C51" s="23"/>
      <c r="D51" s="23"/>
      <c r="E51" s="23"/>
      <c r="F51" s="23"/>
      <c r="G51" s="23"/>
      <c r="H51" s="23"/>
    </row>
    <row r="52" spans="2:8" x14ac:dyDescent="0.25">
      <c r="B52" t="s">
        <v>233</v>
      </c>
      <c r="C52" s="23"/>
      <c r="D52" s="23"/>
      <c r="E52" s="23"/>
      <c r="F52" s="23"/>
      <c r="G52" s="23"/>
      <c r="H52" s="23"/>
    </row>
    <row r="53" spans="2:8" x14ac:dyDescent="0.25">
      <c r="B53" t="s">
        <v>234</v>
      </c>
      <c r="C53" s="23"/>
      <c r="D53" s="23"/>
      <c r="E53" s="23"/>
      <c r="F53" s="23"/>
      <c r="G53" s="23"/>
      <c r="H53" s="23"/>
    </row>
    <row r="56" spans="2:8" ht="20.25" thickBot="1" x14ac:dyDescent="0.35">
      <c r="B56" s="18" t="s">
        <v>237</v>
      </c>
      <c r="C56" s="18"/>
      <c r="D56" s="18"/>
      <c r="E56" s="18"/>
      <c r="F56" s="18"/>
      <c r="G56" s="18"/>
      <c r="H56" s="18"/>
    </row>
    <row r="57" spans="2:8" ht="18" thickTop="1" thickBot="1" x14ac:dyDescent="0.3">
      <c r="B57" s="19" t="s">
        <v>222</v>
      </c>
      <c r="C57" s="19" t="s">
        <v>223</v>
      </c>
      <c r="D57" s="19"/>
      <c r="E57" s="19"/>
      <c r="F57" s="19"/>
      <c r="G57" s="19"/>
      <c r="H57" s="19"/>
    </row>
    <row r="58" spans="2:8" ht="16.5" thickTop="1" thickBot="1" x14ac:dyDescent="0.3">
      <c r="B58" s="20"/>
      <c r="C58" s="20" t="s">
        <v>144</v>
      </c>
      <c r="D58" s="20" t="s">
        <v>145</v>
      </c>
      <c r="E58" s="20" t="s">
        <v>146</v>
      </c>
      <c r="F58" s="20" t="s">
        <v>147</v>
      </c>
      <c r="G58" s="20" t="s">
        <v>148</v>
      </c>
      <c r="H58" s="20" t="s">
        <v>224</v>
      </c>
    </row>
    <row r="59" spans="2:8" x14ac:dyDescent="0.25">
      <c r="B59" s="24" t="s">
        <v>225</v>
      </c>
      <c r="C59" s="23"/>
      <c r="D59" s="23"/>
      <c r="E59" s="23"/>
      <c r="F59" s="23"/>
      <c r="G59" s="23"/>
      <c r="H59" s="23"/>
    </row>
    <row r="60" spans="2:8" x14ac:dyDescent="0.25">
      <c r="B60" t="s">
        <v>226</v>
      </c>
      <c r="C60" s="23"/>
      <c r="D60" s="23"/>
      <c r="E60" s="23"/>
      <c r="F60" s="23"/>
      <c r="G60" s="23"/>
      <c r="H60" s="23"/>
    </row>
    <row r="61" spans="2:8" x14ac:dyDescent="0.25">
      <c r="B61" t="s">
        <v>227</v>
      </c>
      <c r="C61" s="23"/>
      <c r="D61" s="23"/>
      <c r="E61" s="23"/>
      <c r="F61" s="23"/>
      <c r="G61" s="23"/>
      <c r="H61" s="23"/>
    </row>
    <row r="62" spans="2:8" x14ac:dyDescent="0.25">
      <c r="B62" t="s">
        <v>228</v>
      </c>
      <c r="C62" s="23"/>
      <c r="D62" s="23"/>
      <c r="E62" s="23"/>
      <c r="F62" s="23"/>
      <c r="G62" s="23"/>
      <c r="H62" s="23"/>
    </row>
    <row r="63" spans="2:8" x14ac:dyDescent="0.25">
      <c r="B63" s="24" t="s">
        <v>229</v>
      </c>
      <c r="C63" s="23"/>
      <c r="D63" s="23"/>
      <c r="E63" s="23"/>
      <c r="F63" s="23"/>
      <c r="G63" s="23"/>
      <c r="H63" s="23"/>
    </row>
    <row r="64" spans="2:8" x14ac:dyDescent="0.25">
      <c r="B64" t="s">
        <v>230</v>
      </c>
      <c r="C64" s="23"/>
      <c r="D64" s="23"/>
      <c r="E64" s="23"/>
      <c r="F64" s="23"/>
      <c r="G64" s="23"/>
      <c r="H64" s="23"/>
    </row>
    <row r="65" spans="2:8" x14ac:dyDescent="0.25">
      <c r="B65" t="s">
        <v>231</v>
      </c>
      <c r="C65" s="23"/>
      <c r="D65" s="23"/>
      <c r="E65" s="23"/>
      <c r="F65" s="23"/>
      <c r="G65" s="23"/>
      <c r="H65" s="23"/>
    </row>
    <row r="66" spans="2:8" x14ac:dyDescent="0.25">
      <c r="B66" t="s">
        <v>232</v>
      </c>
      <c r="C66" s="23"/>
      <c r="D66" s="23"/>
      <c r="E66" s="23"/>
      <c r="F66" s="23"/>
      <c r="G66" s="23"/>
      <c r="H66" s="23"/>
    </row>
    <row r="67" spans="2:8" x14ac:dyDescent="0.25">
      <c r="B67" t="s">
        <v>233</v>
      </c>
      <c r="C67" s="23"/>
      <c r="D67" s="23"/>
      <c r="E67" s="23"/>
      <c r="F67" s="23"/>
      <c r="G67" s="23"/>
      <c r="H67" s="23"/>
    </row>
    <row r="68" spans="2:8" x14ac:dyDescent="0.25">
      <c r="B68" t="s">
        <v>234</v>
      </c>
      <c r="C68" s="23"/>
      <c r="D68" s="23"/>
      <c r="E68" s="23"/>
      <c r="F68" s="23"/>
      <c r="G68" s="23"/>
      <c r="H68" s="23"/>
    </row>
    <row r="71" spans="2:8" ht="20.25" thickBot="1" x14ac:dyDescent="0.35">
      <c r="B71" s="18" t="s">
        <v>238</v>
      </c>
      <c r="C71" s="18"/>
      <c r="D71" s="18"/>
      <c r="E71" s="18"/>
      <c r="F71" s="18"/>
      <c r="G71" s="18"/>
      <c r="H71" s="18"/>
    </row>
    <row r="72" spans="2:8" ht="18" thickTop="1" thickBot="1" x14ac:dyDescent="0.3">
      <c r="B72" s="19" t="s">
        <v>222</v>
      </c>
      <c r="C72" s="19" t="s">
        <v>223</v>
      </c>
      <c r="D72" s="19"/>
      <c r="E72" s="19"/>
      <c r="F72" s="19"/>
      <c r="G72" s="19"/>
      <c r="H72" s="19"/>
    </row>
    <row r="73" spans="2:8" ht="16.5" thickTop="1" thickBot="1" x14ac:dyDescent="0.3">
      <c r="B73" s="20"/>
      <c r="C73" s="20" t="s">
        <v>144</v>
      </c>
      <c r="D73" s="20" t="s">
        <v>145</v>
      </c>
      <c r="E73" s="20" t="s">
        <v>146</v>
      </c>
      <c r="F73" s="20" t="s">
        <v>147</v>
      </c>
      <c r="G73" s="20" t="s">
        <v>148</v>
      </c>
      <c r="H73" s="20" t="s">
        <v>224</v>
      </c>
    </row>
    <row r="74" spans="2:8" x14ac:dyDescent="0.25">
      <c r="B74" s="24" t="s">
        <v>225</v>
      </c>
      <c r="C74" s="23"/>
      <c r="D74" s="23"/>
      <c r="E74" s="23"/>
      <c r="F74" s="23"/>
      <c r="G74" s="23"/>
      <c r="H74" s="23"/>
    </row>
    <row r="75" spans="2:8" x14ac:dyDescent="0.25">
      <c r="B75" t="s">
        <v>226</v>
      </c>
      <c r="C75" s="23"/>
      <c r="D75" s="23"/>
      <c r="E75" s="23"/>
      <c r="F75" s="23"/>
      <c r="G75" s="23"/>
      <c r="H75" s="23"/>
    </row>
    <row r="76" spans="2:8" x14ac:dyDescent="0.25">
      <c r="B76" t="s">
        <v>227</v>
      </c>
      <c r="C76" s="23"/>
      <c r="D76" s="23"/>
      <c r="E76" s="23"/>
      <c r="F76" s="23"/>
      <c r="G76" s="23"/>
      <c r="H76" s="23"/>
    </row>
    <row r="77" spans="2:8" x14ac:dyDescent="0.25">
      <c r="B77" t="s">
        <v>228</v>
      </c>
      <c r="C77" s="23"/>
      <c r="D77" s="23"/>
      <c r="E77" s="23"/>
      <c r="F77" s="23"/>
      <c r="G77" s="23"/>
      <c r="H77" s="23"/>
    </row>
    <row r="78" spans="2:8" x14ac:dyDescent="0.25">
      <c r="B78" s="24" t="s">
        <v>229</v>
      </c>
      <c r="C78" s="23"/>
      <c r="D78" s="23"/>
      <c r="E78" s="23"/>
      <c r="F78" s="23"/>
      <c r="G78" s="23"/>
      <c r="H78" s="23"/>
    </row>
    <row r="79" spans="2:8" x14ac:dyDescent="0.25">
      <c r="B79" t="s">
        <v>230</v>
      </c>
      <c r="C79" s="23"/>
      <c r="D79" s="23"/>
      <c r="E79" s="23"/>
      <c r="F79" s="23"/>
      <c r="G79" s="23"/>
      <c r="H79" s="23"/>
    </row>
    <row r="80" spans="2:8" x14ac:dyDescent="0.25">
      <c r="B80" t="s">
        <v>231</v>
      </c>
      <c r="C80" s="23"/>
      <c r="D80" s="23"/>
      <c r="E80" s="23"/>
      <c r="F80" s="23"/>
      <c r="G80" s="23"/>
      <c r="H80" s="23"/>
    </row>
    <row r="81" spans="2:8" x14ac:dyDescent="0.25">
      <c r="B81" t="s">
        <v>232</v>
      </c>
      <c r="C81" s="23"/>
      <c r="D81" s="23"/>
      <c r="E81" s="23"/>
      <c r="F81" s="23"/>
      <c r="G81" s="23"/>
      <c r="H81" s="23"/>
    </row>
    <row r="82" spans="2:8" x14ac:dyDescent="0.25">
      <c r="B82" t="s">
        <v>233</v>
      </c>
      <c r="C82" s="23"/>
      <c r="D82" s="23"/>
      <c r="E82" s="23"/>
      <c r="F82" s="23"/>
      <c r="G82" s="23"/>
      <c r="H82" s="23"/>
    </row>
    <row r="83" spans="2:8" x14ac:dyDescent="0.25">
      <c r="B83" t="s">
        <v>234</v>
      </c>
      <c r="C83" s="23"/>
      <c r="D83" s="23"/>
      <c r="E83" s="23"/>
      <c r="F83" s="23"/>
      <c r="G83" s="23"/>
      <c r="H83" s="23"/>
    </row>
  </sheetData>
  <pageMargins left="0.7" right="0.7" top="0.75" bottom="0.75" header="0.3" footer="0.3"/>
  <pageSetup paperSize="256"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CC6A8-9206-476F-955B-7729666D0FE8}">
  <sheetPr>
    <tabColor theme="8" tint="0.59999389629810485"/>
  </sheetPr>
  <dimension ref="A1:AH153"/>
  <sheetViews>
    <sheetView showGridLines="0" topLeftCell="A10" workbookViewId="0">
      <selection activeCell="D11" sqref="D11"/>
    </sheetView>
  </sheetViews>
  <sheetFormatPr defaultRowHeight="15" x14ac:dyDescent="0.25"/>
  <cols>
    <col min="1" max="1" width="3.7109375" customWidth="1"/>
    <col min="2" max="2" width="38.85546875" customWidth="1"/>
    <col min="3" max="3" width="32.28515625" customWidth="1"/>
    <col min="4" max="4" width="21.42578125" bestFit="1" customWidth="1"/>
    <col min="5" max="5" width="34.7109375" bestFit="1" customWidth="1"/>
    <col min="6" max="6" width="9.5703125" customWidth="1"/>
    <col min="7" max="34" width="12.7109375" bestFit="1" customWidth="1"/>
  </cols>
  <sheetData>
    <row r="1" spans="2:11" s="1" customFormat="1" x14ac:dyDescent="0.25">
      <c r="E1" s="9"/>
      <c r="F1" s="9"/>
      <c r="G1" s="9"/>
      <c r="H1" s="9"/>
      <c r="I1" s="9"/>
      <c r="J1" s="9"/>
      <c r="K1" s="9"/>
    </row>
    <row r="2" spans="2:11" s="1" customFormat="1" x14ac:dyDescent="0.25">
      <c r="B2" s="3" t="s">
        <v>0</v>
      </c>
      <c r="C2" s="8" t="str">
        <f>'Global Inputs'!C2</f>
        <v>UC Berkeley</v>
      </c>
      <c r="E2" s="6" t="s">
        <v>2</v>
      </c>
    </row>
    <row r="3" spans="2:11" s="1" customFormat="1" x14ac:dyDescent="0.25">
      <c r="B3" s="3" t="s">
        <v>3</v>
      </c>
      <c r="C3" s="8" t="str">
        <f>'Global Inputs'!C3</f>
        <v>Campus energy study update</v>
      </c>
      <c r="E3" s="8" t="s">
        <v>5</v>
      </c>
    </row>
    <row r="4" spans="2:11" s="1" customFormat="1" x14ac:dyDescent="0.25">
      <c r="B4" s="3" t="s">
        <v>6</v>
      </c>
      <c r="C4" s="8">
        <f>'Global Inputs'!C4</f>
        <v>267147</v>
      </c>
      <c r="E4" s="7" t="s">
        <v>7</v>
      </c>
    </row>
    <row r="5" spans="2:11" s="1" customFormat="1" x14ac:dyDescent="0.25">
      <c r="B5" s="3"/>
      <c r="C5" s="3"/>
      <c r="E5" s="4" t="s">
        <v>8</v>
      </c>
    </row>
    <row r="6" spans="2:11" s="1" customFormat="1" x14ac:dyDescent="0.25">
      <c r="B6" s="3"/>
      <c r="C6" s="3"/>
      <c r="E6" s="15" t="s">
        <v>9</v>
      </c>
      <c r="H6" s="9"/>
      <c r="I6" s="9"/>
      <c r="J6" s="9"/>
      <c r="K6" s="9"/>
    </row>
    <row r="7" spans="2:11" s="1" customFormat="1" x14ac:dyDescent="0.25">
      <c r="B7" s="3"/>
      <c r="C7" s="3"/>
      <c r="E7" s="9"/>
      <c r="F7" s="9"/>
      <c r="G7" s="9"/>
      <c r="H7" s="9"/>
      <c r="I7" s="9"/>
      <c r="J7" s="9"/>
      <c r="K7" s="9"/>
    </row>
    <row r="8" spans="2:11" s="1" customFormat="1" ht="23.25" x14ac:dyDescent="0.35">
      <c r="B8" s="2" t="s">
        <v>239</v>
      </c>
      <c r="C8" s="2"/>
      <c r="E8" s="10"/>
      <c r="F8" s="10"/>
      <c r="G8" s="10"/>
      <c r="H8" s="10"/>
      <c r="I8" s="10"/>
      <c r="J8" s="10"/>
      <c r="K8" s="10"/>
    </row>
    <row r="10" spans="2:11" ht="20.25" thickBot="1" x14ac:dyDescent="0.35">
      <c r="B10" s="18" t="s">
        <v>237</v>
      </c>
      <c r="C10" s="18"/>
      <c r="D10" s="18"/>
      <c r="E10" s="18"/>
    </row>
    <row r="11" spans="2:11" ht="18" thickTop="1" thickBot="1" x14ac:dyDescent="0.3">
      <c r="B11" s="19" t="s">
        <v>222</v>
      </c>
      <c r="C11" s="19" t="s">
        <v>240</v>
      </c>
      <c r="D11" s="19" t="s">
        <v>241</v>
      </c>
      <c r="E11" s="19" t="s">
        <v>242</v>
      </c>
    </row>
    <row r="12" spans="2:11" ht="15.75" thickTop="1" x14ac:dyDescent="0.25">
      <c r="B12" s="74">
        <v>0</v>
      </c>
      <c r="C12" s="77" t="s">
        <v>149</v>
      </c>
      <c r="D12" s="75">
        <v>0</v>
      </c>
      <c r="E12" s="75">
        <v>0</v>
      </c>
    </row>
    <row r="13" spans="2:11" x14ac:dyDescent="0.25">
      <c r="B13" s="112" t="s">
        <v>243</v>
      </c>
      <c r="C13" s="74" t="s">
        <v>144</v>
      </c>
      <c r="D13" s="75">
        <v>0</v>
      </c>
      <c r="E13" s="75">
        <v>0</v>
      </c>
    </row>
    <row r="14" spans="2:11" x14ac:dyDescent="0.25">
      <c r="B14" s="113"/>
      <c r="C14" s="74" t="s">
        <v>145</v>
      </c>
      <c r="D14" s="75">
        <v>0</v>
      </c>
      <c r="E14" s="75">
        <v>0</v>
      </c>
    </row>
    <row r="15" spans="2:11" x14ac:dyDescent="0.25">
      <c r="B15" s="113"/>
      <c r="C15" s="74" t="s">
        <v>244</v>
      </c>
      <c r="D15" s="75">
        <v>0</v>
      </c>
      <c r="E15" s="75">
        <v>0</v>
      </c>
    </row>
    <row r="16" spans="2:11" x14ac:dyDescent="0.25">
      <c r="B16" s="114"/>
      <c r="C16" s="74" t="s">
        <v>245</v>
      </c>
      <c r="D16" s="75">
        <v>0</v>
      </c>
      <c r="E16" s="75">
        <v>0</v>
      </c>
    </row>
    <row r="17" spans="2:5" x14ac:dyDescent="0.25">
      <c r="B17" s="112" t="s">
        <v>246</v>
      </c>
      <c r="C17" s="74" t="s">
        <v>144</v>
      </c>
      <c r="D17" s="73">
        <v>0</v>
      </c>
      <c r="E17" s="73">
        <v>0</v>
      </c>
    </row>
    <row r="18" spans="2:5" x14ac:dyDescent="0.25">
      <c r="B18" s="113"/>
      <c r="C18" s="74" t="s">
        <v>145</v>
      </c>
      <c r="D18" s="73">
        <v>0</v>
      </c>
      <c r="E18" s="73">
        <v>0</v>
      </c>
    </row>
    <row r="19" spans="2:5" x14ac:dyDescent="0.25">
      <c r="B19" s="113"/>
      <c r="C19" s="74" t="s">
        <v>244</v>
      </c>
      <c r="D19" s="73">
        <v>0</v>
      </c>
      <c r="E19" s="73">
        <v>0</v>
      </c>
    </row>
    <row r="20" spans="2:5" x14ac:dyDescent="0.25">
      <c r="B20" s="114"/>
      <c r="C20" s="74" t="s">
        <v>245</v>
      </c>
      <c r="D20" s="73">
        <v>0</v>
      </c>
      <c r="E20" s="73">
        <v>0</v>
      </c>
    </row>
    <row r="21" spans="2:5" x14ac:dyDescent="0.25">
      <c r="B21" s="112" t="s">
        <v>247</v>
      </c>
      <c r="C21" s="74" t="s">
        <v>144</v>
      </c>
      <c r="D21" s="73">
        <v>88605</v>
      </c>
      <c r="E21" s="73">
        <v>18541.836719999999</v>
      </c>
    </row>
    <row r="22" spans="2:5" x14ac:dyDescent="0.25">
      <c r="B22" s="113"/>
      <c r="C22" s="74" t="s">
        <v>145</v>
      </c>
      <c r="D22" s="73">
        <v>0</v>
      </c>
      <c r="E22" s="73">
        <v>0</v>
      </c>
    </row>
    <row r="23" spans="2:5" x14ac:dyDescent="0.25">
      <c r="B23" s="113"/>
      <c r="C23" s="74" t="s">
        <v>244</v>
      </c>
      <c r="D23" s="73">
        <v>67155</v>
      </c>
      <c r="E23" s="73">
        <v>14053.123919999998</v>
      </c>
    </row>
    <row r="24" spans="2:5" x14ac:dyDescent="0.25">
      <c r="B24" s="114"/>
      <c r="C24" s="74" t="s">
        <v>245</v>
      </c>
      <c r="D24" s="73">
        <v>127512</v>
      </c>
      <c r="E24" s="73">
        <v>26683.671167999997</v>
      </c>
    </row>
    <row r="25" spans="2:5" x14ac:dyDescent="0.25">
      <c r="B25" s="74">
        <v>2</v>
      </c>
      <c r="C25" s="77" t="s">
        <v>149</v>
      </c>
      <c r="D25" s="75">
        <v>0</v>
      </c>
      <c r="E25" s="75">
        <v>0</v>
      </c>
    </row>
    <row r="26" spans="2:5" x14ac:dyDescent="0.25">
      <c r="B26" s="74">
        <v>6</v>
      </c>
      <c r="C26" s="77" t="s">
        <v>149</v>
      </c>
      <c r="D26" s="75">
        <v>0</v>
      </c>
      <c r="E26" s="75">
        <v>0</v>
      </c>
    </row>
    <row r="27" spans="2:5" x14ac:dyDescent="0.25">
      <c r="B27" s="74" t="s">
        <v>248</v>
      </c>
      <c r="C27" s="77" t="s">
        <v>149</v>
      </c>
      <c r="D27" s="76">
        <v>0</v>
      </c>
      <c r="E27" s="75">
        <v>0</v>
      </c>
    </row>
    <row r="28" spans="2:5" x14ac:dyDescent="0.25">
      <c r="B28" s="74" t="s">
        <v>249</v>
      </c>
      <c r="C28" s="77" t="s">
        <v>149</v>
      </c>
      <c r="D28" s="76">
        <v>510748.00000000006</v>
      </c>
      <c r="E28" s="76">
        <v>106881.16947200001</v>
      </c>
    </row>
    <row r="29" spans="2:5" x14ac:dyDescent="0.25">
      <c r="B29" s="85" t="s">
        <v>250</v>
      </c>
      <c r="C29" s="77" t="s">
        <v>149</v>
      </c>
      <c r="D29" s="75">
        <v>0</v>
      </c>
      <c r="E29" s="75">
        <v>0</v>
      </c>
    </row>
    <row r="30" spans="2:5" x14ac:dyDescent="0.25">
      <c r="B30" s="74" t="s">
        <v>251</v>
      </c>
      <c r="C30" s="77" t="s">
        <v>149</v>
      </c>
      <c r="D30" s="75">
        <v>0</v>
      </c>
      <c r="E30" s="75">
        <v>0</v>
      </c>
    </row>
    <row r="31" spans="2:5" x14ac:dyDescent="0.25">
      <c r="B31" s="74" t="s">
        <v>252</v>
      </c>
      <c r="C31" s="77" t="s">
        <v>149</v>
      </c>
      <c r="D31" s="76">
        <v>0</v>
      </c>
      <c r="E31" s="75">
        <v>0</v>
      </c>
    </row>
    <row r="32" spans="2:5" x14ac:dyDescent="0.25">
      <c r="B32" s="74" t="s">
        <v>253</v>
      </c>
      <c r="C32" s="77" t="s">
        <v>149</v>
      </c>
      <c r="D32" s="76">
        <v>120176</v>
      </c>
      <c r="E32" s="76">
        <v>25148.510463999999</v>
      </c>
    </row>
    <row r="33" spans="2:5" x14ac:dyDescent="0.25">
      <c r="B33" s="112">
        <v>12</v>
      </c>
      <c r="C33" s="74" t="s">
        <v>144</v>
      </c>
      <c r="D33" s="75">
        <v>0</v>
      </c>
      <c r="E33" s="75">
        <v>0</v>
      </c>
    </row>
    <row r="34" spans="2:5" x14ac:dyDescent="0.25">
      <c r="B34" s="113"/>
      <c r="C34" s="74" t="s">
        <v>145</v>
      </c>
      <c r="D34" s="75">
        <v>0</v>
      </c>
      <c r="E34" s="75">
        <v>0</v>
      </c>
    </row>
    <row r="35" spans="2:5" x14ac:dyDescent="0.25">
      <c r="B35" s="113"/>
      <c r="C35" s="74" t="s">
        <v>244</v>
      </c>
      <c r="D35" s="75">
        <v>0</v>
      </c>
      <c r="E35" s="75">
        <v>0</v>
      </c>
    </row>
    <row r="36" spans="2:5" x14ac:dyDescent="0.25">
      <c r="B36" s="114"/>
      <c r="C36" s="74" t="s">
        <v>245</v>
      </c>
      <c r="D36" s="75">
        <v>0</v>
      </c>
      <c r="E36" s="75">
        <v>0</v>
      </c>
    </row>
    <row r="39" spans="2:5" ht="20.25" thickBot="1" x14ac:dyDescent="0.35">
      <c r="B39" s="18" t="s">
        <v>254</v>
      </c>
      <c r="C39" s="18"/>
      <c r="D39" s="18"/>
      <c r="E39" s="18"/>
    </row>
    <row r="40" spans="2:5" ht="18" thickTop="1" thickBot="1" x14ac:dyDescent="0.3">
      <c r="B40" s="19" t="s">
        <v>222</v>
      </c>
      <c r="C40" s="19" t="s">
        <v>240</v>
      </c>
      <c r="D40" s="19" t="s">
        <v>241</v>
      </c>
      <c r="E40" s="19" t="s">
        <v>255</v>
      </c>
    </row>
    <row r="41" spans="2:5" ht="15.75" thickTop="1" x14ac:dyDescent="0.25">
      <c r="B41" s="74">
        <v>0</v>
      </c>
      <c r="C41" s="77" t="s">
        <v>149</v>
      </c>
      <c r="D41" s="75">
        <v>0</v>
      </c>
      <c r="E41" s="75">
        <v>0</v>
      </c>
    </row>
    <row r="42" spans="2:5" x14ac:dyDescent="0.25">
      <c r="B42" s="112" t="s">
        <v>243</v>
      </c>
      <c r="C42" s="74" t="s">
        <v>144</v>
      </c>
      <c r="D42" s="75">
        <v>0</v>
      </c>
      <c r="E42" s="75">
        <v>0</v>
      </c>
    </row>
    <row r="43" spans="2:5" x14ac:dyDescent="0.25">
      <c r="B43" s="113"/>
      <c r="C43" s="74" t="s">
        <v>145</v>
      </c>
      <c r="D43" s="75">
        <v>0</v>
      </c>
      <c r="E43" s="75">
        <v>0</v>
      </c>
    </row>
    <row r="44" spans="2:5" x14ac:dyDescent="0.25">
      <c r="B44" s="113"/>
      <c r="C44" s="74" t="s">
        <v>244</v>
      </c>
      <c r="D44" s="75">
        <v>0</v>
      </c>
      <c r="E44" s="75">
        <v>0</v>
      </c>
    </row>
    <row r="45" spans="2:5" x14ac:dyDescent="0.25">
      <c r="B45" s="114"/>
      <c r="C45" s="74" t="s">
        <v>245</v>
      </c>
      <c r="D45" s="75">
        <v>0</v>
      </c>
      <c r="E45" s="75">
        <v>0</v>
      </c>
    </row>
    <row r="46" spans="2:5" x14ac:dyDescent="0.25">
      <c r="B46" s="112" t="s">
        <v>246</v>
      </c>
      <c r="C46" s="74" t="s">
        <v>144</v>
      </c>
      <c r="D46" s="73">
        <v>0</v>
      </c>
      <c r="E46" s="73">
        <v>0</v>
      </c>
    </row>
    <row r="47" spans="2:5" x14ac:dyDescent="0.25">
      <c r="B47" s="113"/>
      <c r="C47" s="74" t="s">
        <v>145</v>
      </c>
      <c r="D47" s="73">
        <v>0</v>
      </c>
      <c r="E47" s="73">
        <v>0</v>
      </c>
    </row>
    <row r="48" spans="2:5" x14ac:dyDescent="0.25">
      <c r="B48" s="113"/>
      <c r="C48" s="74" t="s">
        <v>244</v>
      </c>
      <c r="D48" s="73">
        <v>0</v>
      </c>
      <c r="E48" s="73">
        <v>0</v>
      </c>
    </row>
    <row r="49" spans="2:5" x14ac:dyDescent="0.25">
      <c r="B49" s="114"/>
      <c r="C49" s="74" t="s">
        <v>245</v>
      </c>
      <c r="D49" s="73">
        <v>0</v>
      </c>
      <c r="E49" s="73">
        <v>0</v>
      </c>
    </row>
    <row r="50" spans="2:5" x14ac:dyDescent="0.25">
      <c r="B50" s="112" t="s">
        <v>247</v>
      </c>
      <c r="C50" s="74" t="s">
        <v>144</v>
      </c>
      <c r="D50" s="73">
        <v>0</v>
      </c>
      <c r="E50" s="73">
        <v>0</v>
      </c>
    </row>
    <row r="51" spans="2:5" x14ac:dyDescent="0.25">
      <c r="B51" s="113"/>
      <c r="C51" s="74" t="s">
        <v>145</v>
      </c>
      <c r="D51" s="73">
        <v>0</v>
      </c>
      <c r="E51" s="73">
        <v>0</v>
      </c>
    </row>
    <row r="52" spans="2:5" x14ac:dyDescent="0.25">
      <c r="B52" s="113"/>
      <c r="C52" s="74" t="s">
        <v>244</v>
      </c>
      <c r="D52" s="73">
        <v>0</v>
      </c>
      <c r="E52" s="73">
        <v>0</v>
      </c>
    </row>
    <row r="53" spans="2:5" x14ac:dyDescent="0.25">
      <c r="B53" s="114"/>
      <c r="C53" s="74" t="s">
        <v>245</v>
      </c>
      <c r="D53" s="73">
        <v>0</v>
      </c>
      <c r="E53" s="73">
        <v>0</v>
      </c>
    </row>
    <row r="54" spans="2:5" x14ac:dyDescent="0.25">
      <c r="B54" s="74">
        <v>2</v>
      </c>
      <c r="C54" s="77" t="s">
        <v>149</v>
      </c>
      <c r="D54" s="73">
        <v>0</v>
      </c>
      <c r="E54" s="73">
        <v>0</v>
      </c>
    </row>
    <row r="55" spans="2:5" x14ac:dyDescent="0.25">
      <c r="B55" s="74">
        <v>6</v>
      </c>
      <c r="C55" s="77" t="s">
        <v>149</v>
      </c>
      <c r="D55" s="73">
        <v>0</v>
      </c>
      <c r="E55" s="73">
        <v>0</v>
      </c>
    </row>
    <row r="56" spans="2:5" x14ac:dyDescent="0.25">
      <c r="B56" s="74" t="s">
        <v>248</v>
      </c>
      <c r="C56" s="77" t="s">
        <v>149</v>
      </c>
      <c r="D56" s="76">
        <v>0</v>
      </c>
      <c r="E56" s="75">
        <v>0</v>
      </c>
    </row>
    <row r="57" spans="2:5" x14ac:dyDescent="0.25">
      <c r="B57" s="74" t="s">
        <v>249</v>
      </c>
      <c r="C57" s="77" t="s">
        <v>149</v>
      </c>
      <c r="D57" s="76">
        <v>530000</v>
      </c>
      <c r="E57" s="76">
        <v>14119366</v>
      </c>
    </row>
    <row r="58" spans="2:5" x14ac:dyDescent="0.25">
      <c r="B58" s="85" t="s">
        <v>250</v>
      </c>
      <c r="C58" s="77" t="s">
        <v>149</v>
      </c>
      <c r="D58" s="73">
        <v>0</v>
      </c>
      <c r="E58" s="73">
        <v>0</v>
      </c>
    </row>
    <row r="59" spans="2:5" x14ac:dyDescent="0.25">
      <c r="B59" s="74" t="s">
        <v>251</v>
      </c>
      <c r="C59" s="77" t="s">
        <v>149</v>
      </c>
      <c r="D59" s="75">
        <v>0</v>
      </c>
      <c r="E59" s="75">
        <v>0</v>
      </c>
    </row>
    <row r="60" spans="2:5" x14ac:dyDescent="0.25">
      <c r="B60" s="74" t="s">
        <v>252</v>
      </c>
      <c r="C60" s="77" t="s">
        <v>149</v>
      </c>
      <c r="D60" s="76">
        <v>0</v>
      </c>
      <c r="E60" s="75">
        <v>0</v>
      </c>
    </row>
    <row r="61" spans="2:5" x14ac:dyDescent="0.25">
      <c r="B61" s="74" t="s">
        <v>253</v>
      </c>
      <c r="C61" s="77" t="s">
        <v>149</v>
      </c>
      <c r="D61" s="76">
        <v>0</v>
      </c>
      <c r="E61" s="76">
        <v>0</v>
      </c>
    </row>
    <row r="62" spans="2:5" x14ac:dyDescent="0.25">
      <c r="B62" s="112">
        <v>12</v>
      </c>
      <c r="C62" s="74" t="s">
        <v>144</v>
      </c>
      <c r="D62" s="75">
        <v>0</v>
      </c>
      <c r="E62" s="75">
        <v>0</v>
      </c>
    </row>
    <row r="63" spans="2:5" x14ac:dyDescent="0.25">
      <c r="B63" s="113"/>
      <c r="C63" s="74" t="s">
        <v>145</v>
      </c>
      <c r="D63" s="75">
        <v>0</v>
      </c>
      <c r="E63" s="75">
        <v>0</v>
      </c>
    </row>
    <row r="64" spans="2:5" x14ac:dyDescent="0.25">
      <c r="B64" s="113"/>
      <c r="C64" s="74" t="s">
        <v>244</v>
      </c>
      <c r="D64" s="75">
        <v>0</v>
      </c>
      <c r="E64" s="75">
        <v>0</v>
      </c>
    </row>
    <row r="65" spans="1:14" x14ac:dyDescent="0.25">
      <c r="B65" s="114"/>
      <c r="C65" s="74" t="s">
        <v>245</v>
      </c>
      <c r="D65" s="75">
        <v>0</v>
      </c>
      <c r="E65" s="75">
        <v>0</v>
      </c>
    </row>
    <row r="68" spans="1:14" s="1" customFormat="1" ht="20.25" thickBot="1" x14ac:dyDescent="0.35">
      <c r="B68" s="18" t="s">
        <v>256</v>
      </c>
      <c r="C68" s="18"/>
      <c r="D68" s="18"/>
      <c r="E68" s="18"/>
      <c r="F68"/>
      <c r="G68"/>
      <c r="H68"/>
      <c r="I68"/>
      <c r="J68"/>
      <c r="K68"/>
      <c r="L68"/>
      <c r="M68"/>
      <c r="N68"/>
    </row>
    <row r="69" spans="1:14" s="1" customFormat="1" ht="18" thickTop="1" thickBot="1" x14ac:dyDescent="0.3">
      <c r="A69"/>
      <c r="B69" s="19" t="s">
        <v>257</v>
      </c>
      <c r="C69" s="19" t="s">
        <v>258</v>
      </c>
      <c r="D69" s="19" t="s">
        <v>259</v>
      </c>
      <c r="E69" s="19" t="s">
        <v>240</v>
      </c>
      <c r="F69"/>
      <c r="G69"/>
      <c r="H69"/>
      <c r="I69"/>
      <c r="J69"/>
      <c r="K69"/>
      <c r="L69"/>
      <c r="M69"/>
      <c r="N69"/>
    </row>
    <row r="70" spans="1:14" s="1" customFormat="1" ht="15.75" customHeight="1" thickTop="1" x14ac:dyDescent="0.25">
      <c r="A70"/>
      <c r="B70" s="17" t="s">
        <v>260</v>
      </c>
      <c r="C70" s="73">
        <v>75600</v>
      </c>
      <c r="D70" s="17">
        <v>2023</v>
      </c>
      <c r="E70" s="17" t="s">
        <v>245</v>
      </c>
      <c r="F70"/>
      <c r="G70"/>
      <c r="H70"/>
      <c r="I70"/>
      <c r="J70"/>
      <c r="K70"/>
      <c r="L70"/>
      <c r="M70"/>
      <c r="N70"/>
    </row>
    <row r="71" spans="1:14" s="1" customFormat="1" ht="15" customHeight="1" x14ac:dyDescent="0.25">
      <c r="A71"/>
      <c r="B71" s="17" t="s">
        <v>261</v>
      </c>
      <c r="C71" s="73">
        <v>26250</v>
      </c>
      <c r="D71" s="17">
        <v>2025</v>
      </c>
      <c r="E71" s="17" t="s">
        <v>244</v>
      </c>
      <c r="F71"/>
      <c r="G71"/>
      <c r="H71"/>
      <c r="I71"/>
      <c r="J71"/>
      <c r="K71"/>
      <c r="L71"/>
      <c r="M71"/>
      <c r="N71"/>
    </row>
    <row r="72" spans="1:14" s="1" customFormat="1" ht="15" customHeight="1" x14ac:dyDescent="0.25">
      <c r="A72"/>
      <c r="B72" s="17" t="s">
        <v>262</v>
      </c>
      <c r="C72" s="73">
        <v>39375</v>
      </c>
      <c r="D72" s="17">
        <v>2025</v>
      </c>
      <c r="E72" s="17" t="s">
        <v>244</v>
      </c>
      <c r="F72"/>
      <c r="G72"/>
      <c r="H72"/>
      <c r="I72"/>
      <c r="J72"/>
      <c r="K72"/>
      <c r="L72"/>
      <c r="M72"/>
      <c r="N72"/>
    </row>
    <row r="73" spans="1:14" x14ac:dyDescent="0.25">
      <c r="B73" s="17" t="s">
        <v>263</v>
      </c>
      <c r="C73" s="73">
        <v>183750</v>
      </c>
      <c r="D73" s="17">
        <v>2025</v>
      </c>
      <c r="E73" s="17" t="s">
        <v>144</v>
      </c>
    </row>
    <row r="74" spans="1:14" x14ac:dyDescent="0.25">
      <c r="B74" s="17" t="s">
        <v>264</v>
      </c>
      <c r="C74" s="73">
        <v>51187.5</v>
      </c>
      <c r="D74" s="17">
        <v>2025</v>
      </c>
      <c r="E74" s="17" t="s">
        <v>144</v>
      </c>
    </row>
    <row r="75" spans="1:14" x14ac:dyDescent="0.25">
      <c r="B75" s="17" t="s">
        <v>265</v>
      </c>
      <c r="C75" s="73">
        <v>35000</v>
      </c>
      <c r="D75" s="17">
        <v>2028</v>
      </c>
      <c r="E75" s="17" t="s">
        <v>244</v>
      </c>
    </row>
    <row r="76" spans="1:14" x14ac:dyDescent="0.25">
      <c r="B76" s="17" t="s">
        <v>266</v>
      </c>
      <c r="C76" s="73">
        <v>17500</v>
      </c>
      <c r="D76" s="17">
        <v>2028</v>
      </c>
      <c r="E76" s="17" t="s">
        <v>244</v>
      </c>
    </row>
    <row r="77" spans="1:14" x14ac:dyDescent="0.25">
      <c r="B77" s="17" t="s">
        <v>267</v>
      </c>
      <c r="C77" s="73">
        <v>15749.999999999998</v>
      </c>
      <c r="D77" s="17">
        <v>2028</v>
      </c>
      <c r="E77" s="17" t="s">
        <v>244</v>
      </c>
    </row>
    <row r="78" spans="1:14" x14ac:dyDescent="0.25">
      <c r="B78" s="17" t="s">
        <v>268</v>
      </c>
      <c r="C78" s="73">
        <v>28874.999999999996</v>
      </c>
      <c r="D78" s="17">
        <v>2030</v>
      </c>
      <c r="E78" s="17" t="s">
        <v>244</v>
      </c>
    </row>
    <row r="79" spans="1:14" x14ac:dyDescent="0.25">
      <c r="B79" s="17" t="s">
        <v>269</v>
      </c>
      <c r="C79" s="73">
        <v>262500</v>
      </c>
      <c r="D79" s="17">
        <v>2040</v>
      </c>
      <c r="E79" s="17" t="s">
        <v>245</v>
      </c>
    </row>
    <row r="80" spans="1:14" x14ac:dyDescent="0.25">
      <c r="B80" s="17" t="s">
        <v>270</v>
      </c>
      <c r="C80" s="73">
        <v>15312.499999999998</v>
      </c>
      <c r="D80" s="17">
        <v>2040</v>
      </c>
      <c r="E80" s="17" t="s">
        <v>244</v>
      </c>
    </row>
    <row r="83" spans="2:34" ht="20.25" thickBot="1" x14ac:dyDescent="0.35">
      <c r="B83" s="18" t="s">
        <v>271</v>
      </c>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row>
    <row r="84" spans="2:34" ht="18" thickTop="1" thickBot="1" x14ac:dyDescent="0.3">
      <c r="B84" s="19" t="s">
        <v>258</v>
      </c>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row>
    <row r="85" spans="2:34" ht="15.75" thickTop="1" x14ac:dyDescent="0.25">
      <c r="D85" s="17">
        <v>2025</v>
      </c>
      <c r="E85" s="17">
        <v>2026</v>
      </c>
      <c r="F85" s="17">
        <v>2027</v>
      </c>
      <c r="G85" s="17">
        <v>2028</v>
      </c>
      <c r="H85" s="17">
        <v>2029</v>
      </c>
      <c r="I85" s="17">
        <v>2030</v>
      </c>
      <c r="J85" s="17">
        <v>2031</v>
      </c>
      <c r="K85" s="17">
        <v>2032</v>
      </c>
      <c r="L85" s="17">
        <v>2033</v>
      </c>
      <c r="M85" s="17">
        <v>2034</v>
      </c>
      <c r="N85" s="17">
        <v>2035</v>
      </c>
      <c r="O85" s="17">
        <v>2036</v>
      </c>
      <c r="P85" s="17">
        <v>2037</v>
      </c>
      <c r="Q85" s="17">
        <v>2038</v>
      </c>
      <c r="R85" s="17">
        <v>2039</v>
      </c>
      <c r="S85" s="17">
        <v>2040</v>
      </c>
      <c r="T85" s="17">
        <v>2041</v>
      </c>
      <c r="U85" s="17">
        <v>2042</v>
      </c>
      <c r="V85" s="17">
        <v>2043</v>
      </c>
      <c r="W85" s="17">
        <v>2044</v>
      </c>
      <c r="X85" s="17">
        <v>2045</v>
      </c>
      <c r="Y85" s="17">
        <v>2046</v>
      </c>
      <c r="Z85" s="17">
        <v>2047</v>
      </c>
      <c r="AA85" s="17">
        <v>2048</v>
      </c>
      <c r="AB85" s="17">
        <v>2049</v>
      </c>
      <c r="AC85" s="17">
        <v>2050</v>
      </c>
      <c r="AD85" s="17">
        <v>2051</v>
      </c>
      <c r="AE85" s="17">
        <v>2052</v>
      </c>
      <c r="AF85" s="17">
        <v>2053</v>
      </c>
      <c r="AG85" s="17">
        <v>2054</v>
      </c>
      <c r="AH85" s="17">
        <v>2055</v>
      </c>
    </row>
    <row r="86" spans="2:34" x14ac:dyDescent="0.25">
      <c r="B86" s="115" t="s">
        <v>272</v>
      </c>
      <c r="C86" s="17" t="s">
        <v>144</v>
      </c>
      <c r="D86" s="78">
        <f t="shared" ref="D86:M89" si="0">SUMIFS($C$70:$C$80,$E$70:$E$80,$C86,$D$70:$D$80,"&lt;="&amp;D$85)</f>
        <v>234937.5</v>
      </c>
      <c r="E86" s="78">
        <f t="shared" si="0"/>
        <v>234937.5</v>
      </c>
      <c r="F86" s="78">
        <f t="shared" si="0"/>
        <v>234937.5</v>
      </c>
      <c r="G86" s="78">
        <f t="shared" si="0"/>
        <v>234937.5</v>
      </c>
      <c r="H86" s="78">
        <f t="shared" si="0"/>
        <v>234937.5</v>
      </c>
      <c r="I86" s="78">
        <f t="shared" si="0"/>
        <v>234937.5</v>
      </c>
      <c r="J86" s="78">
        <f t="shared" si="0"/>
        <v>234937.5</v>
      </c>
      <c r="K86" s="78">
        <f t="shared" si="0"/>
        <v>234937.5</v>
      </c>
      <c r="L86" s="78">
        <f t="shared" si="0"/>
        <v>234937.5</v>
      </c>
      <c r="M86" s="78">
        <f t="shared" si="0"/>
        <v>234937.5</v>
      </c>
      <c r="N86" s="78">
        <f t="shared" ref="N86:W89" si="1">SUMIFS($C$70:$C$80,$E$70:$E$80,$C86,$D$70:$D$80,"&lt;="&amp;N$85)</f>
        <v>234937.5</v>
      </c>
      <c r="O86" s="78">
        <f t="shared" si="1"/>
        <v>234937.5</v>
      </c>
      <c r="P86" s="78">
        <f t="shared" si="1"/>
        <v>234937.5</v>
      </c>
      <c r="Q86" s="78">
        <f t="shared" si="1"/>
        <v>234937.5</v>
      </c>
      <c r="R86" s="78">
        <f t="shared" si="1"/>
        <v>234937.5</v>
      </c>
      <c r="S86" s="78">
        <f t="shared" si="1"/>
        <v>234937.5</v>
      </c>
      <c r="T86" s="78">
        <f t="shared" si="1"/>
        <v>234937.5</v>
      </c>
      <c r="U86" s="78">
        <f t="shared" si="1"/>
        <v>234937.5</v>
      </c>
      <c r="V86" s="78">
        <f t="shared" si="1"/>
        <v>234937.5</v>
      </c>
      <c r="W86" s="78">
        <f t="shared" si="1"/>
        <v>234937.5</v>
      </c>
      <c r="X86" s="78">
        <f t="shared" ref="X86:AH89" si="2">SUMIFS($C$70:$C$80,$E$70:$E$80,$C86,$D$70:$D$80,"&lt;="&amp;X$85)</f>
        <v>234937.5</v>
      </c>
      <c r="Y86" s="78">
        <f t="shared" si="2"/>
        <v>234937.5</v>
      </c>
      <c r="Z86" s="78">
        <f t="shared" si="2"/>
        <v>234937.5</v>
      </c>
      <c r="AA86" s="78">
        <f t="shared" si="2"/>
        <v>234937.5</v>
      </c>
      <c r="AB86" s="78">
        <f t="shared" si="2"/>
        <v>234937.5</v>
      </c>
      <c r="AC86" s="78">
        <f t="shared" si="2"/>
        <v>234937.5</v>
      </c>
      <c r="AD86" s="78">
        <f t="shared" si="2"/>
        <v>234937.5</v>
      </c>
      <c r="AE86" s="78">
        <f t="shared" si="2"/>
        <v>234937.5</v>
      </c>
      <c r="AF86" s="78">
        <f t="shared" si="2"/>
        <v>234937.5</v>
      </c>
      <c r="AG86" s="78">
        <f t="shared" si="2"/>
        <v>234937.5</v>
      </c>
      <c r="AH86" s="78">
        <f t="shared" si="2"/>
        <v>234937.5</v>
      </c>
    </row>
    <row r="87" spans="2:34" x14ac:dyDescent="0.25">
      <c r="B87" s="113"/>
      <c r="C87" s="17" t="s">
        <v>145</v>
      </c>
      <c r="D87" s="78">
        <f t="shared" si="0"/>
        <v>0</v>
      </c>
      <c r="E87" s="78">
        <f t="shared" si="0"/>
        <v>0</v>
      </c>
      <c r="F87" s="78">
        <f t="shared" si="0"/>
        <v>0</v>
      </c>
      <c r="G87" s="78">
        <f t="shared" si="0"/>
        <v>0</v>
      </c>
      <c r="H87" s="78">
        <f t="shared" si="0"/>
        <v>0</v>
      </c>
      <c r="I87" s="78">
        <f t="shared" si="0"/>
        <v>0</v>
      </c>
      <c r="J87" s="78">
        <f t="shared" si="0"/>
        <v>0</v>
      </c>
      <c r="K87" s="78">
        <f t="shared" si="0"/>
        <v>0</v>
      </c>
      <c r="L87" s="78">
        <f t="shared" si="0"/>
        <v>0</v>
      </c>
      <c r="M87" s="78">
        <f t="shared" si="0"/>
        <v>0</v>
      </c>
      <c r="N87" s="78">
        <f t="shared" si="1"/>
        <v>0</v>
      </c>
      <c r="O87" s="78">
        <f t="shared" si="1"/>
        <v>0</v>
      </c>
      <c r="P87" s="78">
        <f t="shared" si="1"/>
        <v>0</v>
      </c>
      <c r="Q87" s="78">
        <f t="shared" si="1"/>
        <v>0</v>
      </c>
      <c r="R87" s="78">
        <f t="shared" si="1"/>
        <v>0</v>
      </c>
      <c r="S87" s="78">
        <f t="shared" si="1"/>
        <v>0</v>
      </c>
      <c r="T87" s="78">
        <f t="shared" si="1"/>
        <v>0</v>
      </c>
      <c r="U87" s="78">
        <f t="shared" si="1"/>
        <v>0</v>
      </c>
      <c r="V87" s="78">
        <f t="shared" si="1"/>
        <v>0</v>
      </c>
      <c r="W87" s="78">
        <f t="shared" si="1"/>
        <v>0</v>
      </c>
      <c r="X87" s="78">
        <f t="shared" si="2"/>
        <v>0</v>
      </c>
      <c r="Y87" s="78">
        <f t="shared" si="2"/>
        <v>0</v>
      </c>
      <c r="Z87" s="78">
        <f t="shared" si="2"/>
        <v>0</v>
      </c>
      <c r="AA87" s="78">
        <f t="shared" si="2"/>
        <v>0</v>
      </c>
      <c r="AB87" s="78">
        <f t="shared" si="2"/>
        <v>0</v>
      </c>
      <c r="AC87" s="78">
        <f t="shared" si="2"/>
        <v>0</v>
      </c>
      <c r="AD87" s="78">
        <f t="shared" si="2"/>
        <v>0</v>
      </c>
      <c r="AE87" s="78">
        <f t="shared" si="2"/>
        <v>0</v>
      </c>
      <c r="AF87" s="78">
        <f t="shared" si="2"/>
        <v>0</v>
      </c>
      <c r="AG87" s="78">
        <f t="shared" si="2"/>
        <v>0</v>
      </c>
      <c r="AH87" s="78">
        <f t="shared" si="2"/>
        <v>0</v>
      </c>
    </row>
    <row r="88" spans="2:34" x14ac:dyDescent="0.25">
      <c r="B88" s="113"/>
      <c r="C88" s="17" t="s">
        <v>244</v>
      </c>
      <c r="D88" s="78">
        <f t="shared" si="0"/>
        <v>65625</v>
      </c>
      <c r="E88" s="78">
        <f t="shared" si="0"/>
        <v>65625</v>
      </c>
      <c r="F88" s="78">
        <f t="shared" si="0"/>
        <v>65625</v>
      </c>
      <c r="G88" s="78">
        <f t="shared" si="0"/>
        <v>133875</v>
      </c>
      <c r="H88" s="78">
        <f t="shared" si="0"/>
        <v>133875</v>
      </c>
      <c r="I88" s="78">
        <f t="shared" si="0"/>
        <v>162750</v>
      </c>
      <c r="J88" s="78">
        <f t="shared" si="0"/>
        <v>162750</v>
      </c>
      <c r="K88" s="78">
        <f t="shared" si="0"/>
        <v>162750</v>
      </c>
      <c r="L88" s="78">
        <f t="shared" si="0"/>
        <v>162750</v>
      </c>
      <c r="M88" s="78">
        <f t="shared" si="0"/>
        <v>162750</v>
      </c>
      <c r="N88" s="78">
        <f t="shared" si="1"/>
        <v>162750</v>
      </c>
      <c r="O88" s="78">
        <f t="shared" si="1"/>
        <v>162750</v>
      </c>
      <c r="P88" s="78">
        <f t="shared" si="1"/>
        <v>162750</v>
      </c>
      <c r="Q88" s="78">
        <f t="shared" si="1"/>
        <v>162750</v>
      </c>
      <c r="R88" s="78">
        <f t="shared" si="1"/>
        <v>162750</v>
      </c>
      <c r="S88" s="78">
        <f t="shared" si="1"/>
        <v>178062.5</v>
      </c>
      <c r="T88" s="78">
        <f t="shared" si="1"/>
        <v>178062.5</v>
      </c>
      <c r="U88" s="78">
        <f t="shared" si="1"/>
        <v>178062.5</v>
      </c>
      <c r="V88" s="78">
        <f t="shared" si="1"/>
        <v>178062.5</v>
      </c>
      <c r="W88" s="78">
        <f t="shared" si="1"/>
        <v>178062.5</v>
      </c>
      <c r="X88" s="78">
        <f t="shared" si="2"/>
        <v>178062.5</v>
      </c>
      <c r="Y88" s="78">
        <f t="shared" si="2"/>
        <v>178062.5</v>
      </c>
      <c r="Z88" s="78">
        <f t="shared" si="2"/>
        <v>178062.5</v>
      </c>
      <c r="AA88" s="78">
        <f t="shared" si="2"/>
        <v>178062.5</v>
      </c>
      <c r="AB88" s="78">
        <f t="shared" si="2"/>
        <v>178062.5</v>
      </c>
      <c r="AC88" s="78">
        <f t="shared" si="2"/>
        <v>178062.5</v>
      </c>
      <c r="AD88" s="78">
        <f t="shared" si="2"/>
        <v>178062.5</v>
      </c>
      <c r="AE88" s="78">
        <f t="shared" si="2"/>
        <v>178062.5</v>
      </c>
      <c r="AF88" s="78">
        <f t="shared" si="2"/>
        <v>178062.5</v>
      </c>
      <c r="AG88" s="78">
        <f t="shared" si="2"/>
        <v>178062.5</v>
      </c>
      <c r="AH88" s="78">
        <f t="shared" si="2"/>
        <v>178062.5</v>
      </c>
    </row>
    <row r="89" spans="2:34" x14ac:dyDescent="0.25">
      <c r="B89" s="114"/>
      <c r="C89" s="17" t="s">
        <v>245</v>
      </c>
      <c r="D89" s="78">
        <f t="shared" si="0"/>
        <v>75600</v>
      </c>
      <c r="E89" s="78">
        <f t="shared" si="0"/>
        <v>75600</v>
      </c>
      <c r="F89" s="78">
        <f t="shared" si="0"/>
        <v>75600</v>
      </c>
      <c r="G89" s="78">
        <f t="shared" si="0"/>
        <v>75600</v>
      </c>
      <c r="H89" s="78">
        <f t="shared" si="0"/>
        <v>75600</v>
      </c>
      <c r="I89" s="78">
        <f t="shared" si="0"/>
        <v>75600</v>
      </c>
      <c r="J89" s="78">
        <f t="shared" si="0"/>
        <v>75600</v>
      </c>
      <c r="K89" s="78">
        <f t="shared" si="0"/>
        <v>75600</v>
      </c>
      <c r="L89" s="78">
        <f t="shared" si="0"/>
        <v>75600</v>
      </c>
      <c r="M89" s="78">
        <f t="shared" si="0"/>
        <v>75600</v>
      </c>
      <c r="N89" s="78">
        <f t="shared" si="1"/>
        <v>75600</v>
      </c>
      <c r="O89" s="78">
        <f t="shared" si="1"/>
        <v>75600</v>
      </c>
      <c r="P89" s="78">
        <f t="shared" si="1"/>
        <v>75600</v>
      </c>
      <c r="Q89" s="78">
        <f t="shared" si="1"/>
        <v>75600</v>
      </c>
      <c r="R89" s="78">
        <f t="shared" si="1"/>
        <v>75600</v>
      </c>
      <c r="S89" s="78">
        <f t="shared" si="1"/>
        <v>338100</v>
      </c>
      <c r="T89" s="78">
        <f t="shared" si="1"/>
        <v>338100</v>
      </c>
      <c r="U89" s="78">
        <f t="shared" si="1"/>
        <v>338100</v>
      </c>
      <c r="V89" s="78">
        <f t="shared" si="1"/>
        <v>338100</v>
      </c>
      <c r="W89" s="78">
        <f t="shared" si="1"/>
        <v>338100</v>
      </c>
      <c r="X89" s="78">
        <f t="shared" si="2"/>
        <v>338100</v>
      </c>
      <c r="Y89" s="78">
        <f t="shared" si="2"/>
        <v>338100</v>
      </c>
      <c r="Z89" s="78">
        <f t="shared" si="2"/>
        <v>338100</v>
      </c>
      <c r="AA89" s="78">
        <f t="shared" si="2"/>
        <v>338100</v>
      </c>
      <c r="AB89" s="78">
        <f t="shared" si="2"/>
        <v>338100</v>
      </c>
      <c r="AC89" s="78">
        <f t="shared" si="2"/>
        <v>338100</v>
      </c>
      <c r="AD89" s="78">
        <f t="shared" si="2"/>
        <v>338100</v>
      </c>
      <c r="AE89" s="78">
        <f t="shared" si="2"/>
        <v>338100</v>
      </c>
      <c r="AF89" s="78">
        <f t="shared" si="2"/>
        <v>338100</v>
      </c>
      <c r="AG89" s="78">
        <f t="shared" si="2"/>
        <v>338100</v>
      </c>
      <c r="AH89" s="78">
        <f t="shared" si="2"/>
        <v>338100</v>
      </c>
    </row>
    <row r="90" spans="2:34" x14ac:dyDescent="0.25">
      <c r="C90" s="17" t="s">
        <v>149</v>
      </c>
      <c r="D90" s="51">
        <f t="shared" ref="D90:AH90" si="3">SUM(D86:D89)</f>
        <v>376162.5</v>
      </c>
      <c r="E90" s="51">
        <f t="shared" si="3"/>
        <v>376162.5</v>
      </c>
      <c r="F90" s="51">
        <f t="shared" si="3"/>
        <v>376162.5</v>
      </c>
      <c r="G90" s="51">
        <f t="shared" si="3"/>
        <v>444412.5</v>
      </c>
      <c r="H90" s="51">
        <f t="shared" si="3"/>
        <v>444412.5</v>
      </c>
      <c r="I90" s="51">
        <f t="shared" si="3"/>
        <v>473287.5</v>
      </c>
      <c r="J90" s="51">
        <f t="shared" si="3"/>
        <v>473287.5</v>
      </c>
      <c r="K90" s="51">
        <f t="shared" si="3"/>
        <v>473287.5</v>
      </c>
      <c r="L90" s="51">
        <f t="shared" si="3"/>
        <v>473287.5</v>
      </c>
      <c r="M90" s="51">
        <f t="shared" si="3"/>
        <v>473287.5</v>
      </c>
      <c r="N90" s="51">
        <f t="shared" si="3"/>
        <v>473287.5</v>
      </c>
      <c r="O90" s="51">
        <f t="shared" si="3"/>
        <v>473287.5</v>
      </c>
      <c r="P90" s="51">
        <f t="shared" si="3"/>
        <v>473287.5</v>
      </c>
      <c r="Q90" s="51">
        <f t="shared" si="3"/>
        <v>473287.5</v>
      </c>
      <c r="R90" s="51">
        <f t="shared" si="3"/>
        <v>473287.5</v>
      </c>
      <c r="S90" s="51">
        <f t="shared" si="3"/>
        <v>751100</v>
      </c>
      <c r="T90" s="51">
        <f t="shared" si="3"/>
        <v>751100</v>
      </c>
      <c r="U90" s="51">
        <f t="shared" si="3"/>
        <v>751100</v>
      </c>
      <c r="V90" s="51">
        <f t="shared" si="3"/>
        <v>751100</v>
      </c>
      <c r="W90" s="51">
        <f t="shared" si="3"/>
        <v>751100</v>
      </c>
      <c r="X90" s="51">
        <f t="shared" si="3"/>
        <v>751100</v>
      </c>
      <c r="Y90" s="51">
        <f t="shared" si="3"/>
        <v>751100</v>
      </c>
      <c r="Z90" s="51">
        <f t="shared" si="3"/>
        <v>751100</v>
      </c>
      <c r="AA90" s="51">
        <f t="shared" si="3"/>
        <v>751100</v>
      </c>
      <c r="AB90" s="51">
        <f t="shared" si="3"/>
        <v>751100</v>
      </c>
      <c r="AC90" s="51">
        <f t="shared" si="3"/>
        <v>751100</v>
      </c>
      <c r="AD90" s="51">
        <f t="shared" si="3"/>
        <v>751100</v>
      </c>
      <c r="AE90" s="51">
        <f t="shared" si="3"/>
        <v>751100</v>
      </c>
      <c r="AF90" s="51">
        <f t="shared" si="3"/>
        <v>751100</v>
      </c>
      <c r="AG90" s="51">
        <f t="shared" si="3"/>
        <v>751100</v>
      </c>
      <c r="AH90" s="51">
        <f t="shared" si="3"/>
        <v>751100</v>
      </c>
    </row>
    <row r="92" spans="2:34" ht="17.25" thickBot="1" x14ac:dyDescent="0.3">
      <c r="B92" s="19" t="s">
        <v>273</v>
      </c>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row>
    <row r="93" spans="2:34" ht="15.75" thickTop="1" x14ac:dyDescent="0.25">
      <c r="B93" s="74">
        <v>0</v>
      </c>
      <c r="C93" s="77" t="s">
        <v>149</v>
      </c>
      <c r="D93" s="78">
        <f t="shared" ref="D93:AH93" si="4">IFERROR(IF(D$90/$D12&gt;1,1,D$90/$D12),0)*$E12</f>
        <v>0</v>
      </c>
      <c r="E93" s="78">
        <f t="shared" si="4"/>
        <v>0</v>
      </c>
      <c r="F93" s="78">
        <f t="shared" si="4"/>
        <v>0</v>
      </c>
      <c r="G93" s="78">
        <f t="shared" si="4"/>
        <v>0</v>
      </c>
      <c r="H93" s="78">
        <f t="shared" si="4"/>
        <v>0</v>
      </c>
      <c r="I93" s="78">
        <f t="shared" si="4"/>
        <v>0</v>
      </c>
      <c r="J93" s="78">
        <f t="shared" si="4"/>
        <v>0</v>
      </c>
      <c r="K93" s="78">
        <f t="shared" si="4"/>
        <v>0</v>
      </c>
      <c r="L93" s="78">
        <f t="shared" si="4"/>
        <v>0</v>
      </c>
      <c r="M93" s="78">
        <f t="shared" si="4"/>
        <v>0</v>
      </c>
      <c r="N93" s="78">
        <f t="shared" si="4"/>
        <v>0</v>
      </c>
      <c r="O93" s="78">
        <f t="shared" si="4"/>
        <v>0</v>
      </c>
      <c r="P93" s="78">
        <f t="shared" si="4"/>
        <v>0</v>
      </c>
      <c r="Q93" s="78">
        <f t="shared" si="4"/>
        <v>0</v>
      </c>
      <c r="R93" s="78">
        <f t="shared" si="4"/>
        <v>0</v>
      </c>
      <c r="S93" s="78">
        <f t="shared" si="4"/>
        <v>0</v>
      </c>
      <c r="T93" s="78">
        <f t="shared" si="4"/>
        <v>0</v>
      </c>
      <c r="U93" s="78">
        <f t="shared" si="4"/>
        <v>0</v>
      </c>
      <c r="V93" s="78">
        <f t="shared" si="4"/>
        <v>0</v>
      </c>
      <c r="W93" s="78">
        <f t="shared" si="4"/>
        <v>0</v>
      </c>
      <c r="X93" s="78">
        <f t="shared" si="4"/>
        <v>0</v>
      </c>
      <c r="Y93" s="78">
        <f t="shared" si="4"/>
        <v>0</v>
      </c>
      <c r="Z93" s="78">
        <f t="shared" si="4"/>
        <v>0</v>
      </c>
      <c r="AA93" s="78">
        <f t="shared" si="4"/>
        <v>0</v>
      </c>
      <c r="AB93" s="78">
        <f t="shared" si="4"/>
        <v>0</v>
      </c>
      <c r="AC93" s="78">
        <f t="shared" si="4"/>
        <v>0</v>
      </c>
      <c r="AD93" s="78">
        <f t="shared" si="4"/>
        <v>0</v>
      </c>
      <c r="AE93" s="78">
        <f t="shared" si="4"/>
        <v>0</v>
      </c>
      <c r="AF93" s="78">
        <f t="shared" si="4"/>
        <v>0</v>
      </c>
      <c r="AG93" s="78">
        <f t="shared" si="4"/>
        <v>0</v>
      </c>
      <c r="AH93" s="78">
        <f t="shared" si="4"/>
        <v>0</v>
      </c>
    </row>
    <row r="94" spans="2:34" x14ac:dyDescent="0.25">
      <c r="B94" s="112" t="s">
        <v>243</v>
      </c>
      <c r="C94" s="17" t="s">
        <v>144</v>
      </c>
      <c r="D94" s="78">
        <f t="shared" ref="D94:AH94" si="5">IFERROR(IF(D$86/$D13&gt;1,1,D$86/$D13),0)*$E13</f>
        <v>0</v>
      </c>
      <c r="E94" s="78">
        <f t="shared" si="5"/>
        <v>0</v>
      </c>
      <c r="F94" s="78">
        <f t="shared" si="5"/>
        <v>0</v>
      </c>
      <c r="G94" s="78">
        <f t="shared" si="5"/>
        <v>0</v>
      </c>
      <c r="H94" s="78">
        <f t="shared" si="5"/>
        <v>0</v>
      </c>
      <c r="I94" s="78">
        <f t="shared" si="5"/>
        <v>0</v>
      </c>
      <c r="J94" s="78">
        <f t="shared" si="5"/>
        <v>0</v>
      </c>
      <c r="K94" s="78">
        <f t="shared" si="5"/>
        <v>0</v>
      </c>
      <c r="L94" s="78">
        <f t="shared" si="5"/>
        <v>0</v>
      </c>
      <c r="M94" s="78">
        <f t="shared" si="5"/>
        <v>0</v>
      </c>
      <c r="N94" s="78">
        <f t="shared" si="5"/>
        <v>0</v>
      </c>
      <c r="O94" s="78">
        <f t="shared" si="5"/>
        <v>0</v>
      </c>
      <c r="P94" s="78">
        <f t="shared" si="5"/>
        <v>0</v>
      </c>
      <c r="Q94" s="78">
        <f t="shared" si="5"/>
        <v>0</v>
      </c>
      <c r="R94" s="78">
        <f t="shared" si="5"/>
        <v>0</v>
      </c>
      <c r="S94" s="78">
        <f t="shared" si="5"/>
        <v>0</v>
      </c>
      <c r="T94" s="78">
        <f t="shared" si="5"/>
        <v>0</v>
      </c>
      <c r="U94" s="78">
        <f t="shared" si="5"/>
        <v>0</v>
      </c>
      <c r="V94" s="78">
        <f t="shared" si="5"/>
        <v>0</v>
      </c>
      <c r="W94" s="78">
        <f t="shared" si="5"/>
        <v>0</v>
      </c>
      <c r="X94" s="78">
        <f t="shared" si="5"/>
        <v>0</v>
      </c>
      <c r="Y94" s="78">
        <f t="shared" si="5"/>
        <v>0</v>
      </c>
      <c r="Z94" s="78">
        <f t="shared" si="5"/>
        <v>0</v>
      </c>
      <c r="AA94" s="78">
        <f t="shared" si="5"/>
        <v>0</v>
      </c>
      <c r="AB94" s="78">
        <f t="shared" si="5"/>
        <v>0</v>
      </c>
      <c r="AC94" s="78">
        <f t="shared" si="5"/>
        <v>0</v>
      </c>
      <c r="AD94" s="78">
        <f t="shared" si="5"/>
        <v>0</v>
      </c>
      <c r="AE94" s="78">
        <f t="shared" si="5"/>
        <v>0</v>
      </c>
      <c r="AF94" s="78">
        <f t="shared" si="5"/>
        <v>0</v>
      </c>
      <c r="AG94" s="78">
        <f t="shared" si="5"/>
        <v>0</v>
      </c>
      <c r="AH94" s="78">
        <f t="shared" si="5"/>
        <v>0</v>
      </c>
    </row>
    <row r="95" spans="2:34" x14ac:dyDescent="0.25">
      <c r="B95" s="113"/>
      <c r="C95" s="17" t="s">
        <v>145</v>
      </c>
      <c r="D95" s="78">
        <f t="shared" ref="D95:AH95" si="6">IFERROR(IF(D$87/$D14&gt;1,1,D$87/$D14),0)*$E14</f>
        <v>0</v>
      </c>
      <c r="E95" s="78">
        <f t="shared" si="6"/>
        <v>0</v>
      </c>
      <c r="F95" s="78">
        <f t="shared" si="6"/>
        <v>0</v>
      </c>
      <c r="G95" s="78">
        <f t="shared" si="6"/>
        <v>0</v>
      </c>
      <c r="H95" s="78">
        <f t="shared" si="6"/>
        <v>0</v>
      </c>
      <c r="I95" s="78">
        <f t="shared" si="6"/>
        <v>0</v>
      </c>
      <c r="J95" s="78">
        <f t="shared" si="6"/>
        <v>0</v>
      </c>
      <c r="K95" s="78">
        <f t="shared" si="6"/>
        <v>0</v>
      </c>
      <c r="L95" s="78">
        <f t="shared" si="6"/>
        <v>0</v>
      </c>
      <c r="M95" s="78">
        <f t="shared" si="6"/>
        <v>0</v>
      </c>
      <c r="N95" s="78">
        <f t="shared" si="6"/>
        <v>0</v>
      </c>
      <c r="O95" s="78">
        <f t="shared" si="6"/>
        <v>0</v>
      </c>
      <c r="P95" s="78">
        <f t="shared" si="6"/>
        <v>0</v>
      </c>
      <c r="Q95" s="78">
        <f t="shared" si="6"/>
        <v>0</v>
      </c>
      <c r="R95" s="78">
        <f t="shared" si="6"/>
        <v>0</v>
      </c>
      <c r="S95" s="78">
        <f t="shared" si="6"/>
        <v>0</v>
      </c>
      <c r="T95" s="78">
        <f t="shared" si="6"/>
        <v>0</v>
      </c>
      <c r="U95" s="78">
        <f t="shared" si="6"/>
        <v>0</v>
      </c>
      <c r="V95" s="78">
        <f t="shared" si="6"/>
        <v>0</v>
      </c>
      <c r="W95" s="78">
        <f t="shared" si="6"/>
        <v>0</v>
      </c>
      <c r="X95" s="78">
        <f t="shared" si="6"/>
        <v>0</v>
      </c>
      <c r="Y95" s="78">
        <f t="shared" si="6"/>
        <v>0</v>
      </c>
      <c r="Z95" s="78">
        <f t="shared" si="6"/>
        <v>0</v>
      </c>
      <c r="AA95" s="78">
        <f t="shared" si="6"/>
        <v>0</v>
      </c>
      <c r="AB95" s="78">
        <f t="shared" si="6"/>
        <v>0</v>
      </c>
      <c r="AC95" s="78">
        <f t="shared" si="6"/>
        <v>0</v>
      </c>
      <c r="AD95" s="78">
        <f t="shared" si="6"/>
        <v>0</v>
      </c>
      <c r="AE95" s="78">
        <f t="shared" si="6"/>
        <v>0</v>
      </c>
      <c r="AF95" s="78">
        <f t="shared" si="6"/>
        <v>0</v>
      </c>
      <c r="AG95" s="78">
        <f t="shared" si="6"/>
        <v>0</v>
      </c>
      <c r="AH95" s="78">
        <f t="shared" si="6"/>
        <v>0</v>
      </c>
    </row>
    <row r="96" spans="2:34" x14ac:dyDescent="0.25">
      <c r="B96" s="113"/>
      <c r="C96" s="17" t="s">
        <v>244</v>
      </c>
      <c r="D96" s="78">
        <f t="shared" ref="D96:AH96" si="7">IFERROR(IF(D$88/$D15&gt;1,1,D$88/$D15),0)*$E15</f>
        <v>0</v>
      </c>
      <c r="E96" s="78">
        <f t="shared" si="7"/>
        <v>0</v>
      </c>
      <c r="F96" s="78">
        <f t="shared" si="7"/>
        <v>0</v>
      </c>
      <c r="G96" s="78">
        <f t="shared" si="7"/>
        <v>0</v>
      </c>
      <c r="H96" s="78">
        <f t="shared" si="7"/>
        <v>0</v>
      </c>
      <c r="I96" s="78">
        <f t="shared" si="7"/>
        <v>0</v>
      </c>
      <c r="J96" s="78">
        <f t="shared" si="7"/>
        <v>0</v>
      </c>
      <c r="K96" s="78">
        <f t="shared" si="7"/>
        <v>0</v>
      </c>
      <c r="L96" s="78">
        <f t="shared" si="7"/>
        <v>0</v>
      </c>
      <c r="M96" s="78">
        <f t="shared" si="7"/>
        <v>0</v>
      </c>
      <c r="N96" s="78">
        <f t="shared" si="7"/>
        <v>0</v>
      </c>
      <c r="O96" s="78">
        <f t="shared" si="7"/>
        <v>0</v>
      </c>
      <c r="P96" s="78">
        <f t="shared" si="7"/>
        <v>0</v>
      </c>
      <c r="Q96" s="78">
        <f t="shared" si="7"/>
        <v>0</v>
      </c>
      <c r="R96" s="78">
        <f t="shared" si="7"/>
        <v>0</v>
      </c>
      <c r="S96" s="78">
        <f t="shared" si="7"/>
        <v>0</v>
      </c>
      <c r="T96" s="78">
        <f t="shared" si="7"/>
        <v>0</v>
      </c>
      <c r="U96" s="78">
        <f t="shared" si="7"/>
        <v>0</v>
      </c>
      <c r="V96" s="78">
        <f t="shared" si="7"/>
        <v>0</v>
      </c>
      <c r="W96" s="78">
        <f t="shared" si="7"/>
        <v>0</v>
      </c>
      <c r="X96" s="78">
        <f t="shared" si="7"/>
        <v>0</v>
      </c>
      <c r="Y96" s="78">
        <f t="shared" si="7"/>
        <v>0</v>
      </c>
      <c r="Z96" s="78">
        <f t="shared" si="7"/>
        <v>0</v>
      </c>
      <c r="AA96" s="78">
        <f t="shared" si="7"/>
        <v>0</v>
      </c>
      <c r="AB96" s="78">
        <f t="shared" si="7"/>
        <v>0</v>
      </c>
      <c r="AC96" s="78">
        <f t="shared" si="7"/>
        <v>0</v>
      </c>
      <c r="AD96" s="78">
        <f t="shared" si="7"/>
        <v>0</v>
      </c>
      <c r="AE96" s="78">
        <f t="shared" si="7"/>
        <v>0</v>
      </c>
      <c r="AF96" s="78">
        <f t="shared" si="7"/>
        <v>0</v>
      </c>
      <c r="AG96" s="78">
        <f t="shared" si="7"/>
        <v>0</v>
      </c>
      <c r="AH96" s="78">
        <f t="shared" si="7"/>
        <v>0</v>
      </c>
    </row>
    <row r="97" spans="2:34" x14ac:dyDescent="0.25">
      <c r="B97" s="113"/>
      <c r="C97" s="17" t="s">
        <v>245</v>
      </c>
      <c r="D97" s="78">
        <f t="shared" ref="D97:AH97" si="8">IFERROR(IF(D$89/$D16&gt;1,1,D$89/$D16),0)*$E16</f>
        <v>0</v>
      </c>
      <c r="E97" s="78">
        <f t="shared" si="8"/>
        <v>0</v>
      </c>
      <c r="F97" s="78">
        <f t="shared" si="8"/>
        <v>0</v>
      </c>
      <c r="G97" s="78">
        <f t="shared" si="8"/>
        <v>0</v>
      </c>
      <c r="H97" s="78">
        <f t="shared" si="8"/>
        <v>0</v>
      </c>
      <c r="I97" s="78">
        <f t="shared" si="8"/>
        <v>0</v>
      </c>
      <c r="J97" s="78">
        <f t="shared" si="8"/>
        <v>0</v>
      </c>
      <c r="K97" s="78">
        <f t="shared" si="8"/>
        <v>0</v>
      </c>
      <c r="L97" s="78">
        <f t="shared" si="8"/>
        <v>0</v>
      </c>
      <c r="M97" s="78">
        <f t="shared" si="8"/>
        <v>0</v>
      </c>
      <c r="N97" s="78">
        <f t="shared" si="8"/>
        <v>0</v>
      </c>
      <c r="O97" s="78">
        <f t="shared" si="8"/>
        <v>0</v>
      </c>
      <c r="P97" s="78">
        <f t="shared" si="8"/>
        <v>0</v>
      </c>
      <c r="Q97" s="78">
        <f t="shared" si="8"/>
        <v>0</v>
      </c>
      <c r="R97" s="78">
        <f t="shared" si="8"/>
        <v>0</v>
      </c>
      <c r="S97" s="78">
        <f t="shared" si="8"/>
        <v>0</v>
      </c>
      <c r="T97" s="78">
        <f t="shared" si="8"/>
        <v>0</v>
      </c>
      <c r="U97" s="78">
        <f t="shared" si="8"/>
        <v>0</v>
      </c>
      <c r="V97" s="78">
        <f t="shared" si="8"/>
        <v>0</v>
      </c>
      <c r="W97" s="78">
        <f t="shared" si="8"/>
        <v>0</v>
      </c>
      <c r="X97" s="78">
        <f t="shared" si="8"/>
        <v>0</v>
      </c>
      <c r="Y97" s="78">
        <f t="shared" si="8"/>
        <v>0</v>
      </c>
      <c r="Z97" s="78">
        <f t="shared" si="8"/>
        <v>0</v>
      </c>
      <c r="AA97" s="78">
        <f t="shared" si="8"/>
        <v>0</v>
      </c>
      <c r="AB97" s="78">
        <f t="shared" si="8"/>
        <v>0</v>
      </c>
      <c r="AC97" s="78">
        <f t="shared" si="8"/>
        <v>0</v>
      </c>
      <c r="AD97" s="78">
        <f t="shared" si="8"/>
        <v>0</v>
      </c>
      <c r="AE97" s="78">
        <f t="shared" si="8"/>
        <v>0</v>
      </c>
      <c r="AF97" s="78">
        <f t="shared" si="8"/>
        <v>0</v>
      </c>
      <c r="AG97" s="78">
        <f t="shared" si="8"/>
        <v>0</v>
      </c>
      <c r="AH97" s="78">
        <f t="shared" si="8"/>
        <v>0</v>
      </c>
    </row>
    <row r="98" spans="2:34" x14ac:dyDescent="0.25">
      <c r="B98" s="114"/>
      <c r="C98" s="77" t="s">
        <v>149</v>
      </c>
      <c r="D98" s="78">
        <f>SUM(D94:D97)</f>
        <v>0</v>
      </c>
      <c r="E98" s="78">
        <f t="shared" ref="E98:AH98" si="9">SUM(E94:E97)</f>
        <v>0</v>
      </c>
      <c r="F98" s="78">
        <f t="shared" si="9"/>
        <v>0</v>
      </c>
      <c r="G98" s="78">
        <f t="shared" si="9"/>
        <v>0</v>
      </c>
      <c r="H98" s="78">
        <f t="shared" si="9"/>
        <v>0</v>
      </c>
      <c r="I98" s="78">
        <f t="shared" si="9"/>
        <v>0</v>
      </c>
      <c r="J98" s="78">
        <f t="shared" si="9"/>
        <v>0</v>
      </c>
      <c r="K98" s="78">
        <f t="shared" si="9"/>
        <v>0</v>
      </c>
      <c r="L98" s="78">
        <f t="shared" si="9"/>
        <v>0</v>
      </c>
      <c r="M98" s="78">
        <f t="shared" si="9"/>
        <v>0</v>
      </c>
      <c r="N98" s="78">
        <f t="shared" si="9"/>
        <v>0</v>
      </c>
      <c r="O98" s="78">
        <f t="shared" si="9"/>
        <v>0</v>
      </c>
      <c r="P98" s="78">
        <f t="shared" si="9"/>
        <v>0</v>
      </c>
      <c r="Q98" s="78">
        <f t="shared" si="9"/>
        <v>0</v>
      </c>
      <c r="R98" s="78">
        <f t="shared" si="9"/>
        <v>0</v>
      </c>
      <c r="S98" s="78">
        <f t="shared" si="9"/>
        <v>0</v>
      </c>
      <c r="T98" s="78">
        <f t="shared" si="9"/>
        <v>0</v>
      </c>
      <c r="U98" s="78">
        <f t="shared" si="9"/>
        <v>0</v>
      </c>
      <c r="V98" s="78">
        <f t="shared" si="9"/>
        <v>0</v>
      </c>
      <c r="W98" s="78">
        <f t="shared" si="9"/>
        <v>0</v>
      </c>
      <c r="X98" s="78">
        <f t="shared" si="9"/>
        <v>0</v>
      </c>
      <c r="Y98" s="78">
        <f t="shared" si="9"/>
        <v>0</v>
      </c>
      <c r="Z98" s="78">
        <f t="shared" si="9"/>
        <v>0</v>
      </c>
      <c r="AA98" s="78">
        <f t="shared" si="9"/>
        <v>0</v>
      </c>
      <c r="AB98" s="78">
        <f t="shared" si="9"/>
        <v>0</v>
      </c>
      <c r="AC98" s="78">
        <f t="shared" si="9"/>
        <v>0</v>
      </c>
      <c r="AD98" s="78">
        <f t="shared" si="9"/>
        <v>0</v>
      </c>
      <c r="AE98" s="78">
        <f t="shared" si="9"/>
        <v>0</v>
      </c>
      <c r="AF98" s="78">
        <f t="shared" si="9"/>
        <v>0</v>
      </c>
      <c r="AG98" s="78">
        <f t="shared" si="9"/>
        <v>0</v>
      </c>
      <c r="AH98" s="78">
        <f t="shared" si="9"/>
        <v>0</v>
      </c>
    </row>
    <row r="99" spans="2:34" x14ac:dyDescent="0.25">
      <c r="B99" s="112" t="s">
        <v>246</v>
      </c>
      <c r="C99" s="17" t="s">
        <v>144</v>
      </c>
      <c r="D99" s="78">
        <f t="shared" ref="D99:AH99" si="10">IFERROR(IF(D$86/$D17&gt;1,1,D$86/$D17),0)*$E17</f>
        <v>0</v>
      </c>
      <c r="E99" s="78">
        <f t="shared" si="10"/>
        <v>0</v>
      </c>
      <c r="F99" s="78">
        <f t="shared" si="10"/>
        <v>0</v>
      </c>
      <c r="G99" s="78">
        <f t="shared" si="10"/>
        <v>0</v>
      </c>
      <c r="H99" s="78">
        <f t="shared" si="10"/>
        <v>0</v>
      </c>
      <c r="I99" s="78">
        <f t="shared" si="10"/>
        <v>0</v>
      </c>
      <c r="J99" s="78">
        <f t="shared" si="10"/>
        <v>0</v>
      </c>
      <c r="K99" s="78">
        <f t="shared" si="10"/>
        <v>0</v>
      </c>
      <c r="L99" s="78">
        <f t="shared" si="10"/>
        <v>0</v>
      </c>
      <c r="M99" s="78">
        <f t="shared" si="10"/>
        <v>0</v>
      </c>
      <c r="N99" s="78">
        <f t="shared" si="10"/>
        <v>0</v>
      </c>
      <c r="O99" s="78">
        <f t="shared" si="10"/>
        <v>0</v>
      </c>
      <c r="P99" s="78">
        <f t="shared" si="10"/>
        <v>0</v>
      </c>
      <c r="Q99" s="78">
        <f t="shared" si="10"/>
        <v>0</v>
      </c>
      <c r="R99" s="78">
        <f t="shared" si="10"/>
        <v>0</v>
      </c>
      <c r="S99" s="78">
        <f t="shared" si="10"/>
        <v>0</v>
      </c>
      <c r="T99" s="78">
        <f t="shared" si="10"/>
        <v>0</v>
      </c>
      <c r="U99" s="78">
        <f t="shared" si="10"/>
        <v>0</v>
      </c>
      <c r="V99" s="78">
        <f t="shared" si="10"/>
        <v>0</v>
      </c>
      <c r="W99" s="78">
        <f t="shared" si="10"/>
        <v>0</v>
      </c>
      <c r="X99" s="78">
        <f t="shared" si="10"/>
        <v>0</v>
      </c>
      <c r="Y99" s="78">
        <f t="shared" si="10"/>
        <v>0</v>
      </c>
      <c r="Z99" s="78">
        <f t="shared" si="10"/>
        <v>0</v>
      </c>
      <c r="AA99" s="78">
        <f t="shared" si="10"/>
        <v>0</v>
      </c>
      <c r="AB99" s="78">
        <f t="shared" si="10"/>
        <v>0</v>
      </c>
      <c r="AC99" s="78">
        <f t="shared" si="10"/>
        <v>0</v>
      </c>
      <c r="AD99" s="78">
        <f t="shared" si="10"/>
        <v>0</v>
      </c>
      <c r="AE99" s="78">
        <f t="shared" si="10"/>
        <v>0</v>
      </c>
      <c r="AF99" s="78">
        <f t="shared" si="10"/>
        <v>0</v>
      </c>
      <c r="AG99" s="78">
        <f t="shared" si="10"/>
        <v>0</v>
      </c>
      <c r="AH99" s="78">
        <f t="shared" si="10"/>
        <v>0</v>
      </c>
    </row>
    <row r="100" spans="2:34" x14ac:dyDescent="0.25">
      <c r="B100" s="113"/>
      <c r="C100" s="17" t="s">
        <v>145</v>
      </c>
      <c r="D100" s="78">
        <f t="shared" ref="D100:AH100" si="11">IFERROR(IF(D$87/$D18&gt;1,1,D$87/$D18),0)*$E18</f>
        <v>0</v>
      </c>
      <c r="E100" s="78">
        <f t="shared" si="11"/>
        <v>0</v>
      </c>
      <c r="F100" s="78">
        <f t="shared" si="11"/>
        <v>0</v>
      </c>
      <c r="G100" s="78">
        <f t="shared" si="11"/>
        <v>0</v>
      </c>
      <c r="H100" s="78">
        <f t="shared" si="11"/>
        <v>0</v>
      </c>
      <c r="I100" s="78">
        <f t="shared" si="11"/>
        <v>0</v>
      </c>
      <c r="J100" s="78">
        <f t="shared" si="11"/>
        <v>0</v>
      </c>
      <c r="K100" s="78">
        <f t="shared" si="11"/>
        <v>0</v>
      </c>
      <c r="L100" s="78">
        <f t="shared" si="11"/>
        <v>0</v>
      </c>
      <c r="M100" s="78">
        <f t="shared" si="11"/>
        <v>0</v>
      </c>
      <c r="N100" s="78">
        <f t="shared" si="11"/>
        <v>0</v>
      </c>
      <c r="O100" s="78">
        <f t="shared" si="11"/>
        <v>0</v>
      </c>
      <c r="P100" s="78">
        <f t="shared" si="11"/>
        <v>0</v>
      </c>
      <c r="Q100" s="78">
        <f t="shared" si="11"/>
        <v>0</v>
      </c>
      <c r="R100" s="78">
        <f t="shared" si="11"/>
        <v>0</v>
      </c>
      <c r="S100" s="78">
        <f t="shared" si="11"/>
        <v>0</v>
      </c>
      <c r="T100" s="78">
        <f t="shared" si="11"/>
        <v>0</v>
      </c>
      <c r="U100" s="78">
        <f t="shared" si="11"/>
        <v>0</v>
      </c>
      <c r="V100" s="78">
        <f t="shared" si="11"/>
        <v>0</v>
      </c>
      <c r="W100" s="78">
        <f t="shared" si="11"/>
        <v>0</v>
      </c>
      <c r="X100" s="78">
        <f t="shared" si="11"/>
        <v>0</v>
      </c>
      <c r="Y100" s="78">
        <f t="shared" si="11"/>
        <v>0</v>
      </c>
      <c r="Z100" s="78">
        <f t="shared" si="11"/>
        <v>0</v>
      </c>
      <c r="AA100" s="78">
        <f t="shared" si="11"/>
        <v>0</v>
      </c>
      <c r="AB100" s="78">
        <f t="shared" si="11"/>
        <v>0</v>
      </c>
      <c r="AC100" s="78">
        <f t="shared" si="11"/>
        <v>0</v>
      </c>
      <c r="AD100" s="78">
        <f t="shared" si="11"/>
        <v>0</v>
      </c>
      <c r="AE100" s="78">
        <f t="shared" si="11"/>
        <v>0</v>
      </c>
      <c r="AF100" s="78">
        <f t="shared" si="11"/>
        <v>0</v>
      </c>
      <c r="AG100" s="78">
        <f t="shared" si="11"/>
        <v>0</v>
      </c>
      <c r="AH100" s="78">
        <f t="shared" si="11"/>
        <v>0</v>
      </c>
    </row>
    <row r="101" spans="2:34" x14ac:dyDescent="0.25">
      <c r="B101" s="113"/>
      <c r="C101" s="17" t="s">
        <v>244</v>
      </c>
      <c r="D101" s="78">
        <f t="shared" ref="D101:AH101" si="12">IFERROR(IF(D$88/$D19&gt;1,1,D$88/$D19),0)*$E19</f>
        <v>0</v>
      </c>
      <c r="E101" s="78">
        <f t="shared" si="12"/>
        <v>0</v>
      </c>
      <c r="F101" s="78">
        <f t="shared" si="12"/>
        <v>0</v>
      </c>
      <c r="G101" s="78">
        <f t="shared" si="12"/>
        <v>0</v>
      </c>
      <c r="H101" s="78">
        <f t="shared" si="12"/>
        <v>0</v>
      </c>
      <c r="I101" s="78">
        <f t="shared" si="12"/>
        <v>0</v>
      </c>
      <c r="J101" s="78">
        <f t="shared" si="12"/>
        <v>0</v>
      </c>
      <c r="K101" s="78">
        <f t="shared" si="12"/>
        <v>0</v>
      </c>
      <c r="L101" s="78">
        <f t="shared" si="12"/>
        <v>0</v>
      </c>
      <c r="M101" s="78">
        <f t="shared" si="12"/>
        <v>0</v>
      </c>
      <c r="N101" s="78">
        <f t="shared" si="12"/>
        <v>0</v>
      </c>
      <c r="O101" s="78">
        <f t="shared" si="12"/>
        <v>0</v>
      </c>
      <c r="P101" s="78">
        <f t="shared" si="12"/>
        <v>0</v>
      </c>
      <c r="Q101" s="78">
        <f t="shared" si="12"/>
        <v>0</v>
      </c>
      <c r="R101" s="78">
        <f t="shared" si="12"/>
        <v>0</v>
      </c>
      <c r="S101" s="78">
        <f t="shared" si="12"/>
        <v>0</v>
      </c>
      <c r="T101" s="78">
        <f t="shared" si="12"/>
        <v>0</v>
      </c>
      <c r="U101" s="78">
        <f t="shared" si="12"/>
        <v>0</v>
      </c>
      <c r="V101" s="78">
        <f t="shared" si="12"/>
        <v>0</v>
      </c>
      <c r="W101" s="78">
        <f t="shared" si="12"/>
        <v>0</v>
      </c>
      <c r="X101" s="78">
        <f t="shared" si="12"/>
        <v>0</v>
      </c>
      <c r="Y101" s="78">
        <f t="shared" si="12"/>
        <v>0</v>
      </c>
      <c r="Z101" s="78">
        <f t="shared" si="12"/>
        <v>0</v>
      </c>
      <c r="AA101" s="78">
        <f t="shared" si="12"/>
        <v>0</v>
      </c>
      <c r="AB101" s="78">
        <f t="shared" si="12"/>
        <v>0</v>
      </c>
      <c r="AC101" s="78">
        <f t="shared" si="12"/>
        <v>0</v>
      </c>
      <c r="AD101" s="78">
        <f t="shared" si="12"/>
        <v>0</v>
      </c>
      <c r="AE101" s="78">
        <f t="shared" si="12"/>
        <v>0</v>
      </c>
      <c r="AF101" s="78">
        <f t="shared" si="12"/>
        <v>0</v>
      </c>
      <c r="AG101" s="78">
        <f t="shared" si="12"/>
        <v>0</v>
      </c>
      <c r="AH101" s="78">
        <f t="shared" si="12"/>
        <v>0</v>
      </c>
    </row>
    <row r="102" spans="2:34" x14ac:dyDescent="0.25">
      <c r="B102" s="113"/>
      <c r="C102" s="17" t="s">
        <v>245</v>
      </c>
      <c r="D102" s="78">
        <f t="shared" ref="D102:AH102" si="13">IFERROR(IF(D$89/$D20&gt;1,1,D$89/$D20),0)*$E20</f>
        <v>0</v>
      </c>
      <c r="E102" s="78">
        <f t="shared" si="13"/>
        <v>0</v>
      </c>
      <c r="F102" s="78">
        <f t="shared" si="13"/>
        <v>0</v>
      </c>
      <c r="G102" s="78">
        <f t="shared" si="13"/>
        <v>0</v>
      </c>
      <c r="H102" s="78">
        <f t="shared" si="13"/>
        <v>0</v>
      </c>
      <c r="I102" s="78">
        <f t="shared" si="13"/>
        <v>0</v>
      </c>
      <c r="J102" s="78">
        <f t="shared" si="13"/>
        <v>0</v>
      </c>
      <c r="K102" s="78">
        <f t="shared" si="13"/>
        <v>0</v>
      </c>
      <c r="L102" s="78">
        <f t="shared" si="13"/>
        <v>0</v>
      </c>
      <c r="M102" s="78">
        <f t="shared" si="13"/>
        <v>0</v>
      </c>
      <c r="N102" s="78">
        <f t="shared" si="13"/>
        <v>0</v>
      </c>
      <c r="O102" s="78">
        <f t="shared" si="13"/>
        <v>0</v>
      </c>
      <c r="P102" s="78">
        <f t="shared" si="13"/>
        <v>0</v>
      </c>
      <c r="Q102" s="78">
        <f t="shared" si="13"/>
        <v>0</v>
      </c>
      <c r="R102" s="78">
        <f t="shared" si="13"/>
        <v>0</v>
      </c>
      <c r="S102" s="78">
        <f t="shared" si="13"/>
        <v>0</v>
      </c>
      <c r="T102" s="78">
        <f t="shared" si="13"/>
        <v>0</v>
      </c>
      <c r="U102" s="78">
        <f t="shared" si="13"/>
        <v>0</v>
      </c>
      <c r="V102" s="78">
        <f t="shared" si="13"/>
        <v>0</v>
      </c>
      <c r="W102" s="78">
        <f t="shared" si="13"/>
        <v>0</v>
      </c>
      <c r="X102" s="78">
        <f t="shared" si="13"/>
        <v>0</v>
      </c>
      <c r="Y102" s="78">
        <f t="shared" si="13"/>
        <v>0</v>
      </c>
      <c r="Z102" s="78">
        <f t="shared" si="13"/>
        <v>0</v>
      </c>
      <c r="AA102" s="78">
        <f t="shared" si="13"/>
        <v>0</v>
      </c>
      <c r="AB102" s="78">
        <f t="shared" si="13"/>
        <v>0</v>
      </c>
      <c r="AC102" s="78">
        <f t="shared" si="13"/>
        <v>0</v>
      </c>
      <c r="AD102" s="78">
        <f t="shared" si="13"/>
        <v>0</v>
      </c>
      <c r="AE102" s="78">
        <f t="shared" si="13"/>
        <v>0</v>
      </c>
      <c r="AF102" s="78">
        <f t="shared" si="13"/>
        <v>0</v>
      </c>
      <c r="AG102" s="78">
        <f t="shared" si="13"/>
        <v>0</v>
      </c>
      <c r="AH102" s="78">
        <f t="shared" si="13"/>
        <v>0</v>
      </c>
    </row>
    <row r="103" spans="2:34" x14ac:dyDescent="0.25">
      <c r="B103" s="114"/>
      <c r="C103" s="77" t="s">
        <v>149</v>
      </c>
      <c r="D103" s="78">
        <f>SUM(D99:D102)</f>
        <v>0</v>
      </c>
      <c r="E103" s="78">
        <f t="shared" ref="E103:AH103" si="14">SUM(E99:E102)</f>
        <v>0</v>
      </c>
      <c r="F103" s="78">
        <f t="shared" si="14"/>
        <v>0</v>
      </c>
      <c r="G103" s="78">
        <f t="shared" si="14"/>
        <v>0</v>
      </c>
      <c r="H103" s="78">
        <f t="shared" si="14"/>
        <v>0</v>
      </c>
      <c r="I103" s="78">
        <f t="shared" si="14"/>
        <v>0</v>
      </c>
      <c r="J103" s="78">
        <f t="shared" si="14"/>
        <v>0</v>
      </c>
      <c r="K103" s="78">
        <f t="shared" si="14"/>
        <v>0</v>
      </c>
      <c r="L103" s="78">
        <f t="shared" si="14"/>
        <v>0</v>
      </c>
      <c r="M103" s="78">
        <f t="shared" si="14"/>
        <v>0</v>
      </c>
      <c r="N103" s="78">
        <f t="shared" si="14"/>
        <v>0</v>
      </c>
      <c r="O103" s="78">
        <f t="shared" si="14"/>
        <v>0</v>
      </c>
      <c r="P103" s="78">
        <f t="shared" si="14"/>
        <v>0</v>
      </c>
      <c r="Q103" s="78">
        <f t="shared" si="14"/>
        <v>0</v>
      </c>
      <c r="R103" s="78">
        <f t="shared" si="14"/>
        <v>0</v>
      </c>
      <c r="S103" s="78">
        <f t="shared" si="14"/>
        <v>0</v>
      </c>
      <c r="T103" s="78">
        <f t="shared" si="14"/>
        <v>0</v>
      </c>
      <c r="U103" s="78">
        <f t="shared" si="14"/>
        <v>0</v>
      </c>
      <c r="V103" s="78">
        <f t="shared" si="14"/>
        <v>0</v>
      </c>
      <c r="W103" s="78">
        <f t="shared" si="14"/>
        <v>0</v>
      </c>
      <c r="X103" s="78">
        <f t="shared" si="14"/>
        <v>0</v>
      </c>
      <c r="Y103" s="78">
        <f t="shared" si="14"/>
        <v>0</v>
      </c>
      <c r="Z103" s="78">
        <f t="shared" si="14"/>
        <v>0</v>
      </c>
      <c r="AA103" s="78">
        <f t="shared" si="14"/>
        <v>0</v>
      </c>
      <c r="AB103" s="78">
        <f t="shared" si="14"/>
        <v>0</v>
      </c>
      <c r="AC103" s="78">
        <f t="shared" si="14"/>
        <v>0</v>
      </c>
      <c r="AD103" s="78">
        <f t="shared" si="14"/>
        <v>0</v>
      </c>
      <c r="AE103" s="78">
        <f t="shared" si="14"/>
        <v>0</v>
      </c>
      <c r="AF103" s="78">
        <f t="shared" si="14"/>
        <v>0</v>
      </c>
      <c r="AG103" s="78">
        <f t="shared" si="14"/>
        <v>0</v>
      </c>
      <c r="AH103" s="78">
        <f t="shared" si="14"/>
        <v>0</v>
      </c>
    </row>
    <row r="104" spans="2:34" x14ac:dyDescent="0.25">
      <c r="B104" s="112" t="s">
        <v>247</v>
      </c>
      <c r="C104" s="17" t="s">
        <v>144</v>
      </c>
      <c r="D104" s="78">
        <f t="shared" ref="D104:AH104" si="15">IFERROR(IF(D$86/$D21&gt;1,1,D$86/$D21),0)*$E21</f>
        <v>18541.836719999999</v>
      </c>
      <c r="E104" s="78">
        <f t="shared" si="15"/>
        <v>18541.836719999999</v>
      </c>
      <c r="F104" s="78">
        <f t="shared" si="15"/>
        <v>18541.836719999999</v>
      </c>
      <c r="G104" s="78">
        <f t="shared" si="15"/>
        <v>18541.836719999999</v>
      </c>
      <c r="H104" s="78">
        <f t="shared" si="15"/>
        <v>18541.836719999999</v>
      </c>
      <c r="I104" s="78">
        <f t="shared" si="15"/>
        <v>18541.836719999999</v>
      </c>
      <c r="J104" s="78">
        <f t="shared" si="15"/>
        <v>18541.836719999999</v>
      </c>
      <c r="K104" s="78">
        <f t="shared" si="15"/>
        <v>18541.836719999999</v>
      </c>
      <c r="L104" s="78">
        <f t="shared" si="15"/>
        <v>18541.836719999999</v>
      </c>
      <c r="M104" s="78">
        <f t="shared" si="15"/>
        <v>18541.836719999999</v>
      </c>
      <c r="N104" s="78">
        <f t="shared" si="15"/>
        <v>18541.836719999999</v>
      </c>
      <c r="O104" s="78">
        <f t="shared" si="15"/>
        <v>18541.836719999999</v>
      </c>
      <c r="P104" s="78">
        <f t="shared" si="15"/>
        <v>18541.836719999999</v>
      </c>
      <c r="Q104" s="78">
        <f t="shared" si="15"/>
        <v>18541.836719999999</v>
      </c>
      <c r="R104" s="78">
        <f t="shared" si="15"/>
        <v>18541.836719999999</v>
      </c>
      <c r="S104" s="78">
        <f t="shared" si="15"/>
        <v>18541.836719999999</v>
      </c>
      <c r="T104" s="78">
        <f t="shared" si="15"/>
        <v>18541.836719999999</v>
      </c>
      <c r="U104" s="78">
        <f t="shared" si="15"/>
        <v>18541.836719999999</v>
      </c>
      <c r="V104" s="78">
        <f t="shared" si="15"/>
        <v>18541.836719999999</v>
      </c>
      <c r="W104" s="78">
        <f t="shared" si="15"/>
        <v>18541.836719999999</v>
      </c>
      <c r="X104" s="78">
        <f t="shared" si="15"/>
        <v>18541.836719999999</v>
      </c>
      <c r="Y104" s="78">
        <f t="shared" si="15"/>
        <v>18541.836719999999</v>
      </c>
      <c r="Z104" s="78">
        <f t="shared" si="15"/>
        <v>18541.836719999999</v>
      </c>
      <c r="AA104" s="78">
        <f t="shared" si="15"/>
        <v>18541.836719999999</v>
      </c>
      <c r="AB104" s="78">
        <f t="shared" si="15"/>
        <v>18541.836719999999</v>
      </c>
      <c r="AC104" s="78">
        <f t="shared" si="15"/>
        <v>18541.836719999999</v>
      </c>
      <c r="AD104" s="78">
        <f t="shared" si="15"/>
        <v>18541.836719999999</v>
      </c>
      <c r="AE104" s="78">
        <f t="shared" si="15"/>
        <v>18541.836719999999</v>
      </c>
      <c r="AF104" s="78">
        <f t="shared" si="15"/>
        <v>18541.836719999999</v>
      </c>
      <c r="AG104" s="78">
        <f t="shared" si="15"/>
        <v>18541.836719999999</v>
      </c>
      <c r="AH104" s="78">
        <f t="shared" si="15"/>
        <v>18541.836719999999</v>
      </c>
    </row>
    <row r="105" spans="2:34" x14ac:dyDescent="0.25">
      <c r="B105" s="113"/>
      <c r="C105" s="17" t="s">
        <v>145</v>
      </c>
      <c r="D105" s="78">
        <f t="shared" ref="D105:AH105" si="16">IFERROR(IF(D$87/$D22&gt;1,1,D$87/$D22),0)*$E22</f>
        <v>0</v>
      </c>
      <c r="E105" s="78">
        <f t="shared" si="16"/>
        <v>0</v>
      </c>
      <c r="F105" s="78">
        <f t="shared" si="16"/>
        <v>0</v>
      </c>
      <c r="G105" s="78">
        <f t="shared" si="16"/>
        <v>0</v>
      </c>
      <c r="H105" s="78">
        <f t="shared" si="16"/>
        <v>0</v>
      </c>
      <c r="I105" s="78">
        <f t="shared" si="16"/>
        <v>0</v>
      </c>
      <c r="J105" s="78">
        <f t="shared" si="16"/>
        <v>0</v>
      </c>
      <c r="K105" s="78">
        <f t="shared" si="16"/>
        <v>0</v>
      </c>
      <c r="L105" s="78">
        <f t="shared" si="16"/>
        <v>0</v>
      </c>
      <c r="M105" s="78">
        <f t="shared" si="16"/>
        <v>0</v>
      </c>
      <c r="N105" s="78">
        <f t="shared" si="16"/>
        <v>0</v>
      </c>
      <c r="O105" s="78">
        <f t="shared" si="16"/>
        <v>0</v>
      </c>
      <c r="P105" s="78">
        <f t="shared" si="16"/>
        <v>0</v>
      </c>
      <c r="Q105" s="78">
        <f t="shared" si="16"/>
        <v>0</v>
      </c>
      <c r="R105" s="78">
        <f t="shared" si="16"/>
        <v>0</v>
      </c>
      <c r="S105" s="78">
        <f t="shared" si="16"/>
        <v>0</v>
      </c>
      <c r="T105" s="78">
        <f t="shared" si="16"/>
        <v>0</v>
      </c>
      <c r="U105" s="78">
        <f t="shared" si="16"/>
        <v>0</v>
      </c>
      <c r="V105" s="78">
        <f t="shared" si="16"/>
        <v>0</v>
      </c>
      <c r="W105" s="78">
        <f t="shared" si="16"/>
        <v>0</v>
      </c>
      <c r="X105" s="78">
        <f t="shared" si="16"/>
        <v>0</v>
      </c>
      <c r="Y105" s="78">
        <f t="shared" si="16"/>
        <v>0</v>
      </c>
      <c r="Z105" s="78">
        <f t="shared" si="16"/>
        <v>0</v>
      </c>
      <c r="AA105" s="78">
        <f t="shared" si="16"/>
        <v>0</v>
      </c>
      <c r="AB105" s="78">
        <f t="shared" si="16"/>
        <v>0</v>
      </c>
      <c r="AC105" s="78">
        <f t="shared" si="16"/>
        <v>0</v>
      </c>
      <c r="AD105" s="78">
        <f t="shared" si="16"/>
        <v>0</v>
      </c>
      <c r="AE105" s="78">
        <f t="shared" si="16"/>
        <v>0</v>
      </c>
      <c r="AF105" s="78">
        <f t="shared" si="16"/>
        <v>0</v>
      </c>
      <c r="AG105" s="78">
        <f t="shared" si="16"/>
        <v>0</v>
      </c>
      <c r="AH105" s="78">
        <f t="shared" si="16"/>
        <v>0</v>
      </c>
    </row>
    <row r="106" spans="2:34" x14ac:dyDescent="0.25">
      <c r="B106" s="113"/>
      <c r="C106" s="17" t="s">
        <v>244</v>
      </c>
      <c r="D106" s="78">
        <f t="shared" ref="D106:AH106" si="17">IFERROR(IF(D$88/$D23&gt;1,1,D$88/$D23),0)*$E23</f>
        <v>13732.949999999997</v>
      </c>
      <c r="E106" s="78">
        <f t="shared" si="17"/>
        <v>13732.949999999997</v>
      </c>
      <c r="F106" s="78">
        <f t="shared" si="17"/>
        <v>13732.949999999997</v>
      </c>
      <c r="G106" s="78">
        <f t="shared" si="17"/>
        <v>14053.123919999998</v>
      </c>
      <c r="H106" s="78">
        <f t="shared" si="17"/>
        <v>14053.123919999998</v>
      </c>
      <c r="I106" s="78">
        <f t="shared" si="17"/>
        <v>14053.123919999998</v>
      </c>
      <c r="J106" s="78">
        <f t="shared" si="17"/>
        <v>14053.123919999998</v>
      </c>
      <c r="K106" s="78">
        <f t="shared" si="17"/>
        <v>14053.123919999998</v>
      </c>
      <c r="L106" s="78">
        <f t="shared" si="17"/>
        <v>14053.123919999998</v>
      </c>
      <c r="M106" s="78">
        <f t="shared" si="17"/>
        <v>14053.123919999998</v>
      </c>
      <c r="N106" s="78">
        <f t="shared" si="17"/>
        <v>14053.123919999998</v>
      </c>
      <c r="O106" s="78">
        <f t="shared" si="17"/>
        <v>14053.123919999998</v>
      </c>
      <c r="P106" s="78">
        <f t="shared" si="17"/>
        <v>14053.123919999998</v>
      </c>
      <c r="Q106" s="78">
        <f t="shared" si="17"/>
        <v>14053.123919999998</v>
      </c>
      <c r="R106" s="78">
        <f t="shared" si="17"/>
        <v>14053.123919999998</v>
      </c>
      <c r="S106" s="78">
        <f t="shared" si="17"/>
        <v>14053.123919999998</v>
      </c>
      <c r="T106" s="78">
        <f t="shared" si="17"/>
        <v>14053.123919999998</v>
      </c>
      <c r="U106" s="78">
        <f t="shared" si="17"/>
        <v>14053.123919999998</v>
      </c>
      <c r="V106" s="78">
        <f t="shared" si="17"/>
        <v>14053.123919999998</v>
      </c>
      <c r="W106" s="78">
        <f t="shared" si="17"/>
        <v>14053.123919999998</v>
      </c>
      <c r="X106" s="78">
        <f t="shared" si="17"/>
        <v>14053.123919999998</v>
      </c>
      <c r="Y106" s="78">
        <f t="shared" si="17"/>
        <v>14053.123919999998</v>
      </c>
      <c r="Z106" s="78">
        <f t="shared" si="17"/>
        <v>14053.123919999998</v>
      </c>
      <c r="AA106" s="78">
        <f t="shared" si="17"/>
        <v>14053.123919999998</v>
      </c>
      <c r="AB106" s="78">
        <f t="shared" si="17"/>
        <v>14053.123919999998</v>
      </c>
      <c r="AC106" s="78">
        <f t="shared" si="17"/>
        <v>14053.123919999998</v>
      </c>
      <c r="AD106" s="78">
        <f t="shared" si="17"/>
        <v>14053.123919999998</v>
      </c>
      <c r="AE106" s="78">
        <f t="shared" si="17"/>
        <v>14053.123919999998</v>
      </c>
      <c r="AF106" s="78">
        <f t="shared" si="17"/>
        <v>14053.123919999998</v>
      </c>
      <c r="AG106" s="78">
        <f t="shared" si="17"/>
        <v>14053.123919999998</v>
      </c>
      <c r="AH106" s="78">
        <f t="shared" si="17"/>
        <v>14053.123919999998</v>
      </c>
    </row>
    <row r="107" spans="2:34" x14ac:dyDescent="0.25">
      <c r="B107" s="113"/>
      <c r="C107" s="17" t="s">
        <v>245</v>
      </c>
      <c r="D107" s="78">
        <f t="shared" ref="D107:AH107" si="18">IFERROR(IF(D$89/$D24&gt;1,1,D$89/$D24),0)*$E24</f>
        <v>15820.358399999999</v>
      </c>
      <c r="E107" s="78">
        <f t="shared" si="18"/>
        <v>15820.358399999999</v>
      </c>
      <c r="F107" s="78">
        <f t="shared" si="18"/>
        <v>15820.358399999999</v>
      </c>
      <c r="G107" s="78">
        <f t="shared" si="18"/>
        <v>15820.358399999999</v>
      </c>
      <c r="H107" s="78">
        <f t="shared" si="18"/>
        <v>15820.358399999999</v>
      </c>
      <c r="I107" s="78">
        <f t="shared" si="18"/>
        <v>15820.358399999999</v>
      </c>
      <c r="J107" s="78">
        <f t="shared" si="18"/>
        <v>15820.358399999999</v>
      </c>
      <c r="K107" s="78">
        <f t="shared" si="18"/>
        <v>15820.358399999999</v>
      </c>
      <c r="L107" s="78">
        <f t="shared" si="18"/>
        <v>15820.358399999999</v>
      </c>
      <c r="M107" s="78">
        <f t="shared" si="18"/>
        <v>15820.358399999999</v>
      </c>
      <c r="N107" s="78">
        <f t="shared" si="18"/>
        <v>15820.358399999999</v>
      </c>
      <c r="O107" s="78">
        <f t="shared" si="18"/>
        <v>15820.358399999999</v>
      </c>
      <c r="P107" s="78">
        <f t="shared" si="18"/>
        <v>15820.358399999999</v>
      </c>
      <c r="Q107" s="78">
        <f t="shared" si="18"/>
        <v>15820.358399999999</v>
      </c>
      <c r="R107" s="78">
        <f t="shared" si="18"/>
        <v>15820.358399999999</v>
      </c>
      <c r="S107" s="78">
        <f t="shared" si="18"/>
        <v>26683.671167999997</v>
      </c>
      <c r="T107" s="78">
        <f t="shared" si="18"/>
        <v>26683.671167999997</v>
      </c>
      <c r="U107" s="78">
        <f t="shared" si="18"/>
        <v>26683.671167999997</v>
      </c>
      <c r="V107" s="78">
        <f t="shared" si="18"/>
        <v>26683.671167999997</v>
      </c>
      <c r="W107" s="78">
        <f t="shared" si="18"/>
        <v>26683.671167999997</v>
      </c>
      <c r="X107" s="78">
        <f t="shared" si="18"/>
        <v>26683.671167999997</v>
      </c>
      <c r="Y107" s="78">
        <f t="shared" si="18"/>
        <v>26683.671167999997</v>
      </c>
      <c r="Z107" s="78">
        <f t="shared" si="18"/>
        <v>26683.671167999997</v>
      </c>
      <c r="AA107" s="78">
        <f t="shared" si="18"/>
        <v>26683.671167999997</v>
      </c>
      <c r="AB107" s="78">
        <f t="shared" si="18"/>
        <v>26683.671167999997</v>
      </c>
      <c r="AC107" s="78">
        <f t="shared" si="18"/>
        <v>26683.671167999997</v>
      </c>
      <c r="AD107" s="78">
        <f t="shared" si="18"/>
        <v>26683.671167999997</v>
      </c>
      <c r="AE107" s="78">
        <f t="shared" si="18"/>
        <v>26683.671167999997</v>
      </c>
      <c r="AF107" s="78">
        <f t="shared" si="18"/>
        <v>26683.671167999997</v>
      </c>
      <c r="AG107" s="78">
        <f t="shared" si="18"/>
        <v>26683.671167999997</v>
      </c>
      <c r="AH107" s="78">
        <f t="shared" si="18"/>
        <v>26683.671167999997</v>
      </c>
    </row>
    <row r="108" spans="2:34" x14ac:dyDescent="0.25">
      <c r="B108" s="114"/>
      <c r="C108" s="77" t="s">
        <v>149</v>
      </c>
      <c r="D108" s="78">
        <f>SUM(D104:D107)</f>
        <v>48095.145119999994</v>
      </c>
      <c r="E108" s="78">
        <f t="shared" ref="E108:AH108" si="19">SUM(E104:E107)</f>
        <v>48095.145119999994</v>
      </c>
      <c r="F108" s="78">
        <f t="shared" si="19"/>
        <v>48095.145119999994</v>
      </c>
      <c r="G108" s="78">
        <f t="shared" si="19"/>
        <v>48415.319039999995</v>
      </c>
      <c r="H108" s="78">
        <f t="shared" si="19"/>
        <v>48415.319039999995</v>
      </c>
      <c r="I108" s="78">
        <f t="shared" si="19"/>
        <v>48415.319039999995</v>
      </c>
      <c r="J108" s="78">
        <f t="shared" si="19"/>
        <v>48415.319039999995</v>
      </c>
      <c r="K108" s="78">
        <f t="shared" si="19"/>
        <v>48415.319039999995</v>
      </c>
      <c r="L108" s="78">
        <f t="shared" si="19"/>
        <v>48415.319039999995</v>
      </c>
      <c r="M108" s="78">
        <f t="shared" si="19"/>
        <v>48415.319039999995</v>
      </c>
      <c r="N108" s="78">
        <f t="shared" si="19"/>
        <v>48415.319039999995</v>
      </c>
      <c r="O108" s="78">
        <f t="shared" si="19"/>
        <v>48415.319039999995</v>
      </c>
      <c r="P108" s="78">
        <f t="shared" si="19"/>
        <v>48415.319039999995</v>
      </c>
      <c r="Q108" s="78">
        <f t="shared" si="19"/>
        <v>48415.319039999995</v>
      </c>
      <c r="R108" s="78">
        <f t="shared" si="19"/>
        <v>48415.319039999995</v>
      </c>
      <c r="S108" s="78">
        <f t="shared" si="19"/>
        <v>59278.631807999991</v>
      </c>
      <c r="T108" s="78">
        <f t="shared" si="19"/>
        <v>59278.631807999991</v>
      </c>
      <c r="U108" s="78">
        <f t="shared" si="19"/>
        <v>59278.631807999991</v>
      </c>
      <c r="V108" s="78">
        <f t="shared" si="19"/>
        <v>59278.631807999991</v>
      </c>
      <c r="W108" s="78">
        <f t="shared" si="19"/>
        <v>59278.631807999991</v>
      </c>
      <c r="X108" s="78">
        <f t="shared" si="19"/>
        <v>59278.631807999991</v>
      </c>
      <c r="Y108" s="78">
        <f t="shared" si="19"/>
        <v>59278.631807999991</v>
      </c>
      <c r="Z108" s="78">
        <f t="shared" si="19"/>
        <v>59278.631807999991</v>
      </c>
      <c r="AA108" s="78">
        <f t="shared" si="19"/>
        <v>59278.631807999991</v>
      </c>
      <c r="AB108" s="78">
        <f t="shared" si="19"/>
        <v>59278.631807999991</v>
      </c>
      <c r="AC108" s="78">
        <f t="shared" si="19"/>
        <v>59278.631807999991</v>
      </c>
      <c r="AD108" s="78">
        <f t="shared" si="19"/>
        <v>59278.631807999991</v>
      </c>
      <c r="AE108" s="78">
        <f t="shared" si="19"/>
        <v>59278.631807999991</v>
      </c>
      <c r="AF108" s="78">
        <f t="shared" si="19"/>
        <v>59278.631807999991</v>
      </c>
      <c r="AG108" s="78">
        <f t="shared" si="19"/>
        <v>59278.631807999991</v>
      </c>
      <c r="AH108" s="78">
        <f t="shared" si="19"/>
        <v>59278.631807999991</v>
      </c>
    </row>
    <row r="109" spans="2:34" x14ac:dyDescent="0.25">
      <c r="B109" s="74">
        <v>2</v>
      </c>
      <c r="C109" s="77" t="s">
        <v>149</v>
      </c>
      <c r="D109" s="78">
        <f t="shared" ref="D109:AH109" si="20">IFERROR(IF(D$90/$D25&gt;1,1,D$90/$D25),0)*$E25</f>
        <v>0</v>
      </c>
      <c r="E109" s="78">
        <f t="shared" si="20"/>
        <v>0</v>
      </c>
      <c r="F109" s="78">
        <f t="shared" si="20"/>
        <v>0</v>
      </c>
      <c r="G109" s="78">
        <f t="shared" si="20"/>
        <v>0</v>
      </c>
      <c r="H109" s="78">
        <f t="shared" si="20"/>
        <v>0</v>
      </c>
      <c r="I109" s="78">
        <f t="shared" si="20"/>
        <v>0</v>
      </c>
      <c r="J109" s="78">
        <f t="shared" si="20"/>
        <v>0</v>
      </c>
      <c r="K109" s="78">
        <f t="shared" si="20"/>
        <v>0</v>
      </c>
      <c r="L109" s="78">
        <f t="shared" si="20"/>
        <v>0</v>
      </c>
      <c r="M109" s="78">
        <f t="shared" si="20"/>
        <v>0</v>
      </c>
      <c r="N109" s="78">
        <f t="shared" si="20"/>
        <v>0</v>
      </c>
      <c r="O109" s="78">
        <f t="shared" si="20"/>
        <v>0</v>
      </c>
      <c r="P109" s="78">
        <f t="shared" si="20"/>
        <v>0</v>
      </c>
      <c r="Q109" s="78">
        <f t="shared" si="20"/>
        <v>0</v>
      </c>
      <c r="R109" s="78">
        <f t="shared" si="20"/>
        <v>0</v>
      </c>
      <c r="S109" s="78">
        <f t="shared" si="20"/>
        <v>0</v>
      </c>
      <c r="T109" s="78">
        <f t="shared" si="20"/>
        <v>0</v>
      </c>
      <c r="U109" s="78">
        <f t="shared" si="20"/>
        <v>0</v>
      </c>
      <c r="V109" s="78">
        <f t="shared" si="20"/>
        <v>0</v>
      </c>
      <c r="W109" s="78">
        <f t="shared" si="20"/>
        <v>0</v>
      </c>
      <c r="X109" s="78">
        <f t="shared" si="20"/>
        <v>0</v>
      </c>
      <c r="Y109" s="78">
        <f t="shared" si="20"/>
        <v>0</v>
      </c>
      <c r="Z109" s="78">
        <f t="shared" si="20"/>
        <v>0</v>
      </c>
      <c r="AA109" s="78">
        <f t="shared" si="20"/>
        <v>0</v>
      </c>
      <c r="AB109" s="78">
        <f t="shared" si="20"/>
        <v>0</v>
      </c>
      <c r="AC109" s="78">
        <f t="shared" si="20"/>
        <v>0</v>
      </c>
      <c r="AD109" s="78">
        <f t="shared" si="20"/>
        <v>0</v>
      </c>
      <c r="AE109" s="78">
        <f t="shared" si="20"/>
        <v>0</v>
      </c>
      <c r="AF109" s="78">
        <f t="shared" si="20"/>
        <v>0</v>
      </c>
      <c r="AG109" s="78">
        <f t="shared" si="20"/>
        <v>0</v>
      </c>
      <c r="AH109" s="78">
        <f t="shared" si="20"/>
        <v>0</v>
      </c>
    </row>
    <row r="110" spans="2:34" x14ac:dyDescent="0.25">
      <c r="B110" s="74">
        <v>6</v>
      </c>
      <c r="C110" s="77" t="s">
        <v>149</v>
      </c>
      <c r="D110" s="78">
        <f t="shared" ref="D110:AH110" si="21">IFERROR(IF(D$90/$D26&gt;1,1,D$90/$D26),0)*$E26</f>
        <v>0</v>
      </c>
      <c r="E110" s="78">
        <f t="shared" si="21"/>
        <v>0</v>
      </c>
      <c r="F110" s="78">
        <f t="shared" si="21"/>
        <v>0</v>
      </c>
      <c r="G110" s="78">
        <f t="shared" si="21"/>
        <v>0</v>
      </c>
      <c r="H110" s="78">
        <f t="shared" si="21"/>
        <v>0</v>
      </c>
      <c r="I110" s="78">
        <f t="shared" si="21"/>
        <v>0</v>
      </c>
      <c r="J110" s="78">
        <f t="shared" si="21"/>
        <v>0</v>
      </c>
      <c r="K110" s="78">
        <f t="shared" si="21"/>
        <v>0</v>
      </c>
      <c r="L110" s="78">
        <f t="shared" si="21"/>
        <v>0</v>
      </c>
      <c r="M110" s="78">
        <f t="shared" si="21"/>
        <v>0</v>
      </c>
      <c r="N110" s="78">
        <f t="shared" si="21"/>
        <v>0</v>
      </c>
      <c r="O110" s="78">
        <f t="shared" si="21"/>
        <v>0</v>
      </c>
      <c r="P110" s="78">
        <f t="shared" si="21"/>
        <v>0</v>
      </c>
      <c r="Q110" s="78">
        <f t="shared" si="21"/>
        <v>0</v>
      </c>
      <c r="R110" s="78">
        <f t="shared" si="21"/>
        <v>0</v>
      </c>
      <c r="S110" s="78">
        <f t="shared" si="21"/>
        <v>0</v>
      </c>
      <c r="T110" s="78">
        <f t="shared" si="21"/>
        <v>0</v>
      </c>
      <c r="U110" s="78">
        <f t="shared" si="21"/>
        <v>0</v>
      </c>
      <c r="V110" s="78">
        <f t="shared" si="21"/>
        <v>0</v>
      </c>
      <c r="W110" s="78">
        <f t="shared" si="21"/>
        <v>0</v>
      </c>
      <c r="X110" s="78">
        <f t="shared" si="21"/>
        <v>0</v>
      </c>
      <c r="Y110" s="78">
        <f t="shared" si="21"/>
        <v>0</v>
      </c>
      <c r="Z110" s="78">
        <f t="shared" si="21"/>
        <v>0</v>
      </c>
      <c r="AA110" s="78">
        <f t="shared" si="21"/>
        <v>0</v>
      </c>
      <c r="AB110" s="78">
        <f t="shared" si="21"/>
        <v>0</v>
      </c>
      <c r="AC110" s="78">
        <f t="shared" si="21"/>
        <v>0</v>
      </c>
      <c r="AD110" s="78">
        <f t="shared" si="21"/>
        <v>0</v>
      </c>
      <c r="AE110" s="78">
        <f t="shared" si="21"/>
        <v>0</v>
      </c>
      <c r="AF110" s="78">
        <f t="shared" si="21"/>
        <v>0</v>
      </c>
      <c r="AG110" s="78">
        <f t="shared" si="21"/>
        <v>0</v>
      </c>
      <c r="AH110" s="78">
        <f t="shared" si="21"/>
        <v>0</v>
      </c>
    </row>
    <row r="111" spans="2:34" x14ac:dyDescent="0.25">
      <c r="B111" s="74" t="s">
        <v>248</v>
      </c>
      <c r="C111" s="77" t="s">
        <v>149</v>
      </c>
      <c r="D111" s="78">
        <f t="shared" ref="D111:AH111" si="22">IFERROR(IF(D$90/$D27&gt;1,1,D$90/$D27),0)*$E27</f>
        <v>0</v>
      </c>
      <c r="E111" s="78">
        <f t="shared" si="22"/>
        <v>0</v>
      </c>
      <c r="F111" s="78">
        <f t="shared" si="22"/>
        <v>0</v>
      </c>
      <c r="G111" s="78">
        <f t="shared" si="22"/>
        <v>0</v>
      </c>
      <c r="H111" s="78">
        <f t="shared" si="22"/>
        <v>0</v>
      </c>
      <c r="I111" s="78">
        <f t="shared" si="22"/>
        <v>0</v>
      </c>
      <c r="J111" s="78">
        <f t="shared" si="22"/>
        <v>0</v>
      </c>
      <c r="K111" s="78">
        <f t="shared" si="22"/>
        <v>0</v>
      </c>
      <c r="L111" s="78">
        <f t="shared" si="22"/>
        <v>0</v>
      </c>
      <c r="M111" s="78">
        <f t="shared" si="22"/>
        <v>0</v>
      </c>
      <c r="N111" s="78">
        <f t="shared" si="22"/>
        <v>0</v>
      </c>
      <c r="O111" s="78">
        <f t="shared" si="22"/>
        <v>0</v>
      </c>
      <c r="P111" s="78">
        <f t="shared" si="22"/>
        <v>0</v>
      </c>
      <c r="Q111" s="78">
        <f t="shared" si="22"/>
        <v>0</v>
      </c>
      <c r="R111" s="78">
        <f t="shared" si="22"/>
        <v>0</v>
      </c>
      <c r="S111" s="78">
        <f t="shared" si="22"/>
        <v>0</v>
      </c>
      <c r="T111" s="78">
        <f t="shared" si="22"/>
        <v>0</v>
      </c>
      <c r="U111" s="78">
        <f t="shared" si="22"/>
        <v>0</v>
      </c>
      <c r="V111" s="78">
        <f t="shared" si="22"/>
        <v>0</v>
      </c>
      <c r="W111" s="78">
        <f t="shared" si="22"/>
        <v>0</v>
      </c>
      <c r="X111" s="78">
        <f t="shared" si="22"/>
        <v>0</v>
      </c>
      <c r="Y111" s="78">
        <f t="shared" si="22"/>
        <v>0</v>
      </c>
      <c r="Z111" s="78">
        <f t="shared" si="22"/>
        <v>0</v>
      </c>
      <c r="AA111" s="78">
        <f t="shared" si="22"/>
        <v>0</v>
      </c>
      <c r="AB111" s="78">
        <f t="shared" si="22"/>
        <v>0</v>
      </c>
      <c r="AC111" s="78">
        <f t="shared" si="22"/>
        <v>0</v>
      </c>
      <c r="AD111" s="78">
        <f t="shared" si="22"/>
        <v>0</v>
      </c>
      <c r="AE111" s="78">
        <f t="shared" si="22"/>
        <v>0</v>
      </c>
      <c r="AF111" s="78">
        <f t="shared" si="22"/>
        <v>0</v>
      </c>
      <c r="AG111" s="78">
        <f t="shared" si="22"/>
        <v>0</v>
      </c>
      <c r="AH111" s="78">
        <f t="shared" si="22"/>
        <v>0</v>
      </c>
    </row>
    <row r="112" spans="2:34" x14ac:dyDescent="0.25">
      <c r="B112" s="74" t="s">
        <v>249</v>
      </c>
      <c r="C112" s="77" t="s">
        <v>149</v>
      </c>
      <c r="D112" s="78">
        <f t="shared" ref="D112:AH112" si="23">IFERROR(IF(D$90/$D28&gt;1,1,D$90/$D28),0)*$E28</f>
        <v>78717.26939999999</v>
      </c>
      <c r="E112" s="78">
        <f t="shared" si="23"/>
        <v>78717.26939999999</v>
      </c>
      <c r="F112" s="78">
        <f t="shared" si="23"/>
        <v>78717.26939999999</v>
      </c>
      <c r="G112" s="78">
        <f t="shared" si="23"/>
        <v>92999.537400000001</v>
      </c>
      <c r="H112" s="78">
        <f t="shared" si="23"/>
        <v>92999.537400000001</v>
      </c>
      <c r="I112" s="78">
        <f t="shared" si="23"/>
        <v>99042.035399999993</v>
      </c>
      <c r="J112" s="78">
        <f t="shared" si="23"/>
        <v>99042.035399999993</v>
      </c>
      <c r="K112" s="78">
        <f t="shared" si="23"/>
        <v>99042.035399999993</v>
      </c>
      <c r="L112" s="78">
        <f t="shared" si="23"/>
        <v>99042.035399999993</v>
      </c>
      <c r="M112" s="78">
        <f t="shared" si="23"/>
        <v>99042.035399999993</v>
      </c>
      <c r="N112" s="78">
        <f t="shared" si="23"/>
        <v>99042.035399999993</v>
      </c>
      <c r="O112" s="78">
        <f t="shared" si="23"/>
        <v>99042.035399999993</v>
      </c>
      <c r="P112" s="78">
        <f t="shared" si="23"/>
        <v>99042.035399999993</v>
      </c>
      <c r="Q112" s="78">
        <f t="shared" si="23"/>
        <v>99042.035399999993</v>
      </c>
      <c r="R112" s="78">
        <f t="shared" si="23"/>
        <v>99042.035399999993</v>
      </c>
      <c r="S112" s="78">
        <f t="shared" si="23"/>
        <v>106881.16947200001</v>
      </c>
      <c r="T112" s="78">
        <f t="shared" si="23"/>
        <v>106881.16947200001</v>
      </c>
      <c r="U112" s="78">
        <f t="shared" si="23"/>
        <v>106881.16947200001</v>
      </c>
      <c r="V112" s="78">
        <f t="shared" si="23"/>
        <v>106881.16947200001</v>
      </c>
      <c r="W112" s="78">
        <f t="shared" si="23"/>
        <v>106881.16947200001</v>
      </c>
      <c r="X112" s="78">
        <f t="shared" si="23"/>
        <v>106881.16947200001</v>
      </c>
      <c r="Y112" s="78">
        <f t="shared" si="23"/>
        <v>106881.16947200001</v>
      </c>
      <c r="Z112" s="78">
        <f t="shared" si="23"/>
        <v>106881.16947200001</v>
      </c>
      <c r="AA112" s="78">
        <f t="shared" si="23"/>
        <v>106881.16947200001</v>
      </c>
      <c r="AB112" s="78">
        <f t="shared" si="23"/>
        <v>106881.16947200001</v>
      </c>
      <c r="AC112" s="78">
        <f t="shared" si="23"/>
        <v>106881.16947200001</v>
      </c>
      <c r="AD112" s="78">
        <f t="shared" si="23"/>
        <v>106881.16947200001</v>
      </c>
      <c r="AE112" s="78">
        <f t="shared" si="23"/>
        <v>106881.16947200001</v>
      </c>
      <c r="AF112" s="78">
        <f t="shared" si="23"/>
        <v>106881.16947200001</v>
      </c>
      <c r="AG112" s="78">
        <f t="shared" si="23"/>
        <v>106881.16947200001</v>
      </c>
      <c r="AH112" s="78">
        <f t="shared" si="23"/>
        <v>106881.16947200001</v>
      </c>
    </row>
    <row r="113" spans="2:34" x14ac:dyDescent="0.25">
      <c r="B113" s="85" t="s">
        <v>250</v>
      </c>
      <c r="C113" s="77" t="s">
        <v>149</v>
      </c>
      <c r="D113" s="78">
        <f t="shared" ref="D113:AH113" si="24">IFERROR(IF(D$90/$D29&gt;1,1,D$90/$D29),0)*$E29</f>
        <v>0</v>
      </c>
      <c r="E113" s="78">
        <f t="shared" si="24"/>
        <v>0</v>
      </c>
      <c r="F113" s="78">
        <f t="shared" si="24"/>
        <v>0</v>
      </c>
      <c r="G113" s="78">
        <f t="shared" si="24"/>
        <v>0</v>
      </c>
      <c r="H113" s="78">
        <f t="shared" si="24"/>
        <v>0</v>
      </c>
      <c r="I113" s="78">
        <f t="shared" si="24"/>
        <v>0</v>
      </c>
      <c r="J113" s="78">
        <f t="shared" si="24"/>
        <v>0</v>
      </c>
      <c r="K113" s="78">
        <f t="shared" si="24"/>
        <v>0</v>
      </c>
      <c r="L113" s="78">
        <f t="shared" si="24"/>
        <v>0</v>
      </c>
      <c r="M113" s="78">
        <f t="shared" si="24"/>
        <v>0</v>
      </c>
      <c r="N113" s="78">
        <f t="shared" si="24"/>
        <v>0</v>
      </c>
      <c r="O113" s="78">
        <f t="shared" si="24"/>
        <v>0</v>
      </c>
      <c r="P113" s="78">
        <f t="shared" si="24"/>
        <v>0</v>
      </c>
      <c r="Q113" s="78">
        <f t="shared" si="24"/>
        <v>0</v>
      </c>
      <c r="R113" s="78">
        <f t="shared" si="24"/>
        <v>0</v>
      </c>
      <c r="S113" s="78">
        <f t="shared" si="24"/>
        <v>0</v>
      </c>
      <c r="T113" s="78">
        <f t="shared" si="24"/>
        <v>0</v>
      </c>
      <c r="U113" s="78">
        <f t="shared" si="24"/>
        <v>0</v>
      </c>
      <c r="V113" s="78">
        <f t="shared" si="24"/>
        <v>0</v>
      </c>
      <c r="W113" s="78">
        <f t="shared" si="24"/>
        <v>0</v>
      </c>
      <c r="X113" s="78">
        <f t="shared" si="24"/>
        <v>0</v>
      </c>
      <c r="Y113" s="78">
        <f t="shared" si="24"/>
        <v>0</v>
      </c>
      <c r="Z113" s="78">
        <f t="shared" si="24"/>
        <v>0</v>
      </c>
      <c r="AA113" s="78">
        <f t="shared" si="24"/>
        <v>0</v>
      </c>
      <c r="AB113" s="78">
        <f t="shared" si="24"/>
        <v>0</v>
      </c>
      <c r="AC113" s="78">
        <f t="shared" si="24"/>
        <v>0</v>
      </c>
      <c r="AD113" s="78">
        <f t="shared" si="24"/>
        <v>0</v>
      </c>
      <c r="AE113" s="78">
        <f t="shared" si="24"/>
        <v>0</v>
      </c>
      <c r="AF113" s="78">
        <f t="shared" si="24"/>
        <v>0</v>
      </c>
      <c r="AG113" s="78">
        <f t="shared" si="24"/>
        <v>0</v>
      </c>
      <c r="AH113" s="78">
        <f t="shared" si="24"/>
        <v>0</v>
      </c>
    </row>
    <row r="114" spans="2:34" x14ac:dyDescent="0.25">
      <c r="B114" s="74" t="s">
        <v>251</v>
      </c>
      <c r="C114" s="77" t="s">
        <v>149</v>
      </c>
      <c r="D114" s="78">
        <f t="shared" ref="D114:AH114" si="25">IFERROR(IF(D$90/$D30&gt;1,1,D$90/$D30),0)*$E30</f>
        <v>0</v>
      </c>
      <c r="E114" s="78">
        <f t="shared" si="25"/>
        <v>0</v>
      </c>
      <c r="F114" s="78">
        <f t="shared" si="25"/>
        <v>0</v>
      </c>
      <c r="G114" s="78">
        <f t="shared" si="25"/>
        <v>0</v>
      </c>
      <c r="H114" s="78">
        <f t="shared" si="25"/>
        <v>0</v>
      </c>
      <c r="I114" s="78">
        <f t="shared" si="25"/>
        <v>0</v>
      </c>
      <c r="J114" s="78">
        <f t="shared" si="25"/>
        <v>0</v>
      </c>
      <c r="K114" s="78">
        <f t="shared" si="25"/>
        <v>0</v>
      </c>
      <c r="L114" s="78">
        <f t="shared" si="25"/>
        <v>0</v>
      </c>
      <c r="M114" s="78">
        <f t="shared" si="25"/>
        <v>0</v>
      </c>
      <c r="N114" s="78">
        <f t="shared" si="25"/>
        <v>0</v>
      </c>
      <c r="O114" s="78">
        <f t="shared" si="25"/>
        <v>0</v>
      </c>
      <c r="P114" s="78">
        <f t="shared" si="25"/>
        <v>0</v>
      </c>
      <c r="Q114" s="78">
        <f t="shared" si="25"/>
        <v>0</v>
      </c>
      <c r="R114" s="78">
        <f t="shared" si="25"/>
        <v>0</v>
      </c>
      <c r="S114" s="78">
        <f t="shared" si="25"/>
        <v>0</v>
      </c>
      <c r="T114" s="78">
        <f t="shared" si="25"/>
        <v>0</v>
      </c>
      <c r="U114" s="78">
        <f t="shared" si="25"/>
        <v>0</v>
      </c>
      <c r="V114" s="78">
        <f t="shared" si="25"/>
        <v>0</v>
      </c>
      <c r="W114" s="78">
        <f t="shared" si="25"/>
        <v>0</v>
      </c>
      <c r="X114" s="78">
        <f t="shared" si="25"/>
        <v>0</v>
      </c>
      <c r="Y114" s="78">
        <f t="shared" si="25"/>
        <v>0</v>
      </c>
      <c r="Z114" s="78">
        <f t="shared" si="25"/>
        <v>0</v>
      </c>
      <c r="AA114" s="78">
        <f t="shared" si="25"/>
        <v>0</v>
      </c>
      <c r="AB114" s="78">
        <f t="shared" si="25"/>
        <v>0</v>
      </c>
      <c r="AC114" s="78">
        <f t="shared" si="25"/>
        <v>0</v>
      </c>
      <c r="AD114" s="78">
        <f t="shared" si="25"/>
        <v>0</v>
      </c>
      <c r="AE114" s="78">
        <f t="shared" si="25"/>
        <v>0</v>
      </c>
      <c r="AF114" s="78">
        <f t="shared" si="25"/>
        <v>0</v>
      </c>
      <c r="AG114" s="78">
        <f t="shared" si="25"/>
        <v>0</v>
      </c>
      <c r="AH114" s="78">
        <f t="shared" si="25"/>
        <v>0</v>
      </c>
    </row>
    <row r="115" spans="2:34" x14ac:dyDescent="0.25">
      <c r="B115" s="74" t="s">
        <v>252</v>
      </c>
      <c r="C115" s="77" t="s">
        <v>149</v>
      </c>
      <c r="D115" s="78">
        <f t="shared" ref="D115:AH115" si="26">IFERROR(IF(D$90/$D31&gt;1,1,D$90/$D31),0)*$E31</f>
        <v>0</v>
      </c>
      <c r="E115" s="78">
        <f t="shared" si="26"/>
        <v>0</v>
      </c>
      <c r="F115" s="78">
        <f t="shared" si="26"/>
        <v>0</v>
      </c>
      <c r="G115" s="78">
        <f t="shared" si="26"/>
        <v>0</v>
      </c>
      <c r="H115" s="78">
        <f t="shared" si="26"/>
        <v>0</v>
      </c>
      <c r="I115" s="78">
        <f t="shared" si="26"/>
        <v>0</v>
      </c>
      <c r="J115" s="78">
        <f t="shared" si="26"/>
        <v>0</v>
      </c>
      <c r="K115" s="78">
        <f t="shared" si="26"/>
        <v>0</v>
      </c>
      <c r="L115" s="78">
        <f t="shared" si="26"/>
        <v>0</v>
      </c>
      <c r="M115" s="78">
        <f t="shared" si="26"/>
        <v>0</v>
      </c>
      <c r="N115" s="78">
        <f t="shared" si="26"/>
        <v>0</v>
      </c>
      <c r="O115" s="78">
        <f t="shared" si="26"/>
        <v>0</v>
      </c>
      <c r="P115" s="78">
        <f t="shared" si="26"/>
        <v>0</v>
      </c>
      <c r="Q115" s="78">
        <f t="shared" si="26"/>
        <v>0</v>
      </c>
      <c r="R115" s="78">
        <f t="shared" si="26"/>
        <v>0</v>
      </c>
      <c r="S115" s="78">
        <f t="shared" si="26"/>
        <v>0</v>
      </c>
      <c r="T115" s="78">
        <f t="shared" si="26"/>
        <v>0</v>
      </c>
      <c r="U115" s="78">
        <f t="shared" si="26"/>
        <v>0</v>
      </c>
      <c r="V115" s="78">
        <f t="shared" si="26"/>
        <v>0</v>
      </c>
      <c r="W115" s="78">
        <f t="shared" si="26"/>
        <v>0</v>
      </c>
      <c r="X115" s="78">
        <f t="shared" si="26"/>
        <v>0</v>
      </c>
      <c r="Y115" s="78">
        <f t="shared" si="26"/>
        <v>0</v>
      </c>
      <c r="Z115" s="78">
        <f t="shared" si="26"/>
        <v>0</v>
      </c>
      <c r="AA115" s="78">
        <f t="shared" si="26"/>
        <v>0</v>
      </c>
      <c r="AB115" s="78">
        <f t="shared" si="26"/>
        <v>0</v>
      </c>
      <c r="AC115" s="78">
        <f t="shared" si="26"/>
        <v>0</v>
      </c>
      <c r="AD115" s="78">
        <f t="shared" si="26"/>
        <v>0</v>
      </c>
      <c r="AE115" s="78">
        <f t="shared" si="26"/>
        <v>0</v>
      </c>
      <c r="AF115" s="78">
        <f t="shared" si="26"/>
        <v>0</v>
      </c>
      <c r="AG115" s="78">
        <f t="shared" si="26"/>
        <v>0</v>
      </c>
      <c r="AH115" s="78">
        <f t="shared" si="26"/>
        <v>0</v>
      </c>
    </row>
    <row r="116" spans="2:34" x14ac:dyDescent="0.25">
      <c r="B116" s="74" t="s">
        <v>253</v>
      </c>
      <c r="C116" s="77" t="s">
        <v>149</v>
      </c>
      <c r="D116" s="78">
        <f t="shared" ref="D116:AH116" si="27">IFERROR(IF(D$90/$D32&gt;1,1,D$90/$D32),0)*$E32</f>
        <v>25148.510463999999</v>
      </c>
      <c r="E116" s="78">
        <f t="shared" si="27"/>
        <v>25148.510463999999</v>
      </c>
      <c r="F116" s="78">
        <f t="shared" si="27"/>
        <v>25148.510463999999</v>
      </c>
      <c r="G116" s="78">
        <f t="shared" si="27"/>
        <v>25148.510463999999</v>
      </c>
      <c r="H116" s="78">
        <f t="shared" si="27"/>
        <v>25148.510463999999</v>
      </c>
      <c r="I116" s="78">
        <f t="shared" si="27"/>
        <v>25148.510463999999</v>
      </c>
      <c r="J116" s="78">
        <f t="shared" si="27"/>
        <v>25148.510463999999</v>
      </c>
      <c r="K116" s="78">
        <f t="shared" si="27"/>
        <v>25148.510463999999</v>
      </c>
      <c r="L116" s="78">
        <f t="shared" si="27"/>
        <v>25148.510463999999</v>
      </c>
      <c r="M116" s="78">
        <f t="shared" si="27"/>
        <v>25148.510463999999</v>
      </c>
      <c r="N116" s="78">
        <f t="shared" si="27"/>
        <v>25148.510463999999</v>
      </c>
      <c r="O116" s="78">
        <f t="shared" si="27"/>
        <v>25148.510463999999</v>
      </c>
      <c r="P116" s="78">
        <f t="shared" si="27"/>
        <v>25148.510463999999</v>
      </c>
      <c r="Q116" s="78">
        <f t="shared" si="27"/>
        <v>25148.510463999999</v>
      </c>
      <c r="R116" s="78">
        <f t="shared" si="27"/>
        <v>25148.510463999999</v>
      </c>
      <c r="S116" s="78">
        <f t="shared" si="27"/>
        <v>25148.510463999999</v>
      </c>
      <c r="T116" s="78">
        <f t="shared" si="27"/>
        <v>25148.510463999999</v>
      </c>
      <c r="U116" s="78">
        <f t="shared" si="27"/>
        <v>25148.510463999999</v>
      </c>
      <c r="V116" s="78">
        <f t="shared" si="27"/>
        <v>25148.510463999999</v>
      </c>
      <c r="W116" s="78">
        <f t="shared" si="27"/>
        <v>25148.510463999999</v>
      </c>
      <c r="X116" s="78">
        <f t="shared" si="27"/>
        <v>25148.510463999999</v>
      </c>
      <c r="Y116" s="78">
        <f t="shared" si="27"/>
        <v>25148.510463999999</v>
      </c>
      <c r="Z116" s="78">
        <f t="shared" si="27"/>
        <v>25148.510463999999</v>
      </c>
      <c r="AA116" s="78">
        <f t="shared" si="27"/>
        <v>25148.510463999999</v>
      </c>
      <c r="AB116" s="78">
        <f t="shared" si="27"/>
        <v>25148.510463999999</v>
      </c>
      <c r="AC116" s="78">
        <f t="shared" si="27"/>
        <v>25148.510463999999</v>
      </c>
      <c r="AD116" s="78">
        <f t="shared" si="27"/>
        <v>25148.510463999999</v>
      </c>
      <c r="AE116" s="78">
        <f t="shared" si="27"/>
        <v>25148.510463999999</v>
      </c>
      <c r="AF116" s="78">
        <f t="shared" si="27"/>
        <v>25148.510463999999</v>
      </c>
      <c r="AG116" s="78">
        <f t="shared" si="27"/>
        <v>25148.510463999999</v>
      </c>
      <c r="AH116" s="78">
        <f t="shared" si="27"/>
        <v>25148.510463999999</v>
      </c>
    </row>
    <row r="117" spans="2:34" x14ac:dyDescent="0.25">
      <c r="B117" s="112">
        <v>12</v>
      </c>
      <c r="C117" s="17" t="s">
        <v>144</v>
      </c>
      <c r="D117" s="78">
        <f>IFERROR(IF(D$86/$D33&gt;1,1,D$86/$D33),0)*$E33</f>
        <v>0</v>
      </c>
      <c r="E117" s="78">
        <f t="shared" ref="E117:AH117" si="28">IFERROR(IF(E$86/$D33&gt;1,1,E$86/$D33),0)*$E33</f>
        <v>0</v>
      </c>
      <c r="F117" s="78">
        <f t="shared" si="28"/>
        <v>0</v>
      </c>
      <c r="G117" s="78">
        <f t="shared" si="28"/>
        <v>0</v>
      </c>
      <c r="H117" s="78">
        <f t="shared" si="28"/>
        <v>0</v>
      </c>
      <c r="I117" s="78">
        <f t="shared" si="28"/>
        <v>0</v>
      </c>
      <c r="J117" s="78">
        <f t="shared" si="28"/>
        <v>0</v>
      </c>
      <c r="K117" s="78">
        <f t="shared" si="28"/>
        <v>0</v>
      </c>
      <c r="L117" s="78">
        <f t="shared" si="28"/>
        <v>0</v>
      </c>
      <c r="M117" s="78">
        <f t="shared" si="28"/>
        <v>0</v>
      </c>
      <c r="N117" s="78">
        <f t="shared" si="28"/>
        <v>0</v>
      </c>
      <c r="O117" s="78">
        <f t="shared" si="28"/>
        <v>0</v>
      </c>
      <c r="P117" s="78">
        <f t="shared" si="28"/>
        <v>0</v>
      </c>
      <c r="Q117" s="78">
        <f t="shared" si="28"/>
        <v>0</v>
      </c>
      <c r="R117" s="78">
        <f t="shared" si="28"/>
        <v>0</v>
      </c>
      <c r="S117" s="78">
        <f t="shared" si="28"/>
        <v>0</v>
      </c>
      <c r="T117" s="78">
        <f t="shared" si="28"/>
        <v>0</v>
      </c>
      <c r="U117" s="78">
        <f t="shared" si="28"/>
        <v>0</v>
      </c>
      <c r="V117" s="78">
        <f t="shared" si="28"/>
        <v>0</v>
      </c>
      <c r="W117" s="78">
        <f t="shared" si="28"/>
        <v>0</v>
      </c>
      <c r="X117" s="78">
        <f t="shared" si="28"/>
        <v>0</v>
      </c>
      <c r="Y117" s="78">
        <f t="shared" si="28"/>
        <v>0</v>
      </c>
      <c r="Z117" s="78">
        <f t="shared" si="28"/>
        <v>0</v>
      </c>
      <c r="AA117" s="78">
        <f t="shared" si="28"/>
        <v>0</v>
      </c>
      <c r="AB117" s="78">
        <f t="shared" si="28"/>
        <v>0</v>
      </c>
      <c r="AC117" s="78">
        <f t="shared" si="28"/>
        <v>0</v>
      </c>
      <c r="AD117" s="78">
        <f t="shared" si="28"/>
        <v>0</v>
      </c>
      <c r="AE117" s="78">
        <f t="shared" si="28"/>
        <v>0</v>
      </c>
      <c r="AF117" s="78">
        <f t="shared" si="28"/>
        <v>0</v>
      </c>
      <c r="AG117" s="78">
        <f t="shared" si="28"/>
        <v>0</v>
      </c>
      <c r="AH117" s="78">
        <f t="shared" si="28"/>
        <v>0</v>
      </c>
    </row>
    <row r="118" spans="2:34" x14ac:dyDescent="0.25">
      <c r="B118" s="113"/>
      <c r="C118" s="17" t="s">
        <v>145</v>
      </c>
      <c r="D118" s="78">
        <f>IFERROR(IF(D$86/$D34&gt;1,1,D$86/$D34),0)*$E34</f>
        <v>0</v>
      </c>
      <c r="E118" s="78">
        <f t="shared" ref="E118:AH118" si="29">IFERROR(IF(E$86/$D34&gt;1,1,E$86/$D34),0)*$E34</f>
        <v>0</v>
      </c>
      <c r="F118" s="78">
        <f t="shared" si="29"/>
        <v>0</v>
      </c>
      <c r="G118" s="78">
        <f t="shared" si="29"/>
        <v>0</v>
      </c>
      <c r="H118" s="78">
        <f t="shared" si="29"/>
        <v>0</v>
      </c>
      <c r="I118" s="78">
        <f t="shared" si="29"/>
        <v>0</v>
      </c>
      <c r="J118" s="78">
        <f t="shared" si="29"/>
        <v>0</v>
      </c>
      <c r="K118" s="78">
        <f t="shared" si="29"/>
        <v>0</v>
      </c>
      <c r="L118" s="78">
        <f t="shared" si="29"/>
        <v>0</v>
      </c>
      <c r="M118" s="78">
        <f t="shared" si="29"/>
        <v>0</v>
      </c>
      <c r="N118" s="78">
        <f t="shared" si="29"/>
        <v>0</v>
      </c>
      <c r="O118" s="78">
        <f t="shared" si="29"/>
        <v>0</v>
      </c>
      <c r="P118" s="78">
        <f t="shared" si="29"/>
        <v>0</v>
      </c>
      <c r="Q118" s="78">
        <f t="shared" si="29"/>
        <v>0</v>
      </c>
      <c r="R118" s="78">
        <f t="shared" si="29"/>
        <v>0</v>
      </c>
      <c r="S118" s="78">
        <f t="shared" si="29"/>
        <v>0</v>
      </c>
      <c r="T118" s="78">
        <f t="shared" si="29"/>
        <v>0</v>
      </c>
      <c r="U118" s="78">
        <f t="shared" si="29"/>
        <v>0</v>
      </c>
      <c r="V118" s="78">
        <f t="shared" si="29"/>
        <v>0</v>
      </c>
      <c r="W118" s="78">
        <f t="shared" si="29"/>
        <v>0</v>
      </c>
      <c r="X118" s="78">
        <f t="shared" si="29"/>
        <v>0</v>
      </c>
      <c r="Y118" s="78">
        <f t="shared" si="29"/>
        <v>0</v>
      </c>
      <c r="Z118" s="78">
        <f t="shared" si="29"/>
        <v>0</v>
      </c>
      <c r="AA118" s="78">
        <f t="shared" si="29"/>
        <v>0</v>
      </c>
      <c r="AB118" s="78">
        <f t="shared" si="29"/>
        <v>0</v>
      </c>
      <c r="AC118" s="78">
        <f t="shared" si="29"/>
        <v>0</v>
      </c>
      <c r="AD118" s="78">
        <f t="shared" si="29"/>
        <v>0</v>
      </c>
      <c r="AE118" s="78">
        <f t="shared" si="29"/>
        <v>0</v>
      </c>
      <c r="AF118" s="78">
        <f t="shared" si="29"/>
        <v>0</v>
      </c>
      <c r="AG118" s="78">
        <f t="shared" si="29"/>
        <v>0</v>
      </c>
      <c r="AH118" s="78">
        <f t="shared" si="29"/>
        <v>0</v>
      </c>
    </row>
    <row r="119" spans="2:34" x14ac:dyDescent="0.25">
      <c r="B119" s="113"/>
      <c r="C119" s="17" t="s">
        <v>244</v>
      </c>
      <c r="D119" s="78">
        <f>IFERROR(IF(D$86/$D35&gt;1,1,D$86/$D35),0)*$E35</f>
        <v>0</v>
      </c>
      <c r="E119" s="78">
        <f t="shared" ref="E119:AH119" si="30">IFERROR(IF(E$86/$D35&gt;1,1,E$86/$D35),0)*$E35</f>
        <v>0</v>
      </c>
      <c r="F119" s="78">
        <f t="shared" si="30"/>
        <v>0</v>
      </c>
      <c r="G119" s="78">
        <f t="shared" si="30"/>
        <v>0</v>
      </c>
      <c r="H119" s="78">
        <f t="shared" si="30"/>
        <v>0</v>
      </c>
      <c r="I119" s="78">
        <f t="shared" si="30"/>
        <v>0</v>
      </c>
      <c r="J119" s="78">
        <f t="shared" si="30"/>
        <v>0</v>
      </c>
      <c r="K119" s="78">
        <f t="shared" si="30"/>
        <v>0</v>
      </c>
      <c r="L119" s="78">
        <f t="shared" si="30"/>
        <v>0</v>
      </c>
      <c r="M119" s="78">
        <f t="shared" si="30"/>
        <v>0</v>
      </c>
      <c r="N119" s="78">
        <f t="shared" si="30"/>
        <v>0</v>
      </c>
      <c r="O119" s="78">
        <f t="shared" si="30"/>
        <v>0</v>
      </c>
      <c r="P119" s="78">
        <f t="shared" si="30"/>
        <v>0</v>
      </c>
      <c r="Q119" s="78">
        <f t="shared" si="30"/>
        <v>0</v>
      </c>
      <c r="R119" s="78">
        <f t="shared" si="30"/>
        <v>0</v>
      </c>
      <c r="S119" s="78">
        <f t="shared" si="30"/>
        <v>0</v>
      </c>
      <c r="T119" s="78">
        <f t="shared" si="30"/>
        <v>0</v>
      </c>
      <c r="U119" s="78">
        <f t="shared" si="30"/>
        <v>0</v>
      </c>
      <c r="V119" s="78">
        <f t="shared" si="30"/>
        <v>0</v>
      </c>
      <c r="W119" s="78">
        <f t="shared" si="30"/>
        <v>0</v>
      </c>
      <c r="X119" s="78">
        <f t="shared" si="30"/>
        <v>0</v>
      </c>
      <c r="Y119" s="78">
        <f t="shared" si="30"/>
        <v>0</v>
      </c>
      <c r="Z119" s="78">
        <f t="shared" si="30"/>
        <v>0</v>
      </c>
      <c r="AA119" s="78">
        <f t="shared" si="30"/>
        <v>0</v>
      </c>
      <c r="AB119" s="78">
        <f t="shared" si="30"/>
        <v>0</v>
      </c>
      <c r="AC119" s="78">
        <f t="shared" si="30"/>
        <v>0</v>
      </c>
      <c r="AD119" s="78">
        <f t="shared" si="30"/>
        <v>0</v>
      </c>
      <c r="AE119" s="78">
        <f t="shared" si="30"/>
        <v>0</v>
      </c>
      <c r="AF119" s="78">
        <f t="shared" si="30"/>
        <v>0</v>
      </c>
      <c r="AG119" s="78">
        <f t="shared" si="30"/>
        <v>0</v>
      </c>
      <c r="AH119" s="78">
        <f t="shared" si="30"/>
        <v>0</v>
      </c>
    </row>
    <row r="120" spans="2:34" x14ac:dyDescent="0.25">
      <c r="B120" s="113"/>
      <c r="C120" s="17" t="s">
        <v>245</v>
      </c>
      <c r="D120" s="78">
        <f>IFERROR(IF(D$86/$D36&gt;1,1,D$86/$D36),0)*$E36</f>
        <v>0</v>
      </c>
      <c r="E120" s="78">
        <f t="shared" ref="E120:AH120" si="31">IFERROR(IF(E$86/$D36&gt;1,1,E$86/$D36),0)*$E36</f>
        <v>0</v>
      </c>
      <c r="F120" s="78">
        <f t="shared" si="31"/>
        <v>0</v>
      </c>
      <c r="G120" s="78">
        <f t="shared" si="31"/>
        <v>0</v>
      </c>
      <c r="H120" s="78">
        <f t="shared" si="31"/>
        <v>0</v>
      </c>
      <c r="I120" s="78">
        <f t="shared" si="31"/>
        <v>0</v>
      </c>
      <c r="J120" s="78">
        <f t="shared" si="31"/>
        <v>0</v>
      </c>
      <c r="K120" s="78">
        <f t="shared" si="31"/>
        <v>0</v>
      </c>
      <c r="L120" s="78">
        <f t="shared" si="31"/>
        <v>0</v>
      </c>
      <c r="M120" s="78">
        <f t="shared" si="31"/>
        <v>0</v>
      </c>
      <c r="N120" s="78">
        <f t="shared" si="31"/>
        <v>0</v>
      </c>
      <c r="O120" s="78">
        <f t="shared" si="31"/>
        <v>0</v>
      </c>
      <c r="P120" s="78">
        <f t="shared" si="31"/>
        <v>0</v>
      </c>
      <c r="Q120" s="78">
        <f t="shared" si="31"/>
        <v>0</v>
      </c>
      <c r="R120" s="78">
        <f t="shared" si="31"/>
        <v>0</v>
      </c>
      <c r="S120" s="78">
        <f t="shared" si="31"/>
        <v>0</v>
      </c>
      <c r="T120" s="78">
        <f t="shared" si="31"/>
        <v>0</v>
      </c>
      <c r="U120" s="78">
        <f t="shared" si="31"/>
        <v>0</v>
      </c>
      <c r="V120" s="78">
        <f t="shared" si="31"/>
        <v>0</v>
      </c>
      <c r="W120" s="78">
        <f t="shared" si="31"/>
        <v>0</v>
      </c>
      <c r="X120" s="78">
        <f t="shared" si="31"/>
        <v>0</v>
      </c>
      <c r="Y120" s="78">
        <f t="shared" si="31"/>
        <v>0</v>
      </c>
      <c r="Z120" s="78">
        <f t="shared" si="31"/>
        <v>0</v>
      </c>
      <c r="AA120" s="78">
        <f t="shared" si="31"/>
        <v>0</v>
      </c>
      <c r="AB120" s="78">
        <f t="shared" si="31"/>
        <v>0</v>
      </c>
      <c r="AC120" s="78">
        <f t="shared" si="31"/>
        <v>0</v>
      </c>
      <c r="AD120" s="78">
        <f t="shared" si="31"/>
        <v>0</v>
      </c>
      <c r="AE120" s="78">
        <f t="shared" si="31"/>
        <v>0</v>
      </c>
      <c r="AF120" s="78">
        <f t="shared" si="31"/>
        <v>0</v>
      </c>
      <c r="AG120" s="78">
        <f t="shared" si="31"/>
        <v>0</v>
      </c>
      <c r="AH120" s="78">
        <f t="shared" si="31"/>
        <v>0</v>
      </c>
    </row>
    <row r="121" spans="2:34" x14ac:dyDescent="0.25">
      <c r="B121" s="114"/>
      <c r="C121" s="77" t="s">
        <v>149</v>
      </c>
      <c r="D121" s="78">
        <f>SUM(D117:D120)</f>
        <v>0</v>
      </c>
      <c r="E121" s="78">
        <f t="shared" ref="E121:AH121" si="32">SUM(E117:E120)</f>
        <v>0</v>
      </c>
      <c r="F121" s="78">
        <f t="shared" si="32"/>
        <v>0</v>
      </c>
      <c r="G121" s="78">
        <f t="shared" si="32"/>
        <v>0</v>
      </c>
      <c r="H121" s="78">
        <f t="shared" si="32"/>
        <v>0</v>
      </c>
      <c r="I121" s="78">
        <f t="shared" si="32"/>
        <v>0</v>
      </c>
      <c r="J121" s="78">
        <f t="shared" si="32"/>
        <v>0</v>
      </c>
      <c r="K121" s="78">
        <f t="shared" si="32"/>
        <v>0</v>
      </c>
      <c r="L121" s="78">
        <f t="shared" si="32"/>
        <v>0</v>
      </c>
      <c r="M121" s="78">
        <f t="shared" si="32"/>
        <v>0</v>
      </c>
      <c r="N121" s="78">
        <f t="shared" si="32"/>
        <v>0</v>
      </c>
      <c r="O121" s="78">
        <f t="shared" si="32"/>
        <v>0</v>
      </c>
      <c r="P121" s="78">
        <f t="shared" si="32"/>
        <v>0</v>
      </c>
      <c r="Q121" s="78">
        <f t="shared" si="32"/>
        <v>0</v>
      </c>
      <c r="R121" s="78">
        <f t="shared" si="32"/>
        <v>0</v>
      </c>
      <c r="S121" s="78">
        <f t="shared" si="32"/>
        <v>0</v>
      </c>
      <c r="T121" s="78">
        <f t="shared" si="32"/>
        <v>0</v>
      </c>
      <c r="U121" s="78">
        <f t="shared" si="32"/>
        <v>0</v>
      </c>
      <c r="V121" s="78">
        <f t="shared" si="32"/>
        <v>0</v>
      </c>
      <c r="W121" s="78">
        <f t="shared" si="32"/>
        <v>0</v>
      </c>
      <c r="X121" s="78">
        <f t="shared" si="32"/>
        <v>0</v>
      </c>
      <c r="Y121" s="78">
        <f t="shared" si="32"/>
        <v>0</v>
      </c>
      <c r="Z121" s="78">
        <f t="shared" si="32"/>
        <v>0</v>
      </c>
      <c r="AA121" s="78">
        <f t="shared" si="32"/>
        <v>0</v>
      </c>
      <c r="AB121" s="78">
        <f t="shared" si="32"/>
        <v>0</v>
      </c>
      <c r="AC121" s="78">
        <f t="shared" si="32"/>
        <v>0</v>
      </c>
      <c r="AD121" s="78">
        <f t="shared" si="32"/>
        <v>0</v>
      </c>
      <c r="AE121" s="78">
        <f t="shared" si="32"/>
        <v>0</v>
      </c>
      <c r="AF121" s="78">
        <f t="shared" si="32"/>
        <v>0</v>
      </c>
      <c r="AG121" s="78">
        <f t="shared" si="32"/>
        <v>0</v>
      </c>
      <c r="AH121" s="78">
        <f t="shared" si="32"/>
        <v>0</v>
      </c>
    </row>
    <row r="124" spans="2:34" ht="17.25" thickBot="1" x14ac:dyDescent="0.3">
      <c r="B124" s="19" t="s">
        <v>274</v>
      </c>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row>
    <row r="125" spans="2:34" ht="15.75" thickTop="1" x14ac:dyDescent="0.25">
      <c r="B125" s="74">
        <v>0</v>
      </c>
      <c r="C125" s="77" t="s">
        <v>149</v>
      </c>
      <c r="D125" s="78">
        <f t="shared" ref="D125:AH125" si="33">IFERROR(IF(D$90/$D41&gt;1,1,D$90/$D41),0)*$E41</f>
        <v>0</v>
      </c>
      <c r="E125" s="78">
        <f t="shared" si="33"/>
        <v>0</v>
      </c>
      <c r="F125" s="78">
        <f t="shared" si="33"/>
        <v>0</v>
      </c>
      <c r="G125" s="78">
        <f t="shared" si="33"/>
        <v>0</v>
      </c>
      <c r="H125" s="78">
        <f t="shared" si="33"/>
        <v>0</v>
      </c>
      <c r="I125" s="78">
        <f t="shared" si="33"/>
        <v>0</v>
      </c>
      <c r="J125" s="78">
        <f t="shared" si="33"/>
        <v>0</v>
      </c>
      <c r="K125" s="78">
        <f t="shared" si="33"/>
        <v>0</v>
      </c>
      <c r="L125" s="78">
        <f t="shared" si="33"/>
        <v>0</v>
      </c>
      <c r="M125" s="78">
        <f t="shared" si="33"/>
        <v>0</v>
      </c>
      <c r="N125" s="78">
        <f t="shared" si="33"/>
        <v>0</v>
      </c>
      <c r="O125" s="78">
        <f t="shared" si="33"/>
        <v>0</v>
      </c>
      <c r="P125" s="78">
        <f t="shared" si="33"/>
        <v>0</v>
      </c>
      <c r="Q125" s="78">
        <f t="shared" si="33"/>
        <v>0</v>
      </c>
      <c r="R125" s="78">
        <f t="shared" si="33"/>
        <v>0</v>
      </c>
      <c r="S125" s="78">
        <f t="shared" si="33"/>
        <v>0</v>
      </c>
      <c r="T125" s="78">
        <f t="shared" si="33"/>
        <v>0</v>
      </c>
      <c r="U125" s="78">
        <f t="shared" si="33"/>
        <v>0</v>
      </c>
      <c r="V125" s="78">
        <f t="shared" si="33"/>
        <v>0</v>
      </c>
      <c r="W125" s="78">
        <f t="shared" si="33"/>
        <v>0</v>
      </c>
      <c r="X125" s="78">
        <f t="shared" si="33"/>
        <v>0</v>
      </c>
      <c r="Y125" s="78">
        <f t="shared" si="33"/>
        <v>0</v>
      </c>
      <c r="Z125" s="78">
        <f t="shared" si="33"/>
        <v>0</v>
      </c>
      <c r="AA125" s="78">
        <f t="shared" si="33"/>
        <v>0</v>
      </c>
      <c r="AB125" s="78">
        <f t="shared" si="33"/>
        <v>0</v>
      </c>
      <c r="AC125" s="78">
        <f t="shared" si="33"/>
        <v>0</v>
      </c>
      <c r="AD125" s="78">
        <f t="shared" si="33"/>
        <v>0</v>
      </c>
      <c r="AE125" s="78">
        <f t="shared" si="33"/>
        <v>0</v>
      </c>
      <c r="AF125" s="78">
        <f t="shared" si="33"/>
        <v>0</v>
      </c>
      <c r="AG125" s="78">
        <f t="shared" si="33"/>
        <v>0</v>
      </c>
      <c r="AH125" s="78">
        <f t="shared" si="33"/>
        <v>0</v>
      </c>
    </row>
    <row r="126" spans="2:34" x14ac:dyDescent="0.25">
      <c r="B126" s="112" t="s">
        <v>243</v>
      </c>
      <c r="C126" s="17" t="s">
        <v>144</v>
      </c>
      <c r="D126" s="78">
        <f t="shared" ref="D126:AH126" si="34">IFERROR(IF(D$86/$D42&gt;1,1,D$86/$D42),0)*$E42</f>
        <v>0</v>
      </c>
      <c r="E126" s="78">
        <f t="shared" si="34"/>
        <v>0</v>
      </c>
      <c r="F126" s="78">
        <f t="shared" si="34"/>
        <v>0</v>
      </c>
      <c r="G126" s="78">
        <f t="shared" si="34"/>
        <v>0</v>
      </c>
      <c r="H126" s="78">
        <f t="shared" si="34"/>
        <v>0</v>
      </c>
      <c r="I126" s="78">
        <f t="shared" si="34"/>
        <v>0</v>
      </c>
      <c r="J126" s="78">
        <f t="shared" si="34"/>
        <v>0</v>
      </c>
      <c r="K126" s="78">
        <f t="shared" si="34"/>
        <v>0</v>
      </c>
      <c r="L126" s="78">
        <f t="shared" si="34"/>
        <v>0</v>
      </c>
      <c r="M126" s="78">
        <f t="shared" si="34"/>
        <v>0</v>
      </c>
      <c r="N126" s="78">
        <f t="shared" si="34"/>
        <v>0</v>
      </c>
      <c r="O126" s="78">
        <f t="shared" si="34"/>
        <v>0</v>
      </c>
      <c r="P126" s="78">
        <f t="shared" si="34"/>
        <v>0</v>
      </c>
      <c r="Q126" s="78">
        <f t="shared" si="34"/>
        <v>0</v>
      </c>
      <c r="R126" s="78">
        <f t="shared" si="34"/>
        <v>0</v>
      </c>
      <c r="S126" s="78">
        <f t="shared" si="34"/>
        <v>0</v>
      </c>
      <c r="T126" s="78">
        <f t="shared" si="34"/>
        <v>0</v>
      </c>
      <c r="U126" s="78">
        <f t="shared" si="34"/>
        <v>0</v>
      </c>
      <c r="V126" s="78">
        <f t="shared" si="34"/>
        <v>0</v>
      </c>
      <c r="W126" s="78">
        <f t="shared" si="34"/>
        <v>0</v>
      </c>
      <c r="X126" s="78">
        <f t="shared" si="34"/>
        <v>0</v>
      </c>
      <c r="Y126" s="78">
        <f t="shared" si="34"/>
        <v>0</v>
      </c>
      <c r="Z126" s="78">
        <f t="shared" si="34"/>
        <v>0</v>
      </c>
      <c r="AA126" s="78">
        <f t="shared" si="34"/>
        <v>0</v>
      </c>
      <c r="AB126" s="78">
        <f t="shared" si="34"/>
        <v>0</v>
      </c>
      <c r="AC126" s="78">
        <f t="shared" si="34"/>
        <v>0</v>
      </c>
      <c r="AD126" s="78">
        <f t="shared" si="34"/>
        <v>0</v>
      </c>
      <c r="AE126" s="78">
        <f t="shared" si="34"/>
        <v>0</v>
      </c>
      <c r="AF126" s="78">
        <f t="shared" si="34"/>
        <v>0</v>
      </c>
      <c r="AG126" s="78">
        <f t="shared" si="34"/>
        <v>0</v>
      </c>
      <c r="AH126" s="78">
        <f t="shared" si="34"/>
        <v>0</v>
      </c>
    </row>
    <row r="127" spans="2:34" x14ac:dyDescent="0.25">
      <c r="B127" s="113"/>
      <c r="C127" s="17" t="s">
        <v>145</v>
      </c>
      <c r="D127" s="78">
        <f t="shared" ref="D127:AH127" si="35">IFERROR(IF(D$87/$D43&gt;1,1,D$87/$D43),0)*$E43</f>
        <v>0</v>
      </c>
      <c r="E127" s="78">
        <f t="shared" si="35"/>
        <v>0</v>
      </c>
      <c r="F127" s="78">
        <f t="shared" si="35"/>
        <v>0</v>
      </c>
      <c r="G127" s="78">
        <f t="shared" si="35"/>
        <v>0</v>
      </c>
      <c r="H127" s="78">
        <f t="shared" si="35"/>
        <v>0</v>
      </c>
      <c r="I127" s="78">
        <f t="shared" si="35"/>
        <v>0</v>
      </c>
      <c r="J127" s="78">
        <f t="shared" si="35"/>
        <v>0</v>
      </c>
      <c r="K127" s="78">
        <f t="shared" si="35"/>
        <v>0</v>
      </c>
      <c r="L127" s="78">
        <f t="shared" si="35"/>
        <v>0</v>
      </c>
      <c r="M127" s="78">
        <f t="shared" si="35"/>
        <v>0</v>
      </c>
      <c r="N127" s="78">
        <f t="shared" si="35"/>
        <v>0</v>
      </c>
      <c r="O127" s="78">
        <f t="shared" si="35"/>
        <v>0</v>
      </c>
      <c r="P127" s="78">
        <f t="shared" si="35"/>
        <v>0</v>
      </c>
      <c r="Q127" s="78">
        <f t="shared" si="35"/>
        <v>0</v>
      </c>
      <c r="R127" s="78">
        <f t="shared" si="35"/>
        <v>0</v>
      </c>
      <c r="S127" s="78">
        <f t="shared" si="35"/>
        <v>0</v>
      </c>
      <c r="T127" s="78">
        <f t="shared" si="35"/>
        <v>0</v>
      </c>
      <c r="U127" s="78">
        <f t="shared" si="35"/>
        <v>0</v>
      </c>
      <c r="V127" s="78">
        <f t="shared" si="35"/>
        <v>0</v>
      </c>
      <c r="W127" s="78">
        <f t="shared" si="35"/>
        <v>0</v>
      </c>
      <c r="X127" s="78">
        <f t="shared" si="35"/>
        <v>0</v>
      </c>
      <c r="Y127" s="78">
        <f t="shared" si="35"/>
        <v>0</v>
      </c>
      <c r="Z127" s="78">
        <f t="shared" si="35"/>
        <v>0</v>
      </c>
      <c r="AA127" s="78">
        <f t="shared" si="35"/>
        <v>0</v>
      </c>
      <c r="AB127" s="78">
        <f t="shared" si="35"/>
        <v>0</v>
      </c>
      <c r="AC127" s="78">
        <f t="shared" si="35"/>
        <v>0</v>
      </c>
      <c r="AD127" s="78">
        <f t="shared" si="35"/>
        <v>0</v>
      </c>
      <c r="AE127" s="78">
        <f t="shared" si="35"/>
        <v>0</v>
      </c>
      <c r="AF127" s="78">
        <f t="shared" si="35"/>
        <v>0</v>
      </c>
      <c r="AG127" s="78">
        <f t="shared" si="35"/>
        <v>0</v>
      </c>
      <c r="AH127" s="78">
        <f t="shared" si="35"/>
        <v>0</v>
      </c>
    </row>
    <row r="128" spans="2:34" x14ac:dyDescent="0.25">
      <c r="B128" s="113"/>
      <c r="C128" s="17" t="s">
        <v>244</v>
      </c>
      <c r="D128" s="78">
        <f t="shared" ref="D128:AH128" si="36">IFERROR(IF(D$88/$D44&gt;1,1,D$88/$D44),0)*$E44</f>
        <v>0</v>
      </c>
      <c r="E128" s="78">
        <f t="shared" si="36"/>
        <v>0</v>
      </c>
      <c r="F128" s="78">
        <f t="shared" si="36"/>
        <v>0</v>
      </c>
      <c r="G128" s="78">
        <f t="shared" si="36"/>
        <v>0</v>
      </c>
      <c r="H128" s="78">
        <f t="shared" si="36"/>
        <v>0</v>
      </c>
      <c r="I128" s="78">
        <f t="shared" si="36"/>
        <v>0</v>
      </c>
      <c r="J128" s="78">
        <f t="shared" si="36"/>
        <v>0</v>
      </c>
      <c r="K128" s="78">
        <f t="shared" si="36"/>
        <v>0</v>
      </c>
      <c r="L128" s="78">
        <f t="shared" si="36"/>
        <v>0</v>
      </c>
      <c r="M128" s="78">
        <f t="shared" si="36"/>
        <v>0</v>
      </c>
      <c r="N128" s="78">
        <f t="shared" si="36"/>
        <v>0</v>
      </c>
      <c r="O128" s="78">
        <f t="shared" si="36"/>
        <v>0</v>
      </c>
      <c r="P128" s="78">
        <f t="shared" si="36"/>
        <v>0</v>
      </c>
      <c r="Q128" s="78">
        <f t="shared" si="36"/>
        <v>0</v>
      </c>
      <c r="R128" s="78">
        <f t="shared" si="36"/>
        <v>0</v>
      </c>
      <c r="S128" s="78">
        <f t="shared" si="36"/>
        <v>0</v>
      </c>
      <c r="T128" s="78">
        <f t="shared" si="36"/>
        <v>0</v>
      </c>
      <c r="U128" s="78">
        <f t="shared" si="36"/>
        <v>0</v>
      </c>
      <c r="V128" s="78">
        <f t="shared" si="36"/>
        <v>0</v>
      </c>
      <c r="W128" s="78">
        <f t="shared" si="36"/>
        <v>0</v>
      </c>
      <c r="X128" s="78">
        <f t="shared" si="36"/>
        <v>0</v>
      </c>
      <c r="Y128" s="78">
        <f t="shared" si="36"/>
        <v>0</v>
      </c>
      <c r="Z128" s="78">
        <f t="shared" si="36"/>
        <v>0</v>
      </c>
      <c r="AA128" s="78">
        <f t="shared" si="36"/>
        <v>0</v>
      </c>
      <c r="AB128" s="78">
        <f t="shared" si="36"/>
        <v>0</v>
      </c>
      <c r="AC128" s="78">
        <f t="shared" si="36"/>
        <v>0</v>
      </c>
      <c r="AD128" s="78">
        <f t="shared" si="36"/>
        <v>0</v>
      </c>
      <c r="AE128" s="78">
        <f t="shared" si="36"/>
        <v>0</v>
      </c>
      <c r="AF128" s="78">
        <f t="shared" si="36"/>
        <v>0</v>
      </c>
      <c r="AG128" s="78">
        <f t="shared" si="36"/>
        <v>0</v>
      </c>
      <c r="AH128" s="78">
        <f t="shared" si="36"/>
        <v>0</v>
      </c>
    </row>
    <row r="129" spans="2:34" x14ac:dyDescent="0.25">
      <c r="B129" s="113"/>
      <c r="C129" s="17" t="s">
        <v>245</v>
      </c>
      <c r="D129" s="78">
        <f t="shared" ref="D129:AH129" si="37">IFERROR(IF(D$89/$D45&gt;1,1,D$89/$D45),0)*$E45</f>
        <v>0</v>
      </c>
      <c r="E129" s="78">
        <f t="shared" si="37"/>
        <v>0</v>
      </c>
      <c r="F129" s="78">
        <f t="shared" si="37"/>
        <v>0</v>
      </c>
      <c r="G129" s="78">
        <f t="shared" si="37"/>
        <v>0</v>
      </c>
      <c r="H129" s="78">
        <f t="shared" si="37"/>
        <v>0</v>
      </c>
      <c r="I129" s="78">
        <f t="shared" si="37"/>
        <v>0</v>
      </c>
      <c r="J129" s="78">
        <f t="shared" si="37"/>
        <v>0</v>
      </c>
      <c r="K129" s="78">
        <f t="shared" si="37"/>
        <v>0</v>
      </c>
      <c r="L129" s="78">
        <f t="shared" si="37"/>
        <v>0</v>
      </c>
      <c r="M129" s="78">
        <f t="shared" si="37"/>
        <v>0</v>
      </c>
      <c r="N129" s="78">
        <f t="shared" si="37"/>
        <v>0</v>
      </c>
      <c r="O129" s="78">
        <f t="shared" si="37"/>
        <v>0</v>
      </c>
      <c r="P129" s="78">
        <f t="shared" si="37"/>
        <v>0</v>
      </c>
      <c r="Q129" s="78">
        <f t="shared" si="37"/>
        <v>0</v>
      </c>
      <c r="R129" s="78">
        <f t="shared" si="37"/>
        <v>0</v>
      </c>
      <c r="S129" s="78">
        <f t="shared" si="37"/>
        <v>0</v>
      </c>
      <c r="T129" s="78">
        <f t="shared" si="37"/>
        <v>0</v>
      </c>
      <c r="U129" s="78">
        <f t="shared" si="37"/>
        <v>0</v>
      </c>
      <c r="V129" s="78">
        <f t="shared" si="37"/>
        <v>0</v>
      </c>
      <c r="W129" s="78">
        <f t="shared" si="37"/>
        <v>0</v>
      </c>
      <c r="X129" s="78">
        <f t="shared" si="37"/>
        <v>0</v>
      </c>
      <c r="Y129" s="78">
        <f t="shared" si="37"/>
        <v>0</v>
      </c>
      <c r="Z129" s="78">
        <f t="shared" si="37"/>
        <v>0</v>
      </c>
      <c r="AA129" s="78">
        <f t="shared" si="37"/>
        <v>0</v>
      </c>
      <c r="AB129" s="78">
        <f t="shared" si="37"/>
        <v>0</v>
      </c>
      <c r="AC129" s="78">
        <f t="shared" si="37"/>
        <v>0</v>
      </c>
      <c r="AD129" s="78">
        <f t="shared" si="37"/>
        <v>0</v>
      </c>
      <c r="AE129" s="78">
        <f t="shared" si="37"/>
        <v>0</v>
      </c>
      <c r="AF129" s="78">
        <f t="shared" si="37"/>
        <v>0</v>
      </c>
      <c r="AG129" s="78">
        <f t="shared" si="37"/>
        <v>0</v>
      </c>
      <c r="AH129" s="78">
        <f t="shared" si="37"/>
        <v>0</v>
      </c>
    </row>
    <row r="130" spans="2:34" x14ac:dyDescent="0.25">
      <c r="B130" s="114"/>
      <c r="C130" s="77" t="s">
        <v>149</v>
      </c>
      <c r="D130" s="78">
        <f>SUM(D126:D129)</f>
        <v>0</v>
      </c>
      <c r="E130" s="78">
        <f t="shared" ref="E130:AH130" si="38">SUM(E126:E129)</f>
        <v>0</v>
      </c>
      <c r="F130" s="78">
        <f t="shared" si="38"/>
        <v>0</v>
      </c>
      <c r="G130" s="78">
        <f t="shared" si="38"/>
        <v>0</v>
      </c>
      <c r="H130" s="78">
        <f t="shared" si="38"/>
        <v>0</v>
      </c>
      <c r="I130" s="78">
        <f t="shared" si="38"/>
        <v>0</v>
      </c>
      <c r="J130" s="78">
        <f t="shared" si="38"/>
        <v>0</v>
      </c>
      <c r="K130" s="78">
        <f t="shared" si="38"/>
        <v>0</v>
      </c>
      <c r="L130" s="78">
        <f t="shared" si="38"/>
        <v>0</v>
      </c>
      <c r="M130" s="78">
        <f t="shared" si="38"/>
        <v>0</v>
      </c>
      <c r="N130" s="78">
        <f t="shared" si="38"/>
        <v>0</v>
      </c>
      <c r="O130" s="78">
        <f t="shared" si="38"/>
        <v>0</v>
      </c>
      <c r="P130" s="78">
        <f t="shared" si="38"/>
        <v>0</v>
      </c>
      <c r="Q130" s="78">
        <f t="shared" si="38"/>
        <v>0</v>
      </c>
      <c r="R130" s="78">
        <f t="shared" si="38"/>
        <v>0</v>
      </c>
      <c r="S130" s="78">
        <f t="shared" si="38"/>
        <v>0</v>
      </c>
      <c r="T130" s="78">
        <f t="shared" si="38"/>
        <v>0</v>
      </c>
      <c r="U130" s="78">
        <f t="shared" si="38"/>
        <v>0</v>
      </c>
      <c r="V130" s="78">
        <f t="shared" si="38"/>
        <v>0</v>
      </c>
      <c r="W130" s="78">
        <f t="shared" si="38"/>
        <v>0</v>
      </c>
      <c r="X130" s="78">
        <f t="shared" si="38"/>
        <v>0</v>
      </c>
      <c r="Y130" s="78">
        <f t="shared" si="38"/>
        <v>0</v>
      </c>
      <c r="Z130" s="78">
        <f t="shared" si="38"/>
        <v>0</v>
      </c>
      <c r="AA130" s="78">
        <f t="shared" si="38"/>
        <v>0</v>
      </c>
      <c r="AB130" s="78">
        <f t="shared" si="38"/>
        <v>0</v>
      </c>
      <c r="AC130" s="78">
        <f t="shared" si="38"/>
        <v>0</v>
      </c>
      <c r="AD130" s="78">
        <f t="shared" si="38"/>
        <v>0</v>
      </c>
      <c r="AE130" s="78">
        <f t="shared" si="38"/>
        <v>0</v>
      </c>
      <c r="AF130" s="78">
        <f t="shared" si="38"/>
        <v>0</v>
      </c>
      <c r="AG130" s="78">
        <f t="shared" si="38"/>
        <v>0</v>
      </c>
      <c r="AH130" s="78">
        <f t="shared" si="38"/>
        <v>0</v>
      </c>
    </row>
    <row r="131" spans="2:34" x14ac:dyDescent="0.25">
      <c r="B131" s="112" t="s">
        <v>246</v>
      </c>
      <c r="C131" s="17" t="s">
        <v>144</v>
      </c>
      <c r="D131" s="78">
        <f t="shared" ref="D131:AH131" si="39">IFERROR(IF(D$86/$D46&gt;1,1,D$86/$D46),0)*$E46</f>
        <v>0</v>
      </c>
      <c r="E131" s="78">
        <f t="shared" si="39"/>
        <v>0</v>
      </c>
      <c r="F131" s="78">
        <f t="shared" si="39"/>
        <v>0</v>
      </c>
      <c r="G131" s="78">
        <f t="shared" si="39"/>
        <v>0</v>
      </c>
      <c r="H131" s="78">
        <f t="shared" si="39"/>
        <v>0</v>
      </c>
      <c r="I131" s="78">
        <f t="shared" si="39"/>
        <v>0</v>
      </c>
      <c r="J131" s="78">
        <f t="shared" si="39"/>
        <v>0</v>
      </c>
      <c r="K131" s="78">
        <f t="shared" si="39"/>
        <v>0</v>
      </c>
      <c r="L131" s="78">
        <f t="shared" si="39"/>
        <v>0</v>
      </c>
      <c r="M131" s="78">
        <f t="shared" si="39"/>
        <v>0</v>
      </c>
      <c r="N131" s="78">
        <f t="shared" si="39"/>
        <v>0</v>
      </c>
      <c r="O131" s="78">
        <f t="shared" si="39"/>
        <v>0</v>
      </c>
      <c r="P131" s="78">
        <f t="shared" si="39"/>
        <v>0</v>
      </c>
      <c r="Q131" s="78">
        <f t="shared" si="39"/>
        <v>0</v>
      </c>
      <c r="R131" s="78">
        <f t="shared" si="39"/>
        <v>0</v>
      </c>
      <c r="S131" s="78">
        <f t="shared" si="39"/>
        <v>0</v>
      </c>
      <c r="T131" s="78">
        <f t="shared" si="39"/>
        <v>0</v>
      </c>
      <c r="U131" s="78">
        <f t="shared" si="39"/>
        <v>0</v>
      </c>
      <c r="V131" s="78">
        <f t="shared" si="39"/>
        <v>0</v>
      </c>
      <c r="W131" s="78">
        <f t="shared" si="39"/>
        <v>0</v>
      </c>
      <c r="X131" s="78">
        <f t="shared" si="39"/>
        <v>0</v>
      </c>
      <c r="Y131" s="78">
        <f t="shared" si="39"/>
        <v>0</v>
      </c>
      <c r="Z131" s="78">
        <f t="shared" si="39"/>
        <v>0</v>
      </c>
      <c r="AA131" s="78">
        <f t="shared" si="39"/>
        <v>0</v>
      </c>
      <c r="AB131" s="78">
        <f t="shared" si="39"/>
        <v>0</v>
      </c>
      <c r="AC131" s="78">
        <f t="shared" si="39"/>
        <v>0</v>
      </c>
      <c r="AD131" s="78">
        <f t="shared" si="39"/>
        <v>0</v>
      </c>
      <c r="AE131" s="78">
        <f t="shared" si="39"/>
        <v>0</v>
      </c>
      <c r="AF131" s="78">
        <f t="shared" si="39"/>
        <v>0</v>
      </c>
      <c r="AG131" s="78">
        <f t="shared" si="39"/>
        <v>0</v>
      </c>
      <c r="AH131" s="78">
        <f t="shared" si="39"/>
        <v>0</v>
      </c>
    </row>
    <row r="132" spans="2:34" x14ac:dyDescent="0.25">
      <c r="B132" s="113"/>
      <c r="C132" s="17" t="s">
        <v>145</v>
      </c>
      <c r="D132" s="78">
        <f t="shared" ref="D132:AH132" si="40">IFERROR(IF(D$87/$D47&gt;1,1,D$87/$D47),0)*$E47</f>
        <v>0</v>
      </c>
      <c r="E132" s="78">
        <f t="shared" si="40"/>
        <v>0</v>
      </c>
      <c r="F132" s="78">
        <f t="shared" si="40"/>
        <v>0</v>
      </c>
      <c r="G132" s="78">
        <f t="shared" si="40"/>
        <v>0</v>
      </c>
      <c r="H132" s="78">
        <f t="shared" si="40"/>
        <v>0</v>
      </c>
      <c r="I132" s="78">
        <f t="shared" si="40"/>
        <v>0</v>
      </c>
      <c r="J132" s="78">
        <f t="shared" si="40"/>
        <v>0</v>
      </c>
      <c r="K132" s="78">
        <f t="shared" si="40"/>
        <v>0</v>
      </c>
      <c r="L132" s="78">
        <f t="shared" si="40"/>
        <v>0</v>
      </c>
      <c r="M132" s="78">
        <f t="shared" si="40"/>
        <v>0</v>
      </c>
      <c r="N132" s="78">
        <f t="shared" si="40"/>
        <v>0</v>
      </c>
      <c r="O132" s="78">
        <f t="shared" si="40"/>
        <v>0</v>
      </c>
      <c r="P132" s="78">
        <f t="shared" si="40"/>
        <v>0</v>
      </c>
      <c r="Q132" s="78">
        <f t="shared" si="40"/>
        <v>0</v>
      </c>
      <c r="R132" s="78">
        <f t="shared" si="40"/>
        <v>0</v>
      </c>
      <c r="S132" s="78">
        <f t="shared" si="40"/>
        <v>0</v>
      </c>
      <c r="T132" s="78">
        <f t="shared" si="40"/>
        <v>0</v>
      </c>
      <c r="U132" s="78">
        <f t="shared" si="40"/>
        <v>0</v>
      </c>
      <c r="V132" s="78">
        <f t="shared" si="40"/>
        <v>0</v>
      </c>
      <c r="W132" s="78">
        <f t="shared" si="40"/>
        <v>0</v>
      </c>
      <c r="X132" s="78">
        <f t="shared" si="40"/>
        <v>0</v>
      </c>
      <c r="Y132" s="78">
        <f t="shared" si="40"/>
        <v>0</v>
      </c>
      <c r="Z132" s="78">
        <f t="shared" si="40"/>
        <v>0</v>
      </c>
      <c r="AA132" s="78">
        <f t="shared" si="40"/>
        <v>0</v>
      </c>
      <c r="AB132" s="78">
        <f t="shared" si="40"/>
        <v>0</v>
      </c>
      <c r="AC132" s="78">
        <f t="shared" si="40"/>
        <v>0</v>
      </c>
      <c r="AD132" s="78">
        <f t="shared" si="40"/>
        <v>0</v>
      </c>
      <c r="AE132" s="78">
        <f t="shared" si="40"/>
        <v>0</v>
      </c>
      <c r="AF132" s="78">
        <f t="shared" si="40"/>
        <v>0</v>
      </c>
      <c r="AG132" s="78">
        <f t="shared" si="40"/>
        <v>0</v>
      </c>
      <c r="AH132" s="78">
        <f t="shared" si="40"/>
        <v>0</v>
      </c>
    </row>
    <row r="133" spans="2:34" x14ac:dyDescent="0.25">
      <c r="B133" s="113"/>
      <c r="C133" s="17" t="s">
        <v>244</v>
      </c>
      <c r="D133" s="78">
        <f t="shared" ref="D133:AH133" si="41">IFERROR(IF(D$88/$D48&gt;1,1,D$88/$D48),0)*$E48</f>
        <v>0</v>
      </c>
      <c r="E133" s="78">
        <f t="shared" si="41"/>
        <v>0</v>
      </c>
      <c r="F133" s="78">
        <f t="shared" si="41"/>
        <v>0</v>
      </c>
      <c r="G133" s="78">
        <f t="shared" si="41"/>
        <v>0</v>
      </c>
      <c r="H133" s="78">
        <f t="shared" si="41"/>
        <v>0</v>
      </c>
      <c r="I133" s="78">
        <f t="shared" si="41"/>
        <v>0</v>
      </c>
      <c r="J133" s="78">
        <f t="shared" si="41"/>
        <v>0</v>
      </c>
      <c r="K133" s="78">
        <f t="shared" si="41"/>
        <v>0</v>
      </c>
      <c r="L133" s="78">
        <f t="shared" si="41"/>
        <v>0</v>
      </c>
      <c r="M133" s="78">
        <f t="shared" si="41"/>
        <v>0</v>
      </c>
      <c r="N133" s="78">
        <f t="shared" si="41"/>
        <v>0</v>
      </c>
      <c r="O133" s="78">
        <f t="shared" si="41"/>
        <v>0</v>
      </c>
      <c r="P133" s="78">
        <f t="shared" si="41"/>
        <v>0</v>
      </c>
      <c r="Q133" s="78">
        <f t="shared" si="41"/>
        <v>0</v>
      </c>
      <c r="R133" s="78">
        <f t="shared" si="41"/>
        <v>0</v>
      </c>
      <c r="S133" s="78">
        <f t="shared" si="41"/>
        <v>0</v>
      </c>
      <c r="T133" s="78">
        <f t="shared" si="41"/>
        <v>0</v>
      </c>
      <c r="U133" s="78">
        <f t="shared" si="41"/>
        <v>0</v>
      </c>
      <c r="V133" s="78">
        <f t="shared" si="41"/>
        <v>0</v>
      </c>
      <c r="W133" s="78">
        <f t="shared" si="41"/>
        <v>0</v>
      </c>
      <c r="X133" s="78">
        <f t="shared" si="41"/>
        <v>0</v>
      </c>
      <c r="Y133" s="78">
        <f t="shared" si="41"/>
        <v>0</v>
      </c>
      <c r="Z133" s="78">
        <f t="shared" si="41"/>
        <v>0</v>
      </c>
      <c r="AA133" s="78">
        <f t="shared" si="41"/>
        <v>0</v>
      </c>
      <c r="AB133" s="78">
        <f t="shared" si="41"/>
        <v>0</v>
      </c>
      <c r="AC133" s="78">
        <f t="shared" si="41"/>
        <v>0</v>
      </c>
      <c r="AD133" s="78">
        <f t="shared" si="41"/>
        <v>0</v>
      </c>
      <c r="AE133" s="78">
        <f t="shared" si="41"/>
        <v>0</v>
      </c>
      <c r="AF133" s="78">
        <f t="shared" si="41"/>
        <v>0</v>
      </c>
      <c r="AG133" s="78">
        <f t="shared" si="41"/>
        <v>0</v>
      </c>
      <c r="AH133" s="78">
        <f t="shared" si="41"/>
        <v>0</v>
      </c>
    </row>
    <row r="134" spans="2:34" x14ac:dyDescent="0.25">
      <c r="B134" s="113"/>
      <c r="C134" s="17" t="s">
        <v>245</v>
      </c>
      <c r="D134" s="78">
        <f t="shared" ref="D134:AH134" si="42">IFERROR(IF(D$89/$D49&gt;1,1,D$89/$D49),0)*$E49</f>
        <v>0</v>
      </c>
      <c r="E134" s="78">
        <f t="shared" si="42"/>
        <v>0</v>
      </c>
      <c r="F134" s="78">
        <f t="shared" si="42"/>
        <v>0</v>
      </c>
      <c r="G134" s="78">
        <f t="shared" si="42"/>
        <v>0</v>
      </c>
      <c r="H134" s="78">
        <f t="shared" si="42"/>
        <v>0</v>
      </c>
      <c r="I134" s="78">
        <f t="shared" si="42"/>
        <v>0</v>
      </c>
      <c r="J134" s="78">
        <f t="shared" si="42"/>
        <v>0</v>
      </c>
      <c r="K134" s="78">
        <f t="shared" si="42"/>
        <v>0</v>
      </c>
      <c r="L134" s="78">
        <f t="shared" si="42"/>
        <v>0</v>
      </c>
      <c r="M134" s="78">
        <f t="shared" si="42"/>
        <v>0</v>
      </c>
      <c r="N134" s="78">
        <f t="shared" si="42"/>
        <v>0</v>
      </c>
      <c r="O134" s="78">
        <f t="shared" si="42"/>
        <v>0</v>
      </c>
      <c r="P134" s="78">
        <f t="shared" si="42"/>
        <v>0</v>
      </c>
      <c r="Q134" s="78">
        <f t="shared" si="42"/>
        <v>0</v>
      </c>
      <c r="R134" s="78">
        <f t="shared" si="42"/>
        <v>0</v>
      </c>
      <c r="S134" s="78">
        <f t="shared" si="42"/>
        <v>0</v>
      </c>
      <c r="T134" s="78">
        <f t="shared" si="42"/>
        <v>0</v>
      </c>
      <c r="U134" s="78">
        <f t="shared" si="42"/>
        <v>0</v>
      </c>
      <c r="V134" s="78">
        <f t="shared" si="42"/>
        <v>0</v>
      </c>
      <c r="W134" s="78">
        <f t="shared" si="42"/>
        <v>0</v>
      </c>
      <c r="X134" s="78">
        <f t="shared" si="42"/>
        <v>0</v>
      </c>
      <c r="Y134" s="78">
        <f t="shared" si="42"/>
        <v>0</v>
      </c>
      <c r="Z134" s="78">
        <f t="shared" si="42"/>
        <v>0</v>
      </c>
      <c r="AA134" s="78">
        <f t="shared" si="42"/>
        <v>0</v>
      </c>
      <c r="AB134" s="78">
        <f t="shared" si="42"/>
        <v>0</v>
      </c>
      <c r="AC134" s="78">
        <f t="shared" si="42"/>
        <v>0</v>
      </c>
      <c r="AD134" s="78">
        <f t="shared" si="42"/>
        <v>0</v>
      </c>
      <c r="AE134" s="78">
        <f t="shared" si="42"/>
        <v>0</v>
      </c>
      <c r="AF134" s="78">
        <f t="shared" si="42"/>
        <v>0</v>
      </c>
      <c r="AG134" s="78">
        <f t="shared" si="42"/>
        <v>0</v>
      </c>
      <c r="AH134" s="78">
        <f t="shared" si="42"/>
        <v>0</v>
      </c>
    </row>
    <row r="135" spans="2:34" x14ac:dyDescent="0.25">
      <c r="B135" s="114"/>
      <c r="C135" s="77" t="s">
        <v>149</v>
      </c>
      <c r="D135" s="78">
        <f>SUM(D131:D134)</f>
        <v>0</v>
      </c>
      <c r="E135" s="78">
        <f t="shared" ref="E135:AH135" si="43">SUM(E131:E134)</f>
        <v>0</v>
      </c>
      <c r="F135" s="78">
        <f t="shared" si="43"/>
        <v>0</v>
      </c>
      <c r="G135" s="78">
        <f t="shared" si="43"/>
        <v>0</v>
      </c>
      <c r="H135" s="78">
        <f t="shared" si="43"/>
        <v>0</v>
      </c>
      <c r="I135" s="78">
        <f t="shared" si="43"/>
        <v>0</v>
      </c>
      <c r="J135" s="78">
        <f t="shared" si="43"/>
        <v>0</v>
      </c>
      <c r="K135" s="78">
        <f t="shared" si="43"/>
        <v>0</v>
      </c>
      <c r="L135" s="78">
        <f t="shared" si="43"/>
        <v>0</v>
      </c>
      <c r="M135" s="78">
        <f t="shared" si="43"/>
        <v>0</v>
      </c>
      <c r="N135" s="78">
        <f t="shared" si="43"/>
        <v>0</v>
      </c>
      <c r="O135" s="78">
        <f t="shared" si="43"/>
        <v>0</v>
      </c>
      <c r="P135" s="78">
        <f t="shared" si="43"/>
        <v>0</v>
      </c>
      <c r="Q135" s="78">
        <f t="shared" si="43"/>
        <v>0</v>
      </c>
      <c r="R135" s="78">
        <f t="shared" si="43"/>
        <v>0</v>
      </c>
      <c r="S135" s="78">
        <f t="shared" si="43"/>
        <v>0</v>
      </c>
      <c r="T135" s="78">
        <f t="shared" si="43"/>
        <v>0</v>
      </c>
      <c r="U135" s="78">
        <f t="shared" si="43"/>
        <v>0</v>
      </c>
      <c r="V135" s="78">
        <f t="shared" si="43"/>
        <v>0</v>
      </c>
      <c r="W135" s="78">
        <f t="shared" si="43"/>
        <v>0</v>
      </c>
      <c r="X135" s="78">
        <f t="shared" si="43"/>
        <v>0</v>
      </c>
      <c r="Y135" s="78">
        <f t="shared" si="43"/>
        <v>0</v>
      </c>
      <c r="Z135" s="78">
        <f t="shared" si="43"/>
        <v>0</v>
      </c>
      <c r="AA135" s="78">
        <f t="shared" si="43"/>
        <v>0</v>
      </c>
      <c r="AB135" s="78">
        <f t="shared" si="43"/>
        <v>0</v>
      </c>
      <c r="AC135" s="78">
        <f t="shared" si="43"/>
        <v>0</v>
      </c>
      <c r="AD135" s="78">
        <f t="shared" si="43"/>
        <v>0</v>
      </c>
      <c r="AE135" s="78">
        <f t="shared" si="43"/>
        <v>0</v>
      </c>
      <c r="AF135" s="78">
        <f t="shared" si="43"/>
        <v>0</v>
      </c>
      <c r="AG135" s="78">
        <f t="shared" si="43"/>
        <v>0</v>
      </c>
      <c r="AH135" s="78">
        <f t="shared" si="43"/>
        <v>0</v>
      </c>
    </row>
    <row r="136" spans="2:34" x14ac:dyDescent="0.25">
      <c r="B136" s="112" t="s">
        <v>247</v>
      </c>
      <c r="C136" s="17" t="s">
        <v>144</v>
      </c>
      <c r="D136" s="78">
        <f t="shared" ref="D136:AH136" si="44">IFERROR(IF(D$86/$D50&gt;1,1,D$86/$D50),0)*$E50</f>
        <v>0</v>
      </c>
      <c r="E136" s="78">
        <f t="shared" si="44"/>
        <v>0</v>
      </c>
      <c r="F136" s="78">
        <f t="shared" si="44"/>
        <v>0</v>
      </c>
      <c r="G136" s="78">
        <f t="shared" si="44"/>
        <v>0</v>
      </c>
      <c r="H136" s="78">
        <f t="shared" si="44"/>
        <v>0</v>
      </c>
      <c r="I136" s="78">
        <f t="shared" si="44"/>
        <v>0</v>
      </c>
      <c r="J136" s="78">
        <f t="shared" si="44"/>
        <v>0</v>
      </c>
      <c r="K136" s="78">
        <f t="shared" si="44"/>
        <v>0</v>
      </c>
      <c r="L136" s="78">
        <f t="shared" si="44"/>
        <v>0</v>
      </c>
      <c r="M136" s="78">
        <f t="shared" si="44"/>
        <v>0</v>
      </c>
      <c r="N136" s="78">
        <f t="shared" si="44"/>
        <v>0</v>
      </c>
      <c r="O136" s="78">
        <f t="shared" si="44"/>
        <v>0</v>
      </c>
      <c r="P136" s="78">
        <f t="shared" si="44"/>
        <v>0</v>
      </c>
      <c r="Q136" s="78">
        <f t="shared" si="44"/>
        <v>0</v>
      </c>
      <c r="R136" s="78">
        <f t="shared" si="44"/>
        <v>0</v>
      </c>
      <c r="S136" s="78">
        <f t="shared" si="44"/>
        <v>0</v>
      </c>
      <c r="T136" s="78">
        <f t="shared" si="44"/>
        <v>0</v>
      </c>
      <c r="U136" s="78">
        <f t="shared" si="44"/>
        <v>0</v>
      </c>
      <c r="V136" s="78">
        <f t="shared" si="44"/>
        <v>0</v>
      </c>
      <c r="W136" s="78">
        <f t="shared" si="44"/>
        <v>0</v>
      </c>
      <c r="X136" s="78">
        <f t="shared" si="44"/>
        <v>0</v>
      </c>
      <c r="Y136" s="78">
        <f t="shared" si="44"/>
        <v>0</v>
      </c>
      <c r="Z136" s="78">
        <f t="shared" si="44"/>
        <v>0</v>
      </c>
      <c r="AA136" s="78">
        <f t="shared" si="44"/>
        <v>0</v>
      </c>
      <c r="AB136" s="78">
        <f t="shared" si="44"/>
        <v>0</v>
      </c>
      <c r="AC136" s="78">
        <f t="shared" si="44"/>
        <v>0</v>
      </c>
      <c r="AD136" s="78">
        <f t="shared" si="44"/>
        <v>0</v>
      </c>
      <c r="AE136" s="78">
        <f t="shared" si="44"/>
        <v>0</v>
      </c>
      <c r="AF136" s="78">
        <f t="shared" si="44"/>
        <v>0</v>
      </c>
      <c r="AG136" s="78">
        <f t="shared" si="44"/>
        <v>0</v>
      </c>
      <c r="AH136" s="78">
        <f t="shared" si="44"/>
        <v>0</v>
      </c>
    </row>
    <row r="137" spans="2:34" x14ac:dyDescent="0.25">
      <c r="B137" s="113"/>
      <c r="C137" s="17" t="s">
        <v>145</v>
      </c>
      <c r="D137" s="78">
        <f t="shared" ref="D137:AH137" si="45">IFERROR(IF(D$87/$D51&gt;1,1,D$87/$D51),0)*$E51</f>
        <v>0</v>
      </c>
      <c r="E137" s="78">
        <f t="shared" si="45"/>
        <v>0</v>
      </c>
      <c r="F137" s="78">
        <f t="shared" si="45"/>
        <v>0</v>
      </c>
      <c r="G137" s="78">
        <f t="shared" si="45"/>
        <v>0</v>
      </c>
      <c r="H137" s="78">
        <f t="shared" si="45"/>
        <v>0</v>
      </c>
      <c r="I137" s="78">
        <f t="shared" si="45"/>
        <v>0</v>
      </c>
      <c r="J137" s="78">
        <f t="shared" si="45"/>
        <v>0</v>
      </c>
      <c r="K137" s="78">
        <f t="shared" si="45"/>
        <v>0</v>
      </c>
      <c r="L137" s="78">
        <f t="shared" si="45"/>
        <v>0</v>
      </c>
      <c r="M137" s="78">
        <f t="shared" si="45"/>
        <v>0</v>
      </c>
      <c r="N137" s="78">
        <f t="shared" si="45"/>
        <v>0</v>
      </c>
      <c r="O137" s="78">
        <f t="shared" si="45"/>
        <v>0</v>
      </c>
      <c r="P137" s="78">
        <f t="shared" si="45"/>
        <v>0</v>
      </c>
      <c r="Q137" s="78">
        <f t="shared" si="45"/>
        <v>0</v>
      </c>
      <c r="R137" s="78">
        <f t="shared" si="45"/>
        <v>0</v>
      </c>
      <c r="S137" s="78">
        <f t="shared" si="45"/>
        <v>0</v>
      </c>
      <c r="T137" s="78">
        <f t="shared" si="45"/>
        <v>0</v>
      </c>
      <c r="U137" s="78">
        <f t="shared" si="45"/>
        <v>0</v>
      </c>
      <c r="V137" s="78">
        <f t="shared" si="45"/>
        <v>0</v>
      </c>
      <c r="W137" s="78">
        <f t="shared" si="45"/>
        <v>0</v>
      </c>
      <c r="X137" s="78">
        <f t="shared" si="45"/>
        <v>0</v>
      </c>
      <c r="Y137" s="78">
        <f t="shared" si="45"/>
        <v>0</v>
      </c>
      <c r="Z137" s="78">
        <f t="shared" si="45"/>
        <v>0</v>
      </c>
      <c r="AA137" s="78">
        <f t="shared" si="45"/>
        <v>0</v>
      </c>
      <c r="AB137" s="78">
        <f t="shared" si="45"/>
        <v>0</v>
      </c>
      <c r="AC137" s="78">
        <f t="shared" si="45"/>
        <v>0</v>
      </c>
      <c r="AD137" s="78">
        <f t="shared" si="45"/>
        <v>0</v>
      </c>
      <c r="AE137" s="78">
        <f t="shared" si="45"/>
        <v>0</v>
      </c>
      <c r="AF137" s="78">
        <f t="shared" si="45"/>
        <v>0</v>
      </c>
      <c r="AG137" s="78">
        <f t="shared" si="45"/>
        <v>0</v>
      </c>
      <c r="AH137" s="78">
        <f t="shared" si="45"/>
        <v>0</v>
      </c>
    </row>
    <row r="138" spans="2:34" x14ac:dyDescent="0.25">
      <c r="B138" s="113"/>
      <c r="C138" s="17" t="s">
        <v>244</v>
      </c>
      <c r="D138" s="78">
        <f t="shared" ref="D138:AH138" si="46">IFERROR(IF(D$88/$D52&gt;1,1,D$88/$D52),0)*$E52</f>
        <v>0</v>
      </c>
      <c r="E138" s="78">
        <f t="shared" si="46"/>
        <v>0</v>
      </c>
      <c r="F138" s="78">
        <f t="shared" si="46"/>
        <v>0</v>
      </c>
      <c r="G138" s="78">
        <f t="shared" si="46"/>
        <v>0</v>
      </c>
      <c r="H138" s="78">
        <f t="shared" si="46"/>
        <v>0</v>
      </c>
      <c r="I138" s="78">
        <f t="shared" si="46"/>
        <v>0</v>
      </c>
      <c r="J138" s="78">
        <f t="shared" si="46"/>
        <v>0</v>
      </c>
      <c r="K138" s="78">
        <f t="shared" si="46"/>
        <v>0</v>
      </c>
      <c r="L138" s="78">
        <f t="shared" si="46"/>
        <v>0</v>
      </c>
      <c r="M138" s="78">
        <f t="shared" si="46"/>
        <v>0</v>
      </c>
      <c r="N138" s="78">
        <f t="shared" si="46"/>
        <v>0</v>
      </c>
      <c r="O138" s="78">
        <f t="shared" si="46"/>
        <v>0</v>
      </c>
      <c r="P138" s="78">
        <f t="shared" si="46"/>
        <v>0</v>
      </c>
      <c r="Q138" s="78">
        <f t="shared" si="46"/>
        <v>0</v>
      </c>
      <c r="R138" s="78">
        <f t="shared" si="46"/>
        <v>0</v>
      </c>
      <c r="S138" s="78">
        <f t="shared" si="46"/>
        <v>0</v>
      </c>
      <c r="T138" s="78">
        <f t="shared" si="46"/>
        <v>0</v>
      </c>
      <c r="U138" s="78">
        <f t="shared" si="46"/>
        <v>0</v>
      </c>
      <c r="V138" s="78">
        <f t="shared" si="46"/>
        <v>0</v>
      </c>
      <c r="W138" s="78">
        <f t="shared" si="46"/>
        <v>0</v>
      </c>
      <c r="X138" s="78">
        <f t="shared" si="46"/>
        <v>0</v>
      </c>
      <c r="Y138" s="78">
        <f t="shared" si="46"/>
        <v>0</v>
      </c>
      <c r="Z138" s="78">
        <f t="shared" si="46"/>
        <v>0</v>
      </c>
      <c r="AA138" s="78">
        <f t="shared" si="46"/>
        <v>0</v>
      </c>
      <c r="AB138" s="78">
        <f t="shared" si="46"/>
        <v>0</v>
      </c>
      <c r="AC138" s="78">
        <f t="shared" si="46"/>
        <v>0</v>
      </c>
      <c r="AD138" s="78">
        <f t="shared" si="46"/>
        <v>0</v>
      </c>
      <c r="AE138" s="78">
        <f t="shared" si="46"/>
        <v>0</v>
      </c>
      <c r="AF138" s="78">
        <f t="shared" si="46"/>
        <v>0</v>
      </c>
      <c r="AG138" s="78">
        <f t="shared" si="46"/>
        <v>0</v>
      </c>
      <c r="AH138" s="78">
        <f t="shared" si="46"/>
        <v>0</v>
      </c>
    </row>
    <row r="139" spans="2:34" x14ac:dyDescent="0.25">
      <c r="B139" s="113"/>
      <c r="C139" s="17" t="s">
        <v>245</v>
      </c>
      <c r="D139" s="78">
        <f t="shared" ref="D139:AH139" si="47">IFERROR(IF(D$89/$D53&gt;1,1,D$89/$D53),0)*$E53</f>
        <v>0</v>
      </c>
      <c r="E139" s="78">
        <f t="shared" si="47"/>
        <v>0</v>
      </c>
      <c r="F139" s="78">
        <f t="shared" si="47"/>
        <v>0</v>
      </c>
      <c r="G139" s="78">
        <f t="shared" si="47"/>
        <v>0</v>
      </c>
      <c r="H139" s="78">
        <f t="shared" si="47"/>
        <v>0</v>
      </c>
      <c r="I139" s="78">
        <f t="shared" si="47"/>
        <v>0</v>
      </c>
      <c r="J139" s="78">
        <f t="shared" si="47"/>
        <v>0</v>
      </c>
      <c r="K139" s="78">
        <f t="shared" si="47"/>
        <v>0</v>
      </c>
      <c r="L139" s="78">
        <f t="shared" si="47"/>
        <v>0</v>
      </c>
      <c r="M139" s="78">
        <f t="shared" si="47"/>
        <v>0</v>
      </c>
      <c r="N139" s="78">
        <f t="shared" si="47"/>
        <v>0</v>
      </c>
      <c r="O139" s="78">
        <f t="shared" si="47"/>
        <v>0</v>
      </c>
      <c r="P139" s="78">
        <f t="shared" si="47"/>
        <v>0</v>
      </c>
      <c r="Q139" s="78">
        <f t="shared" si="47"/>
        <v>0</v>
      </c>
      <c r="R139" s="78">
        <f t="shared" si="47"/>
        <v>0</v>
      </c>
      <c r="S139" s="78">
        <f t="shared" si="47"/>
        <v>0</v>
      </c>
      <c r="T139" s="78">
        <f t="shared" si="47"/>
        <v>0</v>
      </c>
      <c r="U139" s="78">
        <f t="shared" si="47"/>
        <v>0</v>
      </c>
      <c r="V139" s="78">
        <f t="shared" si="47"/>
        <v>0</v>
      </c>
      <c r="W139" s="78">
        <f t="shared" si="47"/>
        <v>0</v>
      </c>
      <c r="X139" s="78">
        <f t="shared" si="47"/>
        <v>0</v>
      </c>
      <c r="Y139" s="78">
        <f t="shared" si="47"/>
        <v>0</v>
      </c>
      <c r="Z139" s="78">
        <f t="shared" si="47"/>
        <v>0</v>
      </c>
      <c r="AA139" s="78">
        <f t="shared" si="47"/>
        <v>0</v>
      </c>
      <c r="AB139" s="78">
        <f t="shared" si="47"/>
        <v>0</v>
      </c>
      <c r="AC139" s="78">
        <f t="shared" si="47"/>
        <v>0</v>
      </c>
      <c r="AD139" s="78">
        <f t="shared" si="47"/>
        <v>0</v>
      </c>
      <c r="AE139" s="78">
        <f t="shared" si="47"/>
        <v>0</v>
      </c>
      <c r="AF139" s="78">
        <f t="shared" si="47"/>
        <v>0</v>
      </c>
      <c r="AG139" s="78">
        <f t="shared" si="47"/>
        <v>0</v>
      </c>
      <c r="AH139" s="78">
        <f t="shared" si="47"/>
        <v>0</v>
      </c>
    </row>
    <row r="140" spans="2:34" x14ac:dyDescent="0.25">
      <c r="B140" s="114"/>
      <c r="C140" s="77" t="s">
        <v>149</v>
      </c>
      <c r="D140" s="78">
        <f>SUM(D136:D139)</f>
        <v>0</v>
      </c>
      <c r="E140" s="78">
        <f t="shared" ref="E140:AH140" si="48">SUM(E136:E139)</f>
        <v>0</v>
      </c>
      <c r="F140" s="78">
        <f t="shared" si="48"/>
        <v>0</v>
      </c>
      <c r="G140" s="78">
        <f t="shared" si="48"/>
        <v>0</v>
      </c>
      <c r="H140" s="78">
        <f t="shared" si="48"/>
        <v>0</v>
      </c>
      <c r="I140" s="78">
        <f t="shared" si="48"/>
        <v>0</v>
      </c>
      <c r="J140" s="78">
        <f t="shared" si="48"/>
        <v>0</v>
      </c>
      <c r="K140" s="78">
        <f t="shared" si="48"/>
        <v>0</v>
      </c>
      <c r="L140" s="78">
        <f t="shared" si="48"/>
        <v>0</v>
      </c>
      <c r="M140" s="78">
        <f t="shared" si="48"/>
        <v>0</v>
      </c>
      <c r="N140" s="78">
        <f t="shared" si="48"/>
        <v>0</v>
      </c>
      <c r="O140" s="78">
        <f t="shared" si="48"/>
        <v>0</v>
      </c>
      <c r="P140" s="78">
        <f t="shared" si="48"/>
        <v>0</v>
      </c>
      <c r="Q140" s="78">
        <f t="shared" si="48"/>
        <v>0</v>
      </c>
      <c r="R140" s="78">
        <f t="shared" si="48"/>
        <v>0</v>
      </c>
      <c r="S140" s="78">
        <f t="shared" si="48"/>
        <v>0</v>
      </c>
      <c r="T140" s="78">
        <f t="shared" si="48"/>
        <v>0</v>
      </c>
      <c r="U140" s="78">
        <f t="shared" si="48"/>
        <v>0</v>
      </c>
      <c r="V140" s="78">
        <f t="shared" si="48"/>
        <v>0</v>
      </c>
      <c r="W140" s="78">
        <f t="shared" si="48"/>
        <v>0</v>
      </c>
      <c r="X140" s="78">
        <f t="shared" si="48"/>
        <v>0</v>
      </c>
      <c r="Y140" s="78">
        <f t="shared" si="48"/>
        <v>0</v>
      </c>
      <c r="Z140" s="78">
        <f t="shared" si="48"/>
        <v>0</v>
      </c>
      <c r="AA140" s="78">
        <f t="shared" si="48"/>
        <v>0</v>
      </c>
      <c r="AB140" s="78">
        <f t="shared" si="48"/>
        <v>0</v>
      </c>
      <c r="AC140" s="78">
        <f t="shared" si="48"/>
        <v>0</v>
      </c>
      <c r="AD140" s="78">
        <f t="shared" si="48"/>
        <v>0</v>
      </c>
      <c r="AE140" s="78">
        <f t="shared" si="48"/>
        <v>0</v>
      </c>
      <c r="AF140" s="78">
        <f t="shared" si="48"/>
        <v>0</v>
      </c>
      <c r="AG140" s="78">
        <f t="shared" si="48"/>
        <v>0</v>
      </c>
      <c r="AH140" s="78">
        <f t="shared" si="48"/>
        <v>0</v>
      </c>
    </row>
    <row r="141" spans="2:34" x14ac:dyDescent="0.25">
      <c r="B141" s="74">
        <v>2</v>
      </c>
      <c r="C141" s="77" t="s">
        <v>149</v>
      </c>
      <c r="D141" s="78">
        <f t="shared" ref="D141:AH141" si="49">IFERROR(IF(D$90/$D54&gt;1,1,D$90/$D54),0)*$E54</f>
        <v>0</v>
      </c>
      <c r="E141" s="78">
        <f t="shared" si="49"/>
        <v>0</v>
      </c>
      <c r="F141" s="78">
        <f t="shared" si="49"/>
        <v>0</v>
      </c>
      <c r="G141" s="78">
        <f t="shared" si="49"/>
        <v>0</v>
      </c>
      <c r="H141" s="78">
        <f t="shared" si="49"/>
        <v>0</v>
      </c>
      <c r="I141" s="78">
        <f t="shared" si="49"/>
        <v>0</v>
      </c>
      <c r="J141" s="78">
        <f t="shared" si="49"/>
        <v>0</v>
      </c>
      <c r="K141" s="78">
        <f t="shared" si="49"/>
        <v>0</v>
      </c>
      <c r="L141" s="78">
        <f t="shared" si="49"/>
        <v>0</v>
      </c>
      <c r="M141" s="78">
        <f t="shared" si="49"/>
        <v>0</v>
      </c>
      <c r="N141" s="78">
        <f t="shared" si="49"/>
        <v>0</v>
      </c>
      <c r="O141" s="78">
        <f t="shared" si="49"/>
        <v>0</v>
      </c>
      <c r="P141" s="78">
        <f t="shared" si="49"/>
        <v>0</v>
      </c>
      <c r="Q141" s="78">
        <f t="shared" si="49"/>
        <v>0</v>
      </c>
      <c r="R141" s="78">
        <f t="shared" si="49"/>
        <v>0</v>
      </c>
      <c r="S141" s="78">
        <f t="shared" si="49"/>
        <v>0</v>
      </c>
      <c r="T141" s="78">
        <f t="shared" si="49"/>
        <v>0</v>
      </c>
      <c r="U141" s="78">
        <f t="shared" si="49"/>
        <v>0</v>
      </c>
      <c r="V141" s="78">
        <f t="shared" si="49"/>
        <v>0</v>
      </c>
      <c r="W141" s="78">
        <f t="shared" si="49"/>
        <v>0</v>
      </c>
      <c r="X141" s="78">
        <f t="shared" si="49"/>
        <v>0</v>
      </c>
      <c r="Y141" s="78">
        <f t="shared" si="49"/>
        <v>0</v>
      </c>
      <c r="Z141" s="78">
        <f t="shared" si="49"/>
        <v>0</v>
      </c>
      <c r="AA141" s="78">
        <f t="shared" si="49"/>
        <v>0</v>
      </c>
      <c r="AB141" s="78">
        <f t="shared" si="49"/>
        <v>0</v>
      </c>
      <c r="AC141" s="78">
        <f t="shared" si="49"/>
        <v>0</v>
      </c>
      <c r="AD141" s="78">
        <f t="shared" si="49"/>
        <v>0</v>
      </c>
      <c r="AE141" s="78">
        <f t="shared" si="49"/>
        <v>0</v>
      </c>
      <c r="AF141" s="78">
        <f t="shared" si="49"/>
        <v>0</v>
      </c>
      <c r="AG141" s="78">
        <f t="shared" si="49"/>
        <v>0</v>
      </c>
      <c r="AH141" s="78">
        <f t="shared" si="49"/>
        <v>0</v>
      </c>
    </row>
    <row r="142" spans="2:34" x14ac:dyDescent="0.25">
      <c r="B142" s="74">
        <v>6</v>
      </c>
      <c r="C142" s="77" t="s">
        <v>149</v>
      </c>
      <c r="D142" s="78">
        <f t="shared" ref="D142:AH142" si="50">IFERROR(IF(D$90/$D55&gt;1,1,D$90/$D55),0)*$E55</f>
        <v>0</v>
      </c>
      <c r="E142" s="78">
        <f t="shared" si="50"/>
        <v>0</v>
      </c>
      <c r="F142" s="78">
        <f t="shared" si="50"/>
        <v>0</v>
      </c>
      <c r="G142" s="78">
        <f t="shared" si="50"/>
        <v>0</v>
      </c>
      <c r="H142" s="78">
        <f t="shared" si="50"/>
        <v>0</v>
      </c>
      <c r="I142" s="78">
        <f t="shared" si="50"/>
        <v>0</v>
      </c>
      <c r="J142" s="78">
        <f t="shared" si="50"/>
        <v>0</v>
      </c>
      <c r="K142" s="78">
        <f t="shared" si="50"/>
        <v>0</v>
      </c>
      <c r="L142" s="78">
        <f t="shared" si="50"/>
        <v>0</v>
      </c>
      <c r="M142" s="78">
        <f t="shared" si="50"/>
        <v>0</v>
      </c>
      <c r="N142" s="78">
        <f t="shared" si="50"/>
        <v>0</v>
      </c>
      <c r="O142" s="78">
        <f t="shared" si="50"/>
        <v>0</v>
      </c>
      <c r="P142" s="78">
        <f t="shared" si="50"/>
        <v>0</v>
      </c>
      <c r="Q142" s="78">
        <f t="shared" si="50"/>
        <v>0</v>
      </c>
      <c r="R142" s="78">
        <f t="shared" si="50"/>
        <v>0</v>
      </c>
      <c r="S142" s="78">
        <f t="shared" si="50"/>
        <v>0</v>
      </c>
      <c r="T142" s="78">
        <f t="shared" si="50"/>
        <v>0</v>
      </c>
      <c r="U142" s="78">
        <f t="shared" si="50"/>
        <v>0</v>
      </c>
      <c r="V142" s="78">
        <f t="shared" si="50"/>
        <v>0</v>
      </c>
      <c r="W142" s="78">
        <f t="shared" si="50"/>
        <v>0</v>
      </c>
      <c r="X142" s="78">
        <f t="shared" si="50"/>
        <v>0</v>
      </c>
      <c r="Y142" s="78">
        <f t="shared" si="50"/>
        <v>0</v>
      </c>
      <c r="Z142" s="78">
        <f t="shared" si="50"/>
        <v>0</v>
      </c>
      <c r="AA142" s="78">
        <f t="shared" si="50"/>
        <v>0</v>
      </c>
      <c r="AB142" s="78">
        <f t="shared" si="50"/>
        <v>0</v>
      </c>
      <c r="AC142" s="78">
        <f t="shared" si="50"/>
        <v>0</v>
      </c>
      <c r="AD142" s="78">
        <f t="shared" si="50"/>
        <v>0</v>
      </c>
      <c r="AE142" s="78">
        <f t="shared" si="50"/>
        <v>0</v>
      </c>
      <c r="AF142" s="78">
        <f t="shared" si="50"/>
        <v>0</v>
      </c>
      <c r="AG142" s="78">
        <f t="shared" si="50"/>
        <v>0</v>
      </c>
      <c r="AH142" s="78">
        <f t="shared" si="50"/>
        <v>0</v>
      </c>
    </row>
    <row r="143" spans="2:34" x14ac:dyDescent="0.25">
      <c r="B143" s="74" t="s">
        <v>248</v>
      </c>
      <c r="C143" s="77" t="s">
        <v>149</v>
      </c>
      <c r="D143" s="78">
        <f t="shared" ref="D143:AH143" si="51">IFERROR(IF(D$90/$D56&gt;1,1,D$90/$D56),0)*$E56</f>
        <v>0</v>
      </c>
      <c r="E143" s="78">
        <f t="shared" si="51"/>
        <v>0</v>
      </c>
      <c r="F143" s="78">
        <f t="shared" si="51"/>
        <v>0</v>
      </c>
      <c r="G143" s="78">
        <f t="shared" si="51"/>
        <v>0</v>
      </c>
      <c r="H143" s="78">
        <f t="shared" si="51"/>
        <v>0</v>
      </c>
      <c r="I143" s="78">
        <f t="shared" si="51"/>
        <v>0</v>
      </c>
      <c r="J143" s="78">
        <f t="shared" si="51"/>
        <v>0</v>
      </c>
      <c r="K143" s="78">
        <f t="shared" si="51"/>
        <v>0</v>
      </c>
      <c r="L143" s="78">
        <f t="shared" si="51"/>
        <v>0</v>
      </c>
      <c r="M143" s="78">
        <f t="shared" si="51"/>
        <v>0</v>
      </c>
      <c r="N143" s="78">
        <f t="shared" si="51"/>
        <v>0</v>
      </c>
      <c r="O143" s="78">
        <f t="shared" si="51"/>
        <v>0</v>
      </c>
      <c r="P143" s="78">
        <f t="shared" si="51"/>
        <v>0</v>
      </c>
      <c r="Q143" s="78">
        <f t="shared" si="51"/>
        <v>0</v>
      </c>
      <c r="R143" s="78">
        <f t="shared" si="51"/>
        <v>0</v>
      </c>
      <c r="S143" s="78">
        <f t="shared" si="51"/>
        <v>0</v>
      </c>
      <c r="T143" s="78">
        <f t="shared" si="51"/>
        <v>0</v>
      </c>
      <c r="U143" s="78">
        <f t="shared" si="51"/>
        <v>0</v>
      </c>
      <c r="V143" s="78">
        <f t="shared" si="51"/>
        <v>0</v>
      </c>
      <c r="W143" s="78">
        <f t="shared" si="51"/>
        <v>0</v>
      </c>
      <c r="X143" s="78">
        <f t="shared" si="51"/>
        <v>0</v>
      </c>
      <c r="Y143" s="78">
        <f t="shared" si="51"/>
        <v>0</v>
      </c>
      <c r="Z143" s="78">
        <f t="shared" si="51"/>
        <v>0</v>
      </c>
      <c r="AA143" s="78">
        <f t="shared" si="51"/>
        <v>0</v>
      </c>
      <c r="AB143" s="78">
        <f t="shared" si="51"/>
        <v>0</v>
      </c>
      <c r="AC143" s="78">
        <f t="shared" si="51"/>
        <v>0</v>
      </c>
      <c r="AD143" s="78">
        <f t="shared" si="51"/>
        <v>0</v>
      </c>
      <c r="AE143" s="78">
        <f t="shared" si="51"/>
        <v>0</v>
      </c>
      <c r="AF143" s="78">
        <f t="shared" si="51"/>
        <v>0</v>
      </c>
      <c r="AG143" s="78">
        <f t="shared" si="51"/>
        <v>0</v>
      </c>
      <c r="AH143" s="78">
        <f t="shared" si="51"/>
        <v>0</v>
      </c>
    </row>
    <row r="144" spans="2:34" x14ac:dyDescent="0.25">
      <c r="B144" s="74" t="s">
        <v>249</v>
      </c>
      <c r="C144" s="77" t="s">
        <v>149</v>
      </c>
      <c r="D144" s="78">
        <f t="shared" ref="D144:AH144" si="52">IFERROR(IF(D$90/$D57&gt;1,1,D$90/$D57),0)*$E57</f>
        <v>10021086.816933962</v>
      </c>
      <c r="E144" s="78">
        <f t="shared" si="52"/>
        <v>10021086.816933962</v>
      </c>
      <c r="F144" s="78">
        <f t="shared" si="52"/>
        <v>10021086.816933962</v>
      </c>
      <c r="G144" s="78">
        <f t="shared" si="52"/>
        <v>11839288.193349056</v>
      </c>
      <c r="H144" s="78">
        <f t="shared" si="52"/>
        <v>11839288.193349056</v>
      </c>
      <c r="I144" s="78">
        <f t="shared" si="52"/>
        <v>12608527.237216981</v>
      </c>
      <c r="J144" s="78">
        <f t="shared" si="52"/>
        <v>12608527.237216981</v>
      </c>
      <c r="K144" s="78">
        <f t="shared" si="52"/>
        <v>12608527.237216981</v>
      </c>
      <c r="L144" s="78">
        <f t="shared" si="52"/>
        <v>12608527.237216981</v>
      </c>
      <c r="M144" s="78">
        <f t="shared" si="52"/>
        <v>12608527.237216981</v>
      </c>
      <c r="N144" s="78">
        <f t="shared" si="52"/>
        <v>12608527.237216981</v>
      </c>
      <c r="O144" s="78">
        <f t="shared" si="52"/>
        <v>12608527.237216981</v>
      </c>
      <c r="P144" s="78">
        <f t="shared" si="52"/>
        <v>12608527.237216981</v>
      </c>
      <c r="Q144" s="78">
        <f t="shared" si="52"/>
        <v>12608527.237216981</v>
      </c>
      <c r="R144" s="78">
        <f t="shared" si="52"/>
        <v>12608527.237216981</v>
      </c>
      <c r="S144" s="78">
        <f t="shared" si="52"/>
        <v>14119366</v>
      </c>
      <c r="T144" s="78">
        <f t="shared" si="52"/>
        <v>14119366</v>
      </c>
      <c r="U144" s="78">
        <f t="shared" si="52"/>
        <v>14119366</v>
      </c>
      <c r="V144" s="78">
        <f t="shared" si="52"/>
        <v>14119366</v>
      </c>
      <c r="W144" s="78">
        <f t="shared" si="52"/>
        <v>14119366</v>
      </c>
      <c r="X144" s="78">
        <f t="shared" si="52"/>
        <v>14119366</v>
      </c>
      <c r="Y144" s="78">
        <f t="shared" si="52"/>
        <v>14119366</v>
      </c>
      <c r="Z144" s="78">
        <f t="shared" si="52"/>
        <v>14119366</v>
      </c>
      <c r="AA144" s="78">
        <f t="shared" si="52"/>
        <v>14119366</v>
      </c>
      <c r="AB144" s="78">
        <f t="shared" si="52"/>
        <v>14119366</v>
      </c>
      <c r="AC144" s="78">
        <f t="shared" si="52"/>
        <v>14119366</v>
      </c>
      <c r="AD144" s="78">
        <f t="shared" si="52"/>
        <v>14119366</v>
      </c>
      <c r="AE144" s="78">
        <f t="shared" si="52"/>
        <v>14119366</v>
      </c>
      <c r="AF144" s="78">
        <f t="shared" si="52"/>
        <v>14119366</v>
      </c>
      <c r="AG144" s="78">
        <f t="shared" si="52"/>
        <v>14119366</v>
      </c>
      <c r="AH144" s="78">
        <f t="shared" si="52"/>
        <v>14119366</v>
      </c>
    </row>
    <row r="145" spans="2:34" x14ac:dyDescent="0.25">
      <c r="B145" s="85" t="s">
        <v>250</v>
      </c>
      <c r="C145" s="77" t="s">
        <v>149</v>
      </c>
      <c r="D145" s="78">
        <f t="shared" ref="D145:AH145" si="53">IFERROR(IF(D$90/$D58&gt;1,1,D$90/$D58),0)*$E58</f>
        <v>0</v>
      </c>
      <c r="E145" s="78">
        <f t="shared" si="53"/>
        <v>0</v>
      </c>
      <c r="F145" s="78">
        <f t="shared" si="53"/>
        <v>0</v>
      </c>
      <c r="G145" s="78">
        <f t="shared" si="53"/>
        <v>0</v>
      </c>
      <c r="H145" s="78">
        <f t="shared" si="53"/>
        <v>0</v>
      </c>
      <c r="I145" s="78">
        <f t="shared" si="53"/>
        <v>0</v>
      </c>
      <c r="J145" s="78">
        <f t="shared" si="53"/>
        <v>0</v>
      </c>
      <c r="K145" s="78">
        <f t="shared" si="53"/>
        <v>0</v>
      </c>
      <c r="L145" s="78">
        <f t="shared" si="53"/>
        <v>0</v>
      </c>
      <c r="M145" s="78">
        <f t="shared" si="53"/>
        <v>0</v>
      </c>
      <c r="N145" s="78">
        <f t="shared" si="53"/>
        <v>0</v>
      </c>
      <c r="O145" s="78">
        <f t="shared" si="53"/>
        <v>0</v>
      </c>
      <c r="P145" s="78">
        <f t="shared" si="53"/>
        <v>0</v>
      </c>
      <c r="Q145" s="78">
        <f t="shared" si="53"/>
        <v>0</v>
      </c>
      <c r="R145" s="78">
        <f t="shared" si="53"/>
        <v>0</v>
      </c>
      <c r="S145" s="78">
        <f t="shared" si="53"/>
        <v>0</v>
      </c>
      <c r="T145" s="78">
        <f t="shared" si="53"/>
        <v>0</v>
      </c>
      <c r="U145" s="78">
        <f t="shared" si="53"/>
        <v>0</v>
      </c>
      <c r="V145" s="78">
        <f t="shared" si="53"/>
        <v>0</v>
      </c>
      <c r="W145" s="78">
        <f t="shared" si="53"/>
        <v>0</v>
      </c>
      <c r="X145" s="78">
        <f t="shared" si="53"/>
        <v>0</v>
      </c>
      <c r="Y145" s="78">
        <f t="shared" si="53"/>
        <v>0</v>
      </c>
      <c r="Z145" s="78">
        <f t="shared" si="53"/>
        <v>0</v>
      </c>
      <c r="AA145" s="78">
        <f t="shared" si="53"/>
        <v>0</v>
      </c>
      <c r="AB145" s="78">
        <f t="shared" si="53"/>
        <v>0</v>
      </c>
      <c r="AC145" s="78">
        <f t="shared" si="53"/>
        <v>0</v>
      </c>
      <c r="AD145" s="78">
        <f t="shared" si="53"/>
        <v>0</v>
      </c>
      <c r="AE145" s="78">
        <f t="shared" si="53"/>
        <v>0</v>
      </c>
      <c r="AF145" s="78">
        <f t="shared" si="53"/>
        <v>0</v>
      </c>
      <c r="AG145" s="78">
        <f t="shared" si="53"/>
        <v>0</v>
      </c>
      <c r="AH145" s="78">
        <f t="shared" si="53"/>
        <v>0</v>
      </c>
    </row>
    <row r="146" spans="2:34" x14ac:dyDescent="0.25">
      <c r="B146" s="74" t="s">
        <v>251</v>
      </c>
      <c r="C146" s="77" t="s">
        <v>149</v>
      </c>
      <c r="D146" s="78">
        <f t="shared" ref="D146:AH146" si="54">IFERROR(IF(D$90/$D59&gt;1,1,D$90/$D59),0)*$E59</f>
        <v>0</v>
      </c>
      <c r="E146" s="78">
        <f t="shared" si="54"/>
        <v>0</v>
      </c>
      <c r="F146" s="78">
        <f t="shared" si="54"/>
        <v>0</v>
      </c>
      <c r="G146" s="78">
        <f t="shared" si="54"/>
        <v>0</v>
      </c>
      <c r="H146" s="78">
        <f t="shared" si="54"/>
        <v>0</v>
      </c>
      <c r="I146" s="78">
        <f t="shared" si="54"/>
        <v>0</v>
      </c>
      <c r="J146" s="78">
        <f t="shared" si="54"/>
        <v>0</v>
      </c>
      <c r="K146" s="78">
        <f t="shared" si="54"/>
        <v>0</v>
      </c>
      <c r="L146" s="78">
        <f t="shared" si="54"/>
        <v>0</v>
      </c>
      <c r="M146" s="78">
        <f t="shared" si="54"/>
        <v>0</v>
      </c>
      <c r="N146" s="78">
        <f t="shared" si="54"/>
        <v>0</v>
      </c>
      <c r="O146" s="78">
        <f t="shared" si="54"/>
        <v>0</v>
      </c>
      <c r="P146" s="78">
        <f t="shared" si="54"/>
        <v>0</v>
      </c>
      <c r="Q146" s="78">
        <f t="shared" si="54"/>
        <v>0</v>
      </c>
      <c r="R146" s="78">
        <f t="shared" si="54"/>
        <v>0</v>
      </c>
      <c r="S146" s="78">
        <f t="shared" si="54"/>
        <v>0</v>
      </c>
      <c r="T146" s="78">
        <f t="shared" si="54"/>
        <v>0</v>
      </c>
      <c r="U146" s="78">
        <f t="shared" si="54"/>
        <v>0</v>
      </c>
      <c r="V146" s="78">
        <f t="shared" si="54"/>
        <v>0</v>
      </c>
      <c r="W146" s="78">
        <f t="shared" si="54"/>
        <v>0</v>
      </c>
      <c r="X146" s="78">
        <f t="shared" si="54"/>
        <v>0</v>
      </c>
      <c r="Y146" s="78">
        <f t="shared" si="54"/>
        <v>0</v>
      </c>
      <c r="Z146" s="78">
        <f t="shared" si="54"/>
        <v>0</v>
      </c>
      <c r="AA146" s="78">
        <f t="shared" si="54"/>
        <v>0</v>
      </c>
      <c r="AB146" s="78">
        <f t="shared" si="54"/>
        <v>0</v>
      </c>
      <c r="AC146" s="78">
        <f t="shared" si="54"/>
        <v>0</v>
      </c>
      <c r="AD146" s="78">
        <f t="shared" si="54"/>
        <v>0</v>
      </c>
      <c r="AE146" s="78">
        <f t="shared" si="54"/>
        <v>0</v>
      </c>
      <c r="AF146" s="78">
        <f t="shared" si="54"/>
        <v>0</v>
      </c>
      <c r="AG146" s="78">
        <f t="shared" si="54"/>
        <v>0</v>
      </c>
      <c r="AH146" s="78">
        <f t="shared" si="54"/>
        <v>0</v>
      </c>
    </row>
    <row r="147" spans="2:34" x14ac:dyDescent="0.25">
      <c r="B147" s="74" t="s">
        <v>252</v>
      </c>
      <c r="C147" s="77" t="s">
        <v>149</v>
      </c>
      <c r="D147" s="78">
        <f t="shared" ref="D147:AH147" si="55">IFERROR(IF(D$90/$D60&gt;1,1,D$90/$D60),0)*$E60</f>
        <v>0</v>
      </c>
      <c r="E147" s="78">
        <f t="shared" si="55"/>
        <v>0</v>
      </c>
      <c r="F147" s="78">
        <f t="shared" si="55"/>
        <v>0</v>
      </c>
      <c r="G147" s="78">
        <f t="shared" si="55"/>
        <v>0</v>
      </c>
      <c r="H147" s="78">
        <f t="shared" si="55"/>
        <v>0</v>
      </c>
      <c r="I147" s="78">
        <f t="shared" si="55"/>
        <v>0</v>
      </c>
      <c r="J147" s="78">
        <f t="shared" si="55"/>
        <v>0</v>
      </c>
      <c r="K147" s="78">
        <f t="shared" si="55"/>
        <v>0</v>
      </c>
      <c r="L147" s="78">
        <f t="shared" si="55"/>
        <v>0</v>
      </c>
      <c r="M147" s="78">
        <f t="shared" si="55"/>
        <v>0</v>
      </c>
      <c r="N147" s="78">
        <f t="shared" si="55"/>
        <v>0</v>
      </c>
      <c r="O147" s="78">
        <f t="shared" si="55"/>
        <v>0</v>
      </c>
      <c r="P147" s="78">
        <f t="shared" si="55"/>
        <v>0</v>
      </c>
      <c r="Q147" s="78">
        <f t="shared" si="55"/>
        <v>0</v>
      </c>
      <c r="R147" s="78">
        <f t="shared" si="55"/>
        <v>0</v>
      </c>
      <c r="S147" s="78">
        <f t="shared" si="55"/>
        <v>0</v>
      </c>
      <c r="T147" s="78">
        <f t="shared" si="55"/>
        <v>0</v>
      </c>
      <c r="U147" s="78">
        <f t="shared" si="55"/>
        <v>0</v>
      </c>
      <c r="V147" s="78">
        <f t="shared" si="55"/>
        <v>0</v>
      </c>
      <c r="W147" s="78">
        <f t="shared" si="55"/>
        <v>0</v>
      </c>
      <c r="X147" s="78">
        <f t="shared" si="55"/>
        <v>0</v>
      </c>
      <c r="Y147" s="78">
        <f t="shared" si="55"/>
        <v>0</v>
      </c>
      <c r="Z147" s="78">
        <f t="shared" si="55"/>
        <v>0</v>
      </c>
      <c r="AA147" s="78">
        <f t="shared" si="55"/>
        <v>0</v>
      </c>
      <c r="AB147" s="78">
        <f t="shared" si="55"/>
        <v>0</v>
      </c>
      <c r="AC147" s="78">
        <f t="shared" si="55"/>
        <v>0</v>
      </c>
      <c r="AD147" s="78">
        <f t="shared" si="55"/>
        <v>0</v>
      </c>
      <c r="AE147" s="78">
        <f t="shared" si="55"/>
        <v>0</v>
      </c>
      <c r="AF147" s="78">
        <f t="shared" si="55"/>
        <v>0</v>
      </c>
      <c r="AG147" s="78">
        <f t="shared" si="55"/>
        <v>0</v>
      </c>
      <c r="AH147" s="78">
        <f t="shared" si="55"/>
        <v>0</v>
      </c>
    </row>
    <row r="148" spans="2:34" x14ac:dyDescent="0.25">
      <c r="B148" s="74" t="s">
        <v>253</v>
      </c>
      <c r="C148" s="77" t="s">
        <v>149</v>
      </c>
      <c r="D148" s="78">
        <f t="shared" ref="D148:AH148" si="56">IFERROR(IF(D$90/$D61&gt;1,1,D$90/$D61),0)*$E61</f>
        <v>0</v>
      </c>
      <c r="E148" s="78">
        <f t="shared" si="56"/>
        <v>0</v>
      </c>
      <c r="F148" s="78">
        <f t="shared" si="56"/>
        <v>0</v>
      </c>
      <c r="G148" s="78">
        <f t="shared" si="56"/>
        <v>0</v>
      </c>
      <c r="H148" s="78">
        <f t="shared" si="56"/>
        <v>0</v>
      </c>
      <c r="I148" s="78">
        <f t="shared" si="56"/>
        <v>0</v>
      </c>
      <c r="J148" s="78">
        <f t="shared" si="56"/>
        <v>0</v>
      </c>
      <c r="K148" s="78">
        <f t="shared" si="56"/>
        <v>0</v>
      </c>
      <c r="L148" s="78">
        <f t="shared" si="56"/>
        <v>0</v>
      </c>
      <c r="M148" s="78">
        <f t="shared" si="56"/>
        <v>0</v>
      </c>
      <c r="N148" s="78">
        <f t="shared" si="56"/>
        <v>0</v>
      </c>
      <c r="O148" s="78">
        <f t="shared" si="56"/>
        <v>0</v>
      </c>
      <c r="P148" s="78">
        <f t="shared" si="56"/>
        <v>0</v>
      </c>
      <c r="Q148" s="78">
        <f t="shared" si="56"/>
        <v>0</v>
      </c>
      <c r="R148" s="78">
        <f t="shared" si="56"/>
        <v>0</v>
      </c>
      <c r="S148" s="78">
        <f t="shared" si="56"/>
        <v>0</v>
      </c>
      <c r="T148" s="78">
        <f t="shared" si="56"/>
        <v>0</v>
      </c>
      <c r="U148" s="78">
        <f t="shared" si="56"/>
        <v>0</v>
      </c>
      <c r="V148" s="78">
        <f t="shared" si="56"/>
        <v>0</v>
      </c>
      <c r="W148" s="78">
        <f t="shared" si="56"/>
        <v>0</v>
      </c>
      <c r="X148" s="78">
        <f t="shared" si="56"/>
        <v>0</v>
      </c>
      <c r="Y148" s="78">
        <f t="shared" si="56"/>
        <v>0</v>
      </c>
      <c r="Z148" s="78">
        <f t="shared" si="56"/>
        <v>0</v>
      </c>
      <c r="AA148" s="78">
        <f t="shared" si="56"/>
        <v>0</v>
      </c>
      <c r="AB148" s="78">
        <f t="shared" si="56"/>
        <v>0</v>
      </c>
      <c r="AC148" s="78">
        <f t="shared" si="56"/>
        <v>0</v>
      </c>
      <c r="AD148" s="78">
        <f t="shared" si="56"/>
        <v>0</v>
      </c>
      <c r="AE148" s="78">
        <f t="shared" si="56"/>
        <v>0</v>
      </c>
      <c r="AF148" s="78">
        <f t="shared" si="56"/>
        <v>0</v>
      </c>
      <c r="AG148" s="78">
        <f t="shared" si="56"/>
        <v>0</v>
      </c>
      <c r="AH148" s="78">
        <f t="shared" si="56"/>
        <v>0</v>
      </c>
    </row>
    <row r="149" spans="2:34" x14ac:dyDescent="0.25">
      <c r="B149" s="112">
        <v>12</v>
      </c>
      <c r="C149" s="17" t="s">
        <v>144</v>
      </c>
      <c r="D149" s="78">
        <f>IFERROR(IF(D$86/$D62&gt;1,1,D$86/$D62),0)*$E62</f>
        <v>0</v>
      </c>
      <c r="E149" s="78">
        <f t="shared" ref="E149:AH152" si="57">IFERROR(IF(E$86/$D62&gt;1,1,E$86/$D62),0)*$E62</f>
        <v>0</v>
      </c>
      <c r="F149" s="78">
        <f t="shared" si="57"/>
        <v>0</v>
      </c>
      <c r="G149" s="78">
        <f t="shared" si="57"/>
        <v>0</v>
      </c>
      <c r="H149" s="78">
        <f t="shared" si="57"/>
        <v>0</v>
      </c>
      <c r="I149" s="78">
        <f t="shared" si="57"/>
        <v>0</v>
      </c>
      <c r="J149" s="78">
        <f t="shared" si="57"/>
        <v>0</v>
      </c>
      <c r="K149" s="78">
        <f t="shared" si="57"/>
        <v>0</v>
      </c>
      <c r="L149" s="78">
        <f t="shared" si="57"/>
        <v>0</v>
      </c>
      <c r="M149" s="78">
        <f t="shared" si="57"/>
        <v>0</v>
      </c>
      <c r="N149" s="78">
        <f t="shared" si="57"/>
        <v>0</v>
      </c>
      <c r="O149" s="78">
        <f t="shared" si="57"/>
        <v>0</v>
      </c>
      <c r="P149" s="78">
        <f t="shared" si="57"/>
        <v>0</v>
      </c>
      <c r="Q149" s="78">
        <f t="shared" si="57"/>
        <v>0</v>
      </c>
      <c r="R149" s="78">
        <f t="shared" si="57"/>
        <v>0</v>
      </c>
      <c r="S149" s="78">
        <f t="shared" si="57"/>
        <v>0</v>
      </c>
      <c r="T149" s="78">
        <f t="shared" si="57"/>
        <v>0</v>
      </c>
      <c r="U149" s="78">
        <f t="shared" si="57"/>
        <v>0</v>
      </c>
      <c r="V149" s="78">
        <f t="shared" si="57"/>
        <v>0</v>
      </c>
      <c r="W149" s="78">
        <f t="shared" si="57"/>
        <v>0</v>
      </c>
      <c r="X149" s="78">
        <f t="shared" si="57"/>
        <v>0</v>
      </c>
      <c r="Y149" s="78">
        <f t="shared" si="57"/>
        <v>0</v>
      </c>
      <c r="Z149" s="78">
        <f t="shared" si="57"/>
        <v>0</v>
      </c>
      <c r="AA149" s="78">
        <f t="shared" si="57"/>
        <v>0</v>
      </c>
      <c r="AB149" s="78">
        <f t="shared" si="57"/>
        <v>0</v>
      </c>
      <c r="AC149" s="78">
        <f t="shared" si="57"/>
        <v>0</v>
      </c>
      <c r="AD149" s="78">
        <f t="shared" si="57"/>
        <v>0</v>
      </c>
      <c r="AE149" s="78">
        <f t="shared" si="57"/>
        <v>0</v>
      </c>
      <c r="AF149" s="78">
        <f t="shared" si="57"/>
        <v>0</v>
      </c>
      <c r="AG149" s="78">
        <f t="shared" si="57"/>
        <v>0</v>
      </c>
      <c r="AH149" s="78">
        <f t="shared" si="57"/>
        <v>0</v>
      </c>
    </row>
    <row r="150" spans="2:34" x14ac:dyDescent="0.25">
      <c r="B150" s="113"/>
      <c r="C150" s="17" t="s">
        <v>145</v>
      </c>
      <c r="D150" s="78">
        <f t="shared" ref="D150:S152" si="58">IFERROR(IF(D$86/$D63&gt;1,1,D$86/$D63),0)*$E63</f>
        <v>0</v>
      </c>
      <c r="E150" s="78">
        <f t="shared" si="58"/>
        <v>0</v>
      </c>
      <c r="F150" s="78">
        <f t="shared" si="58"/>
        <v>0</v>
      </c>
      <c r="G150" s="78">
        <f t="shared" si="58"/>
        <v>0</v>
      </c>
      <c r="H150" s="78">
        <f t="shared" si="58"/>
        <v>0</v>
      </c>
      <c r="I150" s="78">
        <f t="shared" si="58"/>
        <v>0</v>
      </c>
      <c r="J150" s="78">
        <f t="shared" si="58"/>
        <v>0</v>
      </c>
      <c r="K150" s="78">
        <f t="shared" si="58"/>
        <v>0</v>
      </c>
      <c r="L150" s="78">
        <f t="shared" si="58"/>
        <v>0</v>
      </c>
      <c r="M150" s="78">
        <f t="shared" si="58"/>
        <v>0</v>
      </c>
      <c r="N150" s="78">
        <f t="shared" si="58"/>
        <v>0</v>
      </c>
      <c r="O150" s="78">
        <f t="shared" si="58"/>
        <v>0</v>
      </c>
      <c r="P150" s="78">
        <f t="shared" si="58"/>
        <v>0</v>
      </c>
      <c r="Q150" s="78">
        <f t="shared" si="58"/>
        <v>0</v>
      </c>
      <c r="R150" s="78">
        <f t="shared" si="58"/>
        <v>0</v>
      </c>
      <c r="S150" s="78">
        <f t="shared" si="58"/>
        <v>0</v>
      </c>
      <c r="T150" s="78">
        <f t="shared" si="57"/>
        <v>0</v>
      </c>
      <c r="U150" s="78">
        <f t="shared" si="57"/>
        <v>0</v>
      </c>
      <c r="V150" s="78">
        <f t="shared" si="57"/>
        <v>0</v>
      </c>
      <c r="W150" s="78">
        <f t="shared" si="57"/>
        <v>0</v>
      </c>
      <c r="X150" s="78">
        <f t="shared" si="57"/>
        <v>0</v>
      </c>
      <c r="Y150" s="78">
        <f t="shared" si="57"/>
        <v>0</v>
      </c>
      <c r="Z150" s="78">
        <f t="shared" si="57"/>
        <v>0</v>
      </c>
      <c r="AA150" s="78">
        <f t="shared" si="57"/>
        <v>0</v>
      </c>
      <c r="AB150" s="78">
        <f t="shared" si="57"/>
        <v>0</v>
      </c>
      <c r="AC150" s="78">
        <f t="shared" si="57"/>
        <v>0</v>
      </c>
      <c r="AD150" s="78">
        <f t="shared" si="57"/>
        <v>0</v>
      </c>
      <c r="AE150" s="78">
        <f t="shared" si="57"/>
        <v>0</v>
      </c>
      <c r="AF150" s="78">
        <f t="shared" si="57"/>
        <v>0</v>
      </c>
      <c r="AG150" s="78">
        <f t="shared" si="57"/>
        <v>0</v>
      </c>
      <c r="AH150" s="78">
        <f t="shared" si="57"/>
        <v>0</v>
      </c>
    </row>
    <row r="151" spans="2:34" x14ac:dyDescent="0.25">
      <c r="B151" s="113"/>
      <c r="C151" s="17" t="s">
        <v>244</v>
      </c>
      <c r="D151" s="78">
        <f t="shared" si="58"/>
        <v>0</v>
      </c>
      <c r="E151" s="78">
        <f t="shared" si="57"/>
        <v>0</v>
      </c>
      <c r="F151" s="78">
        <f t="shared" si="57"/>
        <v>0</v>
      </c>
      <c r="G151" s="78">
        <f t="shared" si="57"/>
        <v>0</v>
      </c>
      <c r="H151" s="78">
        <f t="shared" si="57"/>
        <v>0</v>
      </c>
      <c r="I151" s="78">
        <f t="shared" si="57"/>
        <v>0</v>
      </c>
      <c r="J151" s="78">
        <f t="shared" si="57"/>
        <v>0</v>
      </c>
      <c r="K151" s="78">
        <f t="shared" si="57"/>
        <v>0</v>
      </c>
      <c r="L151" s="78">
        <f t="shared" si="57"/>
        <v>0</v>
      </c>
      <c r="M151" s="78">
        <f t="shared" si="57"/>
        <v>0</v>
      </c>
      <c r="N151" s="78">
        <f t="shared" si="57"/>
        <v>0</v>
      </c>
      <c r="O151" s="78">
        <f t="shared" si="57"/>
        <v>0</v>
      </c>
      <c r="P151" s="78">
        <f t="shared" si="57"/>
        <v>0</v>
      </c>
      <c r="Q151" s="78">
        <f t="shared" si="57"/>
        <v>0</v>
      </c>
      <c r="R151" s="78">
        <f t="shared" si="57"/>
        <v>0</v>
      </c>
      <c r="S151" s="78">
        <f t="shared" si="57"/>
        <v>0</v>
      </c>
      <c r="T151" s="78">
        <f t="shared" si="57"/>
        <v>0</v>
      </c>
      <c r="U151" s="78">
        <f t="shared" si="57"/>
        <v>0</v>
      </c>
      <c r="V151" s="78">
        <f t="shared" si="57"/>
        <v>0</v>
      </c>
      <c r="W151" s="78">
        <f t="shared" si="57"/>
        <v>0</v>
      </c>
      <c r="X151" s="78">
        <f t="shared" si="57"/>
        <v>0</v>
      </c>
      <c r="Y151" s="78">
        <f t="shared" si="57"/>
        <v>0</v>
      </c>
      <c r="Z151" s="78">
        <f t="shared" si="57"/>
        <v>0</v>
      </c>
      <c r="AA151" s="78">
        <f t="shared" si="57"/>
        <v>0</v>
      </c>
      <c r="AB151" s="78">
        <f t="shared" si="57"/>
        <v>0</v>
      </c>
      <c r="AC151" s="78">
        <f t="shared" si="57"/>
        <v>0</v>
      </c>
      <c r="AD151" s="78">
        <f t="shared" si="57"/>
        <v>0</v>
      </c>
      <c r="AE151" s="78">
        <f t="shared" si="57"/>
        <v>0</v>
      </c>
      <c r="AF151" s="78">
        <f t="shared" si="57"/>
        <v>0</v>
      </c>
      <c r="AG151" s="78">
        <f t="shared" si="57"/>
        <v>0</v>
      </c>
      <c r="AH151" s="78">
        <f t="shared" si="57"/>
        <v>0</v>
      </c>
    </row>
    <row r="152" spans="2:34" x14ac:dyDescent="0.25">
      <c r="B152" s="113"/>
      <c r="C152" s="17" t="s">
        <v>245</v>
      </c>
      <c r="D152" s="78">
        <f t="shared" si="58"/>
        <v>0</v>
      </c>
      <c r="E152" s="78">
        <f t="shared" si="57"/>
        <v>0</v>
      </c>
      <c r="F152" s="78">
        <f t="shared" si="57"/>
        <v>0</v>
      </c>
      <c r="G152" s="78">
        <f t="shared" si="57"/>
        <v>0</v>
      </c>
      <c r="H152" s="78">
        <f t="shared" si="57"/>
        <v>0</v>
      </c>
      <c r="I152" s="78">
        <f t="shared" si="57"/>
        <v>0</v>
      </c>
      <c r="J152" s="78">
        <f t="shared" si="57"/>
        <v>0</v>
      </c>
      <c r="K152" s="78">
        <f t="shared" si="57"/>
        <v>0</v>
      </c>
      <c r="L152" s="78">
        <f t="shared" si="57"/>
        <v>0</v>
      </c>
      <c r="M152" s="78">
        <f t="shared" si="57"/>
        <v>0</v>
      </c>
      <c r="N152" s="78">
        <f t="shared" si="57"/>
        <v>0</v>
      </c>
      <c r="O152" s="78">
        <f t="shared" si="57"/>
        <v>0</v>
      </c>
      <c r="P152" s="78">
        <f t="shared" si="57"/>
        <v>0</v>
      </c>
      <c r="Q152" s="78">
        <f t="shared" si="57"/>
        <v>0</v>
      </c>
      <c r="R152" s="78">
        <f t="shared" si="57"/>
        <v>0</v>
      </c>
      <c r="S152" s="78">
        <f t="shared" si="57"/>
        <v>0</v>
      </c>
      <c r="T152" s="78">
        <f t="shared" si="57"/>
        <v>0</v>
      </c>
      <c r="U152" s="78">
        <f t="shared" si="57"/>
        <v>0</v>
      </c>
      <c r="V152" s="78">
        <f t="shared" si="57"/>
        <v>0</v>
      </c>
      <c r="W152" s="78">
        <f t="shared" si="57"/>
        <v>0</v>
      </c>
      <c r="X152" s="78">
        <f t="shared" si="57"/>
        <v>0</v>
      </c>
      <c r="Y152" s="78">
        <f t="shared" si="57"/>
        <v>0</v>
      </c>
      <c r="Z152" s="78">
        <f t="shared" si="57"/>
        <v>0</v>
      </c>
      <c r="AA152" s="78">
        <f t="shared" si="57"/>
        <v>0</v>
      </c>
      <c r="AB152" s="78">
        <f t="shared" si="57"/>
        <v>0</v>
      </c>
      <c r="AC152" s="78">
        <f t="shared" si="57"/>
        <v>0</v>
      </c>
      <c r="AD152" s="78">
        <f t="shared" si="57"/>
        <v>0</v>
      </c>
      <c r="AE152" s="78">
        <f t="shared" si="57"/>
        <v>0</v>
      </c>
      <c r="AF152" s="78">
        <f t="shared" si="57"/>
        <v>0</v>
      </c>
      <c r="AG152" s="78">
        <f t="shared" si="57"/>
        <v>0</v>
      </c>
      <c r="AH152" s="78">
        <f t="shared" si="57"/>
        <v>0</v>
      </c>
    </row>
    <row r="153" spans="2:34" x14ac:dyDescent="0.25">
      <c r="B153" s="114"/>
      <c r="C153" s="77" t="s">
        <v>149</v>
      </c>
      <c r="D153" s="78">
        <f>SUM(D149:D152)</f>
        <v>0</v>
      </c>
      <c r="E153" s="78">
        <f t="shared" ref="E153:AH153" si="59">SUM(E149:E152)</f>
        <v>0</v>
      </c>
      <c r="F153" s="78">
        <f t="shared" si="59"/>
        <v>0</v>
      </c>
      <c r="G153" s="78">
        <f t="shared" si="59"/>
        <v>0</v>
      </c>
      <c r="H153" s="78">
        <f t="shared" si="59"/>
        <v>0</v>
      </c>
      <c r="I153" s="78">
        <f t="shared" si="59"/>
        <v>0</v>
      </c>
      <c r="J153" s="78">
        <f t="shared" si="59"/>
        <v>0</v>
      </c>
      <c r="K153" s="78">
        <f t="shared" si="59"/>
        <v>0</v>
      </c>
      <c r="L153" s="78">
        <f t="shared" si="59"/>
        <v>0</v>
      </c>
      <c r="M153" s="78">
        <f t="shared" si="59"/>
        <v>0</v>
      </c>
      <c r="N153" s="78">
        <f t="shared" si="59"/>
        <v>0</v>
      </c>
      <c r="O153" s="78">
        <f t="shared" si="59"/>
        <v>0</v>
      </c>
      <c r="P153" s="78">
        <f t="shared" si="59"/>
        <v>0</v>
      </c>
      <c r="Q153" s="78">
        <f t="shared" si="59"/>
        <v>0</v>
      </c>
      <c r="R153" s="78">
        <f t="shared" si="59"/>
        <v>0</v>
      </c>
      <c r="S153" s="78">
        <f t="shared" si="59"/>
        <v>0</v>
      </c>
      <c r="T153" s="78">
        <f t="shared" si="59"/>
        <v>0</v>
      </c>
      <c r="U153" s="78">
        <f t="shared" si="59"/>
        <v>0</v>
      </c>
      <c r="V153" s="78">
        <f t="shared" si="59"/>
        <v>0</v>
      </c>
      <c r="W153" s="78">
        <f t="shared" si="59"/>
        <v>0</v>
      </c>
      <c r="X153" s="78">
        <f t="shared" si="59"/>
        <v>0</v>
      </c>
      <c r="Y153" s="78">
        <f t="shared" si="59"/>
        <v>0</v>
      </c>
      <c r="Z153" s="78">
        <f t="shared" si="59"/>
        <v>0</v>
      </c>
      <c r="AA153" s="78">
        <f t="shared" si="59"/>
        <v>0</v>
      </c>
      <c r="AB153" s="78">
        <f t="shared" si="59"/>
        <v>0</v>
      </c>
      <c r="AC153" s="78">
        <f t="shared" si="59"/>
        <v>0</v>
      </c>
      <c r="AD153" s="78">
        <f t="shared" si="59"/>
        <v>0</v>
      </c>
      <c r="AE153" s="78">
        <f t="shared" si="59"/>
        <v>0</v>
      </c>
      <c r="AF153" s="78">
        <f t="shared" si="59"/>
        <v>0</v>
      </c>
      <c r="AG153" s="78">
        <f t="shared" si="59"/>
        <v>0</v>
      </c>
      <c r="AH153" s="78">
        <f t="shared" si="59"/>
        <v>0</v>
      </c>
    </row>
  </sheetData>
  <mergeCells count="17">
    <mergeCell ref="B13:B16"/>
    <mergeCell ref="B17:B20"/>
    <mergeCell ref="B21:B24"/>
    <mergeCell ref="B104:B108"/>
    <mergeCell ref="B99:B103"/>
    <mergeCell ref="B94:B98"/>
    <mergeCell ref="B42:B45"/>
    <mergeCell ref="B46:B49"/>
    <mergeCell ref="B50:B53"/>
    <mergeCell ref="B86:B89"/>
    <mergeCell ref="B33:B36"/>
    <mergeCell ref="B149:B153"/>
    <mergeCell ref="B62:B65"/>
    <mergeCell ref="B136:B140"/>
    <mergeCell ref="B131:B135"/>
    <mergeCell ref="B126:B130"/>
    <mergeCell ref="B117:B121"/>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59999389629810485"/>
  </sheetPr>
  <dimension ref="B2:AI664"/>
  <sheetViews>
    <sheetView showGridLines="0" topLeftCell="A152" workbookViewId="0">
      <selection activeCell="AF146" sqref="AF146"/>
    </sheetView>
  </sheetViews>
  <sheetFormatPr defaultColWidth="9.140625" defaultRowHeight="15" outlineLevelRow="1" x14ac:dyDescent="0.25"/>
  <cols>
    <col min="1" max="1" width="3.7109375" style="1" customWidth="1"/>
    <col min="2" max="2" width="31.7109375" style="1" customWidth="1"/>
    <col min="3" max="3" width="25.85546875" style="1" bestFit="1" customWidth="1"/>
    <col min="4" max="32" width="12.7109375" style="1" customWidth="1"/>
    <col min="33" max="33" width="9.140625" style="1"/>
    <col min="34" max="34" width="15" style="1" bestFit="1" customWidth="1"/>
    <col min="35" max="16384" width="9.140625" style="1"/>
  </cols>
  <sheetData>
    <row r="2" spans="2:34" x14ac:dyDescent="0.25">
      <c r="B2" s="3" t="s">
        <v>0</v>
      </c>
      <c r="C2" s="8" t="str">
        <f>'Global Inputs'!C2</f>
        <v>UC Berkeley</v>
      </c>
      <c r="F2" s="6" t="s">
        <v>2</v>
      </c>
    </row>
    <row r="3" spans="2:34" x14ac:dyDescent="0.25">
      <c r="B3" s="3" t="s">
        <v>3</v>
      </c>
      <c r="C3" s="8" t="str">
        <f>'Global Inputs'!C3</f>
        <v>Campus energy study update</v>
      </c>
      <c r="F3" s="8" t="s">
        <v>5</v>
      </c>
    </row>
    <row r="4" spans="2:34" x14ac:dyDescent="0.25">
      <c r="B4" s="3" t="s">
        <v>6</v>
      </c>
      <c r="C4" s="8">
        <f>'Global Inputs'!C4</f>
        <v>267147</v>
      </c>
      <c r="F4" s="7" t="s">
        <v>7</v>
      </c>
    </row>
    <row r="5" spans="2:34" x14ac:dyDescent="0.25">
      <c r="B5" s="3"/>
      <c r="C5" s="3"/>
      <c r="F5" s="4" t="s">
        <v>8</v>
      </c>
    </row>
    <row r="6" spans="2:34" x14ac:dyDescent="0.25">
      <c r="B6" s="3"/>
      <c r="C6" s="3"/>
      <c r="F6" s="15" t="s">
        <v>9</v>
      </c>
    </row>
    <row r="7" spans="2:34" x14ac:dyDescent="0.25">
      <c r="B7" s="3"/>
      <c r="C7" s="3"/>
    </row>
    <row r="8" spans="2:34" ht="23.25" x14ac:dyDescent="0.35">
      <c r="B8" s="2" t="s">
        <v>275</v>
      </c>
      <c r="C8" s="2"/>
      <c r="D8" s="5"/>
      <c r="E8" s="5"/>
      <c r="F8" s="5"/>
      <c r="H8" s="5"/>
      <c r="I8" s="5"/>
      <c r="J8" s="5"/>
    </row>
    <row r="9" spans="2:34" x14ac:dyDescent="0.25">
      <c r="B9" s="3"/>
      <c r="C9" s="3"/>
    </row>
    <row r="11" spans="2:34" ht="20.25" thickBot="1" x14ac:dyDescent="0.35">
      <c r="B11" s="18" t="s">
        <v>276</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row>
    <row r="12" spans="2:34" ht="18" hidden="1" outlineLevel="1" thickTop="1" thickBot="1" x14ac:dyDescent="0.3">
      <c r="B12" s="26" t="s">
        <v>277</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19"/>
      <c r="AH12" s="19"/>
    </row>
    <row r="13" spans="2:34" ht="16.5" hidden="1" outlineLevel="1" thickTop="1" thickBot="1" x14ac:dyDescent="0.3">
      <c r="B13" s="28" t="s">
        <v>278</v>
      </c>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0"/>
      <c r="AH13" s="20" t="s">
        <v>15</v>
      </c>
    </row>
    <row r="14" spans="2:34" customFormat="1" hidden="1" outlineLevel="1" x14ac:dyDescent="0.25">
      <c r="B14" s="30"/>
      <c r="C14" s="17">
        <v>2025</v>
      </c>
      <c r="D14" s="44">
        <v>2026</v>
      </c>
      <c r="E14" s="44">
        <v>2027</v>
      </c>
      <c r="F14" s="44">
        <v>2028</v>
      </c>
      <c r="G14" s="44">
        <v>2029</v>
      </c>
      <c r="H14" s="44">
        <v>2030</v>
      </c>
      <c r="I14" s="44">
        <v>2031</v>
      </c>
      <c r="J14" s="44">
        <v>2032</v>
      </c>
      <c r="K14" s="44">
        <v>2033</v>
      </c>
      <c r="L14" s="44">
        <v>2034</v>
      </c>
      <c r="M14" s="44">
        <v>2035</v>
      </c>
      <c r="N14" s="44">
        <v>2036</v>
      </c>
      <c r="O14" s="44">
        <v>2037</v>
      </c>
      <c r="P14" s="44">
        <v>2038</v>
      </c>
      <c r="Q14" s="44">
        <v>2039</v>
      </c>
      <c r="R14" s="44">
        <v>2040</v>
      </c>
      <c r="S14" s="44">
        <v>2041</v>
      </c>
      <c r="T14" s="44">
        <v>2042</v>
      </c>
      <c r="U14" s="44">
        <v>2043</v>
      </c>
      <c r="V14" s="44">
        <v>2044</v>
      </c>
      <c r="W14" s="44">
        <v>2045</v>
      </c>
      <c r="X14" s="44">
        <v>2046</v>
      </c>
      <c r="Y14" s="44">
        <v>2047</v>
      </c>
      <c r="Z14" s="44">
        <v>2048</v>
      </c>
      <c r="AA14" s="44">
        <v>2049</v>
      </c>
      <c r="AB14" s="44">
        <v>2050</v>
      </c>
      <c r="AC14" s="44">
        <v>2051</v>
      </c>
      <c r="AD14" s="44">
        <v>2052</v>
      </c>
      <c r="AE14" s="44">
        <v>2053</v>
      </c>
      <c r="AF14" s="44">
        <v>2054</v>
      </c>
    </row>
    <row r="15" spans="2:34" hidden="1" outlineLevel="1" x14ac:dyDescent="0.25">
      <c r="B15" s="31" t="s">
        <v>144</v>
      </c>
      <c r="C15" s="32">
        <v>0</v>
      </c>
      <c r="D15" s="32">
        <v>0</v>
      </c>
      <c r="E15" s="32">
        <v>0</v>
      </c>
      <c r="F15" s="32">
        <v>0</v>
      </c>
      <c r="G15" s="32">
        <v>0</v>
      </c>
      <c r="H15" s="32">
        <v>0</v>
      </c>
      <c r="I15" s="32">
        <v>0</v>
      </c>
      <c r="J15" s="32">
        <v>0</v>
      </c>
      <c r="K15" s="32">
        <v>0</v>
      </c>
      <c r="L15" s="32">
        <v>0</v>
      </c>
      <c r="M15" s="32">
        <v>0</v>
      </c>
      <c r="N15" s="32">
        <v>0</v>
      </c>
      <c r="O15" s="32">
        <v>0</v>
      </c>
      <c r="P15" s="32">
        <v>0</v>
      </c>
      <c r="Q15" s="32">
        <v>0</v>
      </c>
      <c r="R15" s="32">
        <v>0</v>
      </c>
      <c r="S15" s="32">
        <v>0</v>
      </c>
      <c r="T15" s="32">
        <v>0</v>
      </c>
      <c r="U15" s="32">
        <v>0</v>
      </c>
      <c r="V15" s="32">
        <v>0</v>
      </c>
      <c r="W15" s="32">
        <v>0</v>
      </c>
      <c r="X15" s="32">
        <v>0</v>
      </c>
      <c r="Y15" s="32">
        <v>0</v>
      </c>
      <c r="Z15" s="32">
        <v>0</v>
      </c>
      <c r="AA15" s="32">
        <v>0</v>
      </c>
      <c r="AB15" s="32">
        <v>0</v>
      </c>
      <c r="AC15" s="32">
        <v>0</v>
      </c>
      <c r="AD15" s="32">
        <v>0</v>
      </c>
      <c r="AE15" s="32">
        <v>0</v>
      </c>
      <c r="AF15" s="32">
        <v>0</v>
      </c>
      <c r="AG15"/>
      <c r="AH15" s="17" t="s">
        <v>279</v>
      </c>
    </row>
    <row r="16" spans="2:34" hidden="1" outlineLevel="1" x14ac:dyDescent="0.25">
      <c r="B16" s="31" t="s">
        <v>145</v>
      </c>
      <c r="C16" s="32">
        <v>15277743.907373067</v>
      </c>
      <c r="D16" s="32">
        <v>15770486.74488374</v>
      </c>
      <c r="E16" s="32">
        <v>15770486.74488374</v>
      </c>
      <c r="F16" s="32">
        <v>15770486.74488374</v>
      </c>
      <c r="G16" s="32">
        <v>15770486.74488374</v>
      </c>
      <c r="H16" s="32">
        <v>0</v>
      </c>
      <c r="I16" s="32">
        <v>0</v>
      </c>
      <c r="J16" s="32">
        <v>0</v>
      </c>
      <c r="K16" s="32">
        <v>0</v>
      </c>
      <c r="L16" s="32">
        <v>0</v>
      </c>
      <c r="M16" s="32">
        <v>0</v>
      </c>
      <c r="N16" s="32">
        <v>0</v>
      </c>
      <c r="O16" s="32">
        <v>0</v>
      </c>
      <c r="P16" s="32">
        <v>0</v>
      </c>
      <c r="Q16" s="32">
        <v>0</v>
      </c>
      <c r="R16" s="32">
        <v>0</v>
      </c>
      <c r="S16" s="32">
        <v>0</v>
      </c>
      <c r="T16" s="32">
        <v>0</v>
      </c>
      <c r="U16" s="32">
        <v>0</v>
      </c>
      <c r="V16" s="32">
        <v>0</v>
      </c>
      <c r="W16" s="32">
        <v>0</v>
      </c>
      <c r="X16" s="32">
        <v>0</v>
      </c>
      <c r="Y16" s="32">
        <v>0</v>
      </c>
      <c r="Z16" s="32">
        <v>0</v>
      </c>
      <c r="AA16" s="32">
        <v>0</v>
      </c>
      <c r="AB16" s="32">
        <v>0</v>
      </c>
      <c r="AC16" s="32">
        <v>0</v>
      </c>
      <c r="AD16" s="32">
        <v>0</v>
      </c>
      <c r="AE16" s="32">
        <v>0</v>
      </c>
      <c r="AF16" s="32">
        <v>0</v>
      </c>
      <c r="AG16"/>
      <c r="AH16" s="17" t="s">
        <v>279</v>
      </c>
    </row>
    <row r="17" spans="2:35" hidden="1" outlineLevel="1" x14ac:dyDescent="0.25">
      <c r="B17" s="31" t="s">
        <v>244</v>
      </c>
      <c r="C17" s="32">
        <v>74467327.643795222</v>
      </c>
      <c r="D17" s="32">
        <v>74467327.643795222</v>
      </c>
      <c r="E17" s="32">
        <v>7302984.6975087123</v>
      </c>
      <c r="F17" s="32">
        <v>7353817.5781287132</v>
      </c>
      <c r="G17" s="32">
        <v>7353817.5781287132</v>
      </c>
      <c r="H17" s="32">
        <v>0</v>
      </c>
      <c r="I17" s="32">
        <v>0</v>
      </c>
      <c r="J17" s="32">
        <v>0</v>
      </c>
      <c r="K17" s="32">
        <v>0</v>
      </c>
      <c r="L17" s="32">
        <v>0</v>
      </c>
      <c r="M17" s="32">
        <v>0</v>
      </c>
      <c r="N17" s="32">
        <v>0</v>
      </c>
      <c r="O17" s="32">
        <v>0</v>
      </c>
      <c r="P17" s="32">
        <v>0</v>
      </c>
      <c r="Q17" s="32">
        <v>0</v>
      </c>
      <c r="R17" s="32">
        <v>0</v>
      </c>
      <c r="S17" s="32">
        <v>0</v>
      </c>
      <c r="T17" s="32">
        <v>0</v>
      </c>
      <c r="U17" s="32">
        <v>0</v>
      </c>
      <c r="V17" s="32">
        <v>0</v>
      </c>
      <c r="W17" s="32">
        <v>0</v>
      </c>
      <c r="X17" s="32">
        <v>0</v>
      </c>
      <c r="Y17" s="32">
        <v>0</v>
      </c>
      <c r="Z17" s="32">
        <v>0</v>
      </c>
      <c r="AA17" s="32">
        <v>0</v>
      </c>
      <c r="AB17" s="32">
        <v>0</v>
      </c>
      <c r="AC17" s="32">
        <v>0</v>
      </c>
      <c r="AD17" s="32">
        <v>0</v>
      </c>
      <c r="AE17" s="32">
        <v>0</v>
      </c>
      <c r="AF17" s="32">
        <v>0</v>
      </c>
      <c r="AG17"/>
      <c r="AH17" s="17" t="s">
        <v>279</v>
      </c>
    </row>
    <row r="18" spans="2:35" hidden="1" outlineLevel="1" x14ac:dyDescent="0.25">
      <c r="B18" s="31" t="s">
        <v>147</v>
      </c>
      <c r="C18" s="32">
        <v>0</v>
      </c>
      <c r="D18" s="32">
        <v>0</v>
      </c>
      <c r="E18" s="32">
        <v>0</v>
      </c>
      <c r="F18" s="32">
        <v>0</v>
      </c>
      <c r="G18" s="32">
        <v>0</v>
      </c>
      <c r="H18" s="32">
        <v>0</v>
      </c>
      <c r="I18" s="32">
        <v>0</v>
      </c>
      <c r="J18" s="32">
        <v>0</v>
      </c>
      <c r="K18" s="32">
        <v>0</v>
      </c>
      <c r="L18" s="32">
        <v>0</v>
      </c>
      <c r="M18" s="32">
        <v>0</v>
      </c>
      <c r="N18" s="32">
        <v>0</v>
      </c>
      <c r="O18" s="32">
        <v>0</v>
      </c>
      <c r="P18" s="32">
        <v>0</v>
      </c>
      <c r="Q18" s="32">
        <v>0</v>
      </c>
      <c r="R18" s="32">
        <v>0</v>
      </c>
      <c r="S18" s="32">
        <v>0</v>
      </c>
      <c r="T18" s="32">
        <v>0</v>
      </c>
      <c r="U18" s="32">
        <v>0</v>
      </c>
      <c r="V18" s="32">
        <v>0</v>
      </c>
      <c r="W18" s="32">
        <v>0</v>
      </c>
      <c r="X18" s="32">
        <v>0</v>
      </c>
      <c r="Y18" s="32">
        <v>0</v>
      </c>
      <c r="Z18" s="32">
        <v>0</v>
      </c>
      <c r="AA18" s="32">
        <v>0</v>
      </c>
      <c r="AB18" s="32">
        <v>0</v>
      </c>
      <c r="AC18" s="32">
        <v>0</v>
      </c>
      <c r="AD18" s="32">
        <v>0</v>
      </c>
      <c r="AE18" s="32">
        <v>0</v>
      </c>
      <c r="AF18" s="32">
        <v>0</v>
      </c>
      <c r="AG18"/>
      <c r="AH18" s="17" t="s">
        <v>279</v>
      </c>
    </row>
    <row r="19" spans="2:35" hidden="1" outlineLevel="1" x14ac:dyDescent="0.25">
      <c r="B19" s="31" t="s">
        <v>245</v>
      </c>
      <c r="C19" s="32">
        <v>5531260.8599999994</v>
      </c>
      <c r="D19" s="32">
        <v>5531260.8599999994</v>
      </c>
      <c r="E19" s="32">
        <v>5531260.8599999994</v>
      </c>
      <c r="F19" s="32">
        <v>5531260.8599999994</v>
      </c>
      <c r="G19" s="32">
        <v>5531260.8599999994</v>
      </c>
      <c r="H19" s="32">
        <v>5911722.2974800002</v>
      </c>
      <c r="I19" s="32">
        <v>5911722.2974800002</v>
      </c>
      <c r="J19" s="32">
        <v>0</v>
      </c>
      <c r="K19" s="32">
        <v>0</v>
      </c>
      <c r="L19" s="32">
        <v>0</v>
      </c>
      <c r="M19" s="32">
        <v>0</v>
      </c>
      <c r="N19" s="32">
        <v>0</v>
      </c>
      <c r="O19" s="32">
        <v>0</v>
      </c>
      <c r="P19" s="32">
        <v>0</v>
      </c>
      <c r="Q19" s="32">
        <v>0</v>
      </c>
      <c r="R19" s="32">
        <v>0</v>
      </c>
      <c r="S19" s="32">
        <v>0</v>
      </c>
      <c r="T19" s="32">
        <v>0</v>
      </c>
      <c r="U19" s="32">
        <v>0</v>
      </c>
      <c r="V19" s="32">
        <v>0</v>
      </c>
      <c r="W19" s="32">
        <v>0</v>
      </c>
      <c r="X19" s="32">
        <v>0</v>
      </c>
      <c r="Y19" s="32">
        <v>0</v>
      </c>
      <c r="Z19" s="32">
        <v>0</v>
      </c>
      <c r="AA19" s="32">
        <v>0</v>
      </c>
      <c r="AB19" s="32">
        <v>0</v>
      </c>
      <c r="AC19" s="32">
        <v>0</v>
      </c>
      <c r="AD19" s="32">
        <v>0</v>
      </c>
      <c r="AE19" s="32">
        <v>0</v>
      </c>
      <c r="AF19" s="32">
        <v>0</v>
      </c>
      <c r="AG19"/>
      <c r="AH19" s="17" t="s">
        <v>279</v>
      </c>
    </row>
    <row r="20" spans="2:35" hidden="1" outlineLevel="1" x14ac:dyDescent="0.25">
      <c r="B20" s="31" t="s">
        <v>149</v>
      </c>
      <c r="C20" s="32">
        <v>95276332.411168292</v>
      </c>
      <c r="D20" s="32">
        <v>95769075.248678967</v>
      </c>
      <c r="E20" s="32">
        <v>28604732.302392453</v>
      </c>
      <c r="F20" s="32">
        <v>28655565.183012452</v>
      </c>
      <c r="G20" s="32">
        <v>28655565.183012452</v>
      </c>
      <c r="H20" s="32">
        <v>5911722.2974800002</v>
      </c>
      <c r="I20" s="32">
        <v>5911722.2974800002</v>
      </c>
      <c r="J20" s="32">
        <v>0</v>
      </c>
      <c r="K20" s="32">
        <v>0</v>
      </c>
      <c r="L20" s="32">
        <v>0</v>
      </c>
      <c r="M20" s="32">
        <v>0</v>
      </c>
      <c r="N20" s="32">
        <v>0</v>
      </c>
      <c r="O20" s="32">
        <v>0</v>
      </c>
      <c r="P20" s="32">
        <v>0</v>
      </c>
      <c r="Q20" s="32">
        <v>0</v>
      </c>
      <c r="R20" s="32">
        <v>0</v>
      </c>
      <c r="S20" s="32">
        <v>0</v>
      </c>
      <c r="T20" s="32">
        <v>0</v>
      </c>
      <c r="U20" s="32">
        <v>0</v>
      </c>
      <c r="V20" s="32">
        <v>0</v>
      </c>
      <c r="W20" s="32">
        <v>0</v>
      </c>
      <c r="X20" s="32">
        <v>0</v>
      </c>
      <c r="Y20" s="32">
        <v>0</v>
      </c>
      <c r="Z20" s="32">
        <v>0</v>
      </c>
      <c r="AA20" s="32">
        <v>0</v>
      </c>
      <c r="AB20" s="32">
        <v>0</v>
      </c>
      <c r="AC20" s="32">
        <v>0</v>
      </c>
      <c r="AD20" s="32">
        <v>0</v>
      </c>
      <c r="AE20" s="32">
        <v>0</v>
      </c>
      <c r="AF20" s="32">
        <v>0</v>
      </c>
      <c r="AG20"/>
      <c r="AH20" s="17" t="s">
        <v>279</v>
      </c>
      <c r="AI20"/>
    </row>
    <row r="21" spans="2:35" hidden="1" outlineLevel="1" x14ac:dyDescent="0.25">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c r="AH21"/>
      <c r="AI21"/>
    </row>
    <row r="22" spans="2:35" customFormat="1" ht="15.75" hidden="1" outlineLevel="1" thickBot="1" x14ac:dyDescent="0.3">
      <c r="B22" s="28" t="s">
        <v>280</v>
      </c>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0"/>
      <c r="AH22" s="20" t="s">
        <v>15</v>
      </c>
    </row>
    <row r="23" spans="2:35" customFormat="1" hidden="1" outlineLevel="1" x14ac:dyDescent="0.25">
      <c r="B23" s="30"/>
      <c r="C23" s="17">
        <v>2025</v>
      </c>
      <c r="D23" s="44">
        <v>2026</v>
      </c>
      <c r="E23" s="44">
        <v>2027</v>
      </c>
      <c r="F23" s="44">
        <v>2028</v>
      </c>
      <c r="G23" s="44">
        <v>2029</v>
      </c>
      <c r="H23" s="44">
        <v>2030</v>
      </c>
      <c r="I23" s="44">
        <v>2031</v>
      </c>
      <c r="J23" s="44">
        <v>2032</v>
      </c>
      <c r="K23" s="44">
        <v>2033</v>
      </c>
      <c r="L23" s="44">
        <v>2034</v>
      </c>
      <c r="M23" s="44">
        <v>2035</v>
      </c>
      <c r="N23" s="44">
        <v>2036</v>
      </c>
      <c r="O23" s="44">
        <v>2037</v>
      </c>
      <c r="P23" s="44">
        <v>2038</v>
      </c>
      <c r="Q23" s="44">
        <v>2039</v>
      </c>
      <c r="R23" s="44">
        <v>2040</v>
      </c>
      <c r="S23" s="44">
        <v>2041</v>
      </c>
      <c r="T23" s="44">
        <v>2042</v>
      </c>
      <c r="U23" s="44">
        <v>2043</v>
      </c>
      <c r="V23" s="44">
        <v>2044</v>
      </c>
      <c r="W23" s="44">
        <v>2045</v>
      </c>
      <c r="X23" s="44">
        <v>2046</v>
      </c>
      <c r="Y23" s="44">
        <v>2047</v>
      </c>
      <c r="Z23" s="44">
        <v>2048</v>
      </c>
      <c r="AA23" s="44">
        <v>2049</v>
      </c>
      <c r="AB23" s="44">
        <v>2050</v>
      </c>
      <c r="AC23" s="44">
        <v>2051</v>
      </c>
      <c r="AD23" s="44">
        <v>2052</v>
      </c>
      <c r="AE23" s="44">
        <v>2053</v>
      </c>
      <c r="AF23" s="44">
        <v>2054</v>
      </c>
    </row>
    <row r="24" spans="2:35" hidden="1" outlineLevel="1" x14ac:dyDescent="0.25">
      <c r="B24" s="31" t="s">
        <v>144</v>
      </c>
      <c r="C24" s="32">
        <v>41100367.759866863</v>
      </c>
      <c r="D24" s="32">
        <v>41100367.759866863</v>
      </c>
      <c r="E24" s="32">
        <v>41100367.759866863</v>
      </c>
      <c r="F24" s="32">
        <v>39612639.320832737</v>
      </c>
      <c r="G24" s="32">
        <v>39612639.320832737</v>
      </c>
      <c r="H24" s="32">
        <v>39763990.663512737</v>
      </c>
      <c r="I24" s="32">
        <v>39763990.663512737</v>
      </c>
      <c r="J24" s="32">
        <v>38704492.561179683</v>
      </c>
      <c r="K24" s="32">
        <v>38704492.561179683</v>
      </c>
      <c r="L24" s="32">
        <v>38772187.839759685</v>
      </c>
      <c r="M24" s="32">
        <v>38772187.839759685</v>
      </c>
      <c r="N24" s="32">
        <v>38772187.839759685</v>
      </c>
      <c r="O24" s="32">
        <v>38772187.839759685</v>
      </c>
      <c r="P24" s="32">
        <v>38772187.839759685</v>
      </c>
      <c r="Q24" s="32">
        <v>38772187.839759685</v>
      </c>
      <c r="R24" s="32">
        <v>38772187.839759685</v>
      </c>
      <c r="S24" s="32">
        <v>38772187.839759685</v>
      </c>
      <c r="T24" s="32">
        <v>38772187.839759685</v>
      </c>
      <c r="U24" s="32">
        <v>38772187.839759685</v>
      </c>
      <c r="V24" s="32">
        <v>38772187.839759685</v>
      </c>
      <c r="W24" s="32">
        <v>38772187.839759685</v>
      </c>
      <c r="X24" s="32">
        <v>38772187.839759685</v>
      </c>
      <c r="Y24" s="32">
        <v>38772187.839759685</v>
      </c>
      <c r="Z24" s="32">
        <v>38772187.839759685</v>
      </c>
      <c r="AA24" s="32">
        <v>38772187.839759685</v>
      </c>
      <c r="AB24" s="32">
        <v>38772187.839759685</v>
      </c>
      <c r="AC24" s="32">
        <v>38772187.839759685</v>
      </c>
      <c r="AD24" s="32">
        <v>38772187.839759685</v>
      </c>
      <c r="AE24" s="32">
        <v>38772187.839759685</v>
      </c>
      <c r="AF24" s="32">
        <v>38772187.839759685</v>
      </c>
      <c r="AG24"/>
      <c r="AH24" s="17" t="s">
        <v>279</v>
      </c>
    </row>
    <row r="25" spans="2:35" hidden="1" outlineLevel="1" x14ac:dyDescent="0.25">
      <c r="B25" s="31" t="s">
        <v>145</v>
      </c>
      <c r="C25" s="32">
        <v>0</v>
      </c>
      <c r="D25" s="32">
        <v>0</v>
      </c>
      <c r="E25" s="32">
        <v>0</v>
      </c>
      <c r="F25" s="32">
        <v>0</v>
      </c>
      <c r="G25" s="32">
        <v>0</v>
      </c>
      <c r="H25" s="32">
        <v>15787184.845623737</v>
      </c>
      <c r="I25" s="32">
        <v>15787184.845623737</v>
      </c>
      <c r="J25" s="32">
        <v>15787184.845623737</v>
      </c>
      <c r="K25" s="32">
        <v>15787184.845623737</v>
      </c>
      <c r="L25" s="32">
        <v>15390568.910004416</v>
      </c>
      <c r="M25" s="32">
        <v>15390568.910004416</v>
      </c>
      <c r="N25" s="32">
        <v>15390568.910004416</v>
      </c>
      <c r="O25" s="32">
        <v>15390568.910004416</v>
      </c>
      <c r="P25" s="32">
        <v>15364645.040004415</v>
      </c>
      <c r="Q25" s="32">
        <v>15364645.040004415</v>
      </c>
      <c r="R25" s="32">
        <v>15384699.734404417</v>
      </c>
      <c r="S25" s="32">
        <v>15384699.734404417</v>
      </c>
      <c r="T25" s="32">
        <v>15384699.734404417</v>
      </c>
      <c r="U25" s="32">
        <v>15384699.734404417</v>
      </c>
      <c r="V25" s="32">
        <v>15384699.734404417</v>
      </c>
      <c r="W25" s="32">
        <v>15384699.734404417</v>
      </c>
      <c r="X25" s="32">
        <v>15384699.734404417</v>
      </c>
      <c r="Y25" s="32">
        <v>15384699.734404417</v>
      </c>
      <c r="Z25" s="32">
        <v>15384699.734404417</v>
      </c>
      <c r="AA25" s="32">
        <v>15384699.734404417</v>
      </c>
      <c r="AB25" s="32">
        <v>14843250.017475424</v>
      </c>
      <c r="AC25" s="32">
        <v>14843250.017475424</v>
      </c>
      <c r="AD25" s="32">
        <v>14843250.017475424</v>
      </c>
      <c r="AE25" s="32">
        <v>14843250.017475424</v>
      </c>
      <c r="AF25" s="32">
        <v>14843250.017475424</v>
      </c>
      <c r="AG25"/>
      <c r="AH25" s="17" t="s">
        <v>279</v>
      </c>
    </row>
    <row r="26" spans="2:35" hidden="1" outlineLevel="1" x14ac:dyDescent="0.25">
      <c r="B26" s="31" t="s">
        <v>244</v>
      </c>
      <c r="C26" s="32">
        <v>0</v>
      </c>
      <c r="D26" s="32">
        <v>0</v>
      </c>
      <c r="E26" s="32">
        <v>67164342.9462865</v>
      </c>
      <c r="F26" s="32">
        <v>80295904.086657912</v>
      </c>
      <c r="G26" s="32">
        <v>80295904.086657912</v>
      </c>
      <c r="H26" s="32">
        <v>88236897.776487172</v>
      </c>
      <c r="I26" s="32">
        <v>88236897.776487172</v>
      </c>
      <c r="J26" s="32">
        <v>80002966.613187522</v>
      </c>
      <c r="K26" s="32">
        <v>80002966.613187522</v>
      </c>
      <c r="L26" s="32">
        <v>80002966.613187522</v>
      </c>
      <c r="M26" s="32">
        <v>80002966.613187522</v>
      </c>
      <c r="N26" s="32">
        <v>79425262.459042355</v>
      </c>
      <c r="O26" s="32">
        <v>79425262.459042355</v>
      </c>
      <c r="P26" s="32">
        <v>79425262.459042355</v>
      </c>
      <c r="Q26" s="32">
        <v>79425262.459042355</v>
      </c>
      <c r="R26" s="32">
        <v>82311974.959042355</v>
      </c>
      <c r="S26" s="32">
        <v>82311974.959042355</v>
      </c>
      <c r="T26" s="32">
        <v>82311974.959042355</v>
      </c>
      <c r="U26" s="32">
        <v>82311974.959042355</v>
      </c>
      <c r="V26" s="32">
        <v>81863454.238701224</v>
      </c>
      <c r="W26" s="32">
        <v>81863454.238701224</v>
      </c>
      <c r="X26" s="32">
        <v>81863454.238701224</v>
      </c>
      <c r="Y26" s="32">
        <v>81863454.238701224</v>
      </c>
      <c r="Z26" s="32">
        <v>81863454.238701224</v>
      </c>
      <c r="AA26" s="32">
        <v>81863454.238701224</v>
      </c>
      <c r="AB26" s="32">
        <v>81863454.238701224</v>
      </c>
      <c r="AC26" s="32">
        <v>81863454.238701224</v>
      </c>
      <c r="AD26" s="32">
        <v>81863454.238701224</v>
      </c>
      <c r="AE26" s="32">
        <v>81863454.238701224</v>
      </c>
      <c r="AF26" s="32">
        <v>81863454.238701224</v>
      </c>
      <c r="AG26"/>
      <c r="AH26" s="17" t="s">
        <v>279</v>
      </c>
    </row>
    <row r="27" spans="2:35" hidden="1" outlineLevel="1" x14ac:dyDescent="0.25">
      <c r="B27" s="31" t="s">
        <v>147</v>
      </c>
      <c r="C27" s="32">
        <v>0</v>
      </c>
      <c r="D27" s="32">
        <v>0</v>
      </c>
      <c r="E27" s="32">
        <v>0</v>
      </c>
      <c r="F27" s="32">
        <v>0</v>
      </c>
      <c r="G27" s="32">
        <v>0</v>
      </c>
      <c r="H27" s="32">
        <v>0</v>
      </c>
      <c r="I27" s="32">
        <v>0</v>
      </c>
      <c r="J27" s="32">
        <v>0</v>
      </c>
      <c r="K27" s="32">
        <v>0</v>
      </c>
      <c r="L27" s="32">
        <v>0</v>
      </c>
      <c r="M27" s="32">
        <v>0</v>
      </c>
      <c r="N27" s="32">
        <v>0</v>
      </c>
      <c r="O27" s="32">
        <v>0</v>
      </c>
      <c r="P27" s="32">
        <v>0</v>
      </c>
      <c r="Q27" s="32">
        <v>0</v>
      </c>
      <c r="R27" s="32">
        <v>0</v>
      </c>
      <c r="S27" s="32">
        <v>0</v>
      </c>
      <c r="T27" s="32">
        <v>0</v>
      </c>
      <c r="U27" s="32">
        <v>0</v>
      </c>
      <c r="V27" s="32">
        <v>0</v>
      </c>
      <c r="W27" s="32">
        <v>0</v>
      </c>
      <c r="X27" s="32">
        <v>0</v>
      </c>
      <c r="Y27" s="32">
        <v>0</v>
      </c>
      <c r="Z27" s="32">
        <v>0</v>
      </c>
      <c r="AA27" s="32">
        <v>0</v>
      </c>
      <c r="AB27" s="32">
        <v>0</v>
      </c>
      <c r="AC27" s="32">
        <v>0</v>
      </c>
      <c r="AD27" s="32">
        <v>0</v>
      </c>
      <c r="AE27" s="32">
        <v>0</v>
      </c>
      <c r="AF27" s="32">
        <v>0</v>
      </c>
      <c r="AG27"/>
      <c r="AH27" s="17" t="s">
        <v>279</v>
      </c>
    </row>
    <row r="28" spans="2:35" hidden="1" outlineLevel="1" x14ac:dyDescent="0.25">
      <c r="B28" s="31" t="s">
        <v>245</v>
      </c>
      <c r="C28" s="32">
        <v>0</v>
      </c>
      <c r="D28" s="32">
        <v>0</v>
      </c>
      <c r="E28" s="32">
        <v>0</v>
      </c>
      <c r="F28" s="32">
        <v>0</v>
      </c>
      <c r="G28" s="32">
        <v>0</v>
      </c>
      <c r="H28" s="32">
        <v>0</v>
      </c>
      <c r="I28" s="32">
        <v>0</v>
      </c>
      <c r="J28" s="32">
        <v>5911722.2974800002</v>
      </c>
      <c r="K28" s="32">
        <v>5911722.2974800002</v>
      </c>
      <c r="L28" s="32">
        <v>5911722.2974800002</v>
      </c>
      <c r="M28" s="32">
        <v>5911722.2974800002</v>
      </c>
      <c r="N28" s="32">
        <v>5743970.637480001</v>
      </c>
      <c r="O28" s="32">
        <v>5743970.637480001</v>
      </c>
      <c r="P28" s="32">
        <v>5743970.637480001</v>
      </c>
      <c r="Q28" s="32">
        <v>5743970.637480001</v>
      </c>
      <c r="R28" s="32">
        <v>36060627.457479998</v>
      </c>
      <c r="S28" s="32">
        <v>36060627.457479998</v>
      </c>
      <c r="T28" s="32">
        <v>36060627.457479998</v>
      </c>
      <c r="U28" s="32">
        <v>36060627.457479998</v>
      </c>
      <c r="V28" s="32">
        <v>36060627.457479998</v>
      </c>
      <c r="W28" s="32">
        <v>36060627.457479998</v>
      </c>
      <c r="X28" s="32">
        <v>36060627.457479998</v>
      </c>
      <c r="Y28" s="32">
        <v>36060627.457479998</v>
      </c>
      <c r="Z28" s="32">
        <v>36060627.457479998</v>
      </c>
      <c r="AA28" s="32">
        <v>36060627.457479998</v>
      </c>
      <c r="AB28" s="32">
        <v>36060627.457479998</v>
      </c>
      <c r="AC28" s="32">
        <v>36060627.457479998</v>
      </c>
      <c r="AD28" s="32">
        <v>36060627.457479998</v>
      </c>
      <c r="AE28" s="32">
        <v>36060627.457479998</v>
      </c>
      <c r="AF28" s="32">
        <v>36060627.457479998</v>
      </c>
      <c r="AG28"/>
      <c r="AH28" s="17" t="s">
        <v>279</v>
      </c>
    </row>
    <row r="29" spans="2:35" hidden="1" outlineLevel="1" x14ac:dyDescent="0.25">
      <c r="B29" s="31" t="s">
        <v>149</v>
      </c>
      <c r="C29" s="32">
        <v>41100367.759866863</v>
      </c>
      <c r="D29" s="32">
        <v>41100367.759866863</v>
      </c>
      <c r="E29" s="32">
        <v>108264710.70615336</v>
      </c>
      <c r="F29" s="32">
        <v>119908543.40749064</v>
      </c>
      <c r="G29" s="32">
        <v>119908543.40749064</v>
      </c>
      <c r="H29" s="32">
        <v>143788073.28562364</v>
      </c>
      <c r="I29" s="32">
        <v>143788073.28562364</v>
      </c>
      <c r="J29" s="32">
        <v>140406366.31747094</v>
      </c>
      <c r="K29" s="32">
        <v>140406366.31747094</v>
      </c>
      <c r="L29" s="32">
        <v>140077445.66043162</v>
      </c>
      <c r="M29" s="32">
        <v>140077445.66043162</v>
      </c>
      <c r="N29" s="32">
        <v>139331989.84628645</v>
      </c>
      <c r="O29" s="32">
        <v>139331989.84628645</v>
      </c>
      <c r="P29" s="32">
        <v>139306065.97628644</v>
      </c>
      <c r="Q29" s="32">
        <v>139306065.97628644</v>
      </c>
      <c r="R29" s="32">
        <v>172529489.99068648</v>
      </c>
      <c r="S29" s="32">
        <v>172529489.99068648</v>
      </c>
      <c r="T29" s="32">
        <v>172529489.99068648</v>
      </c>
      <c r="U29" s="32">
        <v>172529489.99068648</v>
      </c>
      <c r="V29" s="32">
        <v>172080969.27034533</v>
      </c>
      <c r="W29" s="32">
        <v>172080969.27034533</v>
      </c>
      <c r="X29" s="32">
        <v>172080969.27034533</v>
      </c>
      <c r="Y29" s="32">
        <v>172080969.27034533</v>
      </c>
      <c r="Z29" s="32">
        <v>172080969.27034533</v>
      </c>
      <c r="AA29" s="32">
        <v>172080969.27034533</v>
      </c>
      <c r="AB29" s="32">
        <v>171539519.55341631</v>
      </c>
      <c r="AC29" s="32">
        <v>171539519.55341631</v>
      </c>
      <c r="AD29" s="32">
        <v>171539519.55341631</v>
      </c>
      <c r="AE29" s="32">
        <v>171539519.55341631</v>
      </c>
      <c r="AF29" s="32">
        <v>171539519.55341631</v>
      </c>
      <c r="AG29"/>
      <c r="AH29" s="17" t="s">
        <v>279</v>
      </c>
    </row>
    <row r="30" spans="2:35" customFormat="1" hidden="1" outlineLevel="1" x14ac:dyDescent="0.25">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row>
    <row r="31" spans="2:35" hidden="1" outlineLevel="1" x14ac:dyDescent="0.25">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c r="AH31"/>
    </row>
    <row r="32" spans="2:35" ht="17.25" hidden="1" outlineLevel="1" thickBot="1" x14ac:dyDescent="0.3">
      <c r="B32" s="26" t="s">
        <v>281</v>
      </c>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row>
    <row r="33" spans="2:34" ht="16.5" hidden="1" outlineLevel="1" thickTop="1" thickBot="1" x14ac:dyDescent="0.3">
      <c r="B33" s="28" t="s">
        <v>278</v>
      </c>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0"/>
      <c r="AH33" s="20" t="s">
        <v>15</v>
      </c>
    </row>
    <row r="34" spans="2:34" customFormat="1" hidden="1" outlineLevel="1" x14ac:dyDescent="0.25">
      <c r="B34" s="30"/>
      <c r="C34" s="17">
        <v>2025</v>
      </c>
      <c r="D34" s="44">
        <v>2026</v>
      </c>
      <c r="E34" s="44">
        <v>2027</v>
      </c>
      <c r="F34" s="44">
        <v>2028</v>
      </c>
      <c r="G34" s="44">
        <v>2029</v>
      </c>
      <c r="H34" s="44">
        <v>2030</v>
      </c>
      <c r="I34" s="44">
        <v>2031</v>
      </c>
      <c r="J34" s="44">
        <v>2032</v>
      </c>
      <c r="K34" s="44">
        <v>2033</v>
      </c>
      <c r="L34" s="44">
        <v>2034</v>
      </c>
      <c r="M34" s="44">
        <v>2035</v>
      </c>
      <c r="N34" s="44">
        <v>2036</v>
      </c>
      <c r="O34" s="44">
        <v>2037</v>
      </c>
      <c r="P34" s="44">
        <v>2038</v>
      </c>
      <c r="Q34" s="44">
        <v>2039</v>
      </c>
      <c r="R34" s="44">
        <v>2040</v>
      </c>
      <c r="S34" s="44">
        <v>2041</v>
      </c>
      <c r="T34" s="44">
        <v>2042</v>
      </c>
      <c r="U34" s="44">
        <v>2043</v>
      </c>
      <c r="V34" s="44">
        <v>2044</v>
      </c>
      <c r="W34" s="44">
        <v>2045</v>
      </c>
      <c r="X34" s="44">
        <v>2046</v>
      </c>
      <c r="Y34" s="44">
        <v>2047</v>
      </c>
      <c r="Z34" s="44">
        <v>2048</v>
      </c>
      <c r="AA34" s="44">
        <v>2049</v>
      </c>
      <c r="AB34" s="44">
        <v>2050</v>
      </c>
      <c r="AC34" s="44">
        <v>2051</v>
      </c>
      <c r="AD34" s="44">
        <v>2052</v>
      </c>
      <c r="AE34" s="44">
        <v>2053</v>
      </c>
      <c r="AF34" s="44">
        <v>2054</v>
      </c>
      <c r="AH34" s="17" t="s">
        <v>279</v>
      </c>
    </row>
    <row r="35" spans="2:34" hidden="1" outlineLevel="1" x14ac:dyDescent="0.25">
      <c r="B35" s="31" t="s">
        <v>144</v>
      </c>
      <c r="C35" s="32">
        <v>0</v>
      </c>
      <c r="D35" s="32">
        <v>0</v>
      </c>
      <c r="E35" s="32">
        <v>0</v>
      </c>
      <c r="F35" s="32">
        <v>0</v>
      </c>
      <c r="G35" s="32">
        <v>0</v>
      </c>
      <c r="H35" s="32">
        <v>0</v>
      </c>
      <c r="I35" s="32">
        <v>0</v>
      </c>
      <c r="J35" s="32">
        <v>0</v>
      </c>
      <c r="K35" s="32">
        <v>0</v>
      </c>
      <c r="L35" s="32">
        <v>0</v>
      </c>
      <c r="M35" s="32">
        <v>0</v>
      </c>
      <c r="N35" s="32">
        <v>0</v>
      </c>
      <c r="O35" s="32">
        <v>0</v>
      </c>
      <c r="P35" s="32">
        <v>0</v>
      </c>
      <c r="Q35" s="32">
        <v>0</v>
      </c>
      <c r="R35" s="32">
        <v>0</v>
      </c>
      <c r="S35" s="32">
        <v>0</v>
      </c>
      <c r="T35" s="32">
        <v>0</v>
      </c>
      <c r="U35" s="32">
        <v>0</v>
      </c>
      <c r="V35" s="32">
        <v>0</v>
      </c>
      <c r="W35" s="32">
        <v>0</v>
      </c>
      <c r="X35" s="32">
        <v>0</v>
      </c>
      <c r="Y35" s="32">
        <v>0</v>
      </c>
      <c r="Z35" s="32">
        <v>0</v>
      </c>
      <c r="AA35" s="32">
        <v>0</v>
      </c>
      <c r="AB35" s="32">
        <v>0</v>
      </c>
      <c r="AC35" s="32">
        <v>0</v>
      </c>
      <c r="AD35" s="32">
        <v>0</v>
      </c>
      <c r="AE35" s="32">
        <v>0</v>
      </c>
      <c r="AF35" s="32">
        <v>0</v>
      </c>
      <c r="AG35"/>
      <c r="AH35" s="17" t="s">
        <v>279</v>
      </c>
    </row>
    <row r="36" spans="2:34" hidden="1" outlineLevel="1" x14ac:dyDescent="0.25">
      <c r="B36" s="31" t="s">
        <v>145</v>
      </c>
      <c r="C36" s="32">
        <v>11884388.380107559</v>
      </c>
      <c r="D36" s="32">
        <v>11884388.380107559</v>
      </c>
      <c r="E36" s="32">
        <v>11884388.380107559</v>
      </c>
      <c r="F36" s="32">
        <v>11884388.380107559</v>
      </c>
      <c r="G36" s="32">
        <v>11884388.380107559</v>
      </c>
      <c r="H36" s="32">
        <v>0</v>
      </c>
      <c r="I36" s="32">
        <v>0</v>
      </c>
      <c r="J36" s="32">
        <v>0</v>
      </c>
      <c r="K36" s="32">
        <v>0</v>
      </c>
      <c r="L36" s="32">
        <v>0</v>
      </c>
      <c r="M36" s="32">
        <v>0</v>
      </c>
      <c r="N36" s="32">
        <v>0</v>
      </c>
      <c r="O36" s="32">
        <v>0</v>
      </c>
      <c r="P36" s="32">
        <v>0</v>
      </c>
      <c r="Q36" s="32">
        <v>0</v>
      </c>
      <c r="R36" s="32">
        <v>0</v>
      </c>
      <c r="S36" s="32">
        <v>0</v>
      </c>
      <c r="T36" s="32">
        <v>0</v>
      </c>
      <c r="U36" s="32">
        <v>0</v>
      </c>
      <c r="V36" s="32">
        <v>0</v>
      </c>
      <c r="W36" s="32">
        <v>0</v>
      </c>
      <c r="X36" s="32">
        <v>0</v>
      </c>
      <c r="Y36" s="32">
        <v>0</v>
      </c>
      <c r="Z36" s="32">
        <v>0</v>
      </c>
      <c r="AA36" s="32">
        <v>0</v>
      </c>
      <c r="AB36" s="32">
        <v>0</v>
      </c>
      <c r="AC36" s="32">
        <v>0</v>
      </c>
      <c r="AD36" s="32">
        <v>0</v>
      </c>
      <c r="AE36" s="32">
        <v>0</v>
      </c>
      <c r="AF36" s="32">
        <v>0</v>
      </c>
      <c r="AG36"/>
      <c r="AH36" s="17" t="s">
        <v>279</v>
      </c>
    </row>
    <row r="37" spans="2:34" hidden="1" outlineLevel="1" x14ac:dyDescent="0.25">
      <c r="B37" s="31" t="s">
        <v>244</v>
      </c>
      <c r="C37" s="32">
        <v>35030010.666666664</v>
      </c>
      <c r="D37" s="32">
        <v>35030010.666666664</v>
      </c>
      <c r="E37" s="32">
        <v>0</v>
      </c>
      <c r="F37" s="32">
        <v>0</v>
      </c>
      <c r="G37" s="32">
        <v>0</v>
      </c>
      <c r="H37" s="32">
        <v>0</v>
      </c>
      <c r="I37" s="32">
        <v>0</v>
      </c>
      <c r="J37" s="32">
        <v>0</v>
      </c>
      <c r="K37" s="32">
        <v>0</v>
      </c>
      <c r="L37" s="32">
        <v>0</v>
      </c>
      <c r="M37" s="32">
        <v>0</v>
      </c>
      <c r="N37" s="32">
        <v>0</v>
      </c>
      <c r="O37" s="32">
        <v>0</v>
      </c>
      <c r="P37" s="32">
        <v>0</v>
      </c>
      <c r="Q37" s="32">
        <v>0</v>
      </c>
      <c r="R37" s="32">
        <v>0</v>
      </c>
      <c r="S37" s="32">
        <v>0</v>
      </c>
      <c r="T37" s="32">
        <v>0</v>
      </c>
      <c r="U37" s="32">
        <v>0</v>
      </c>
      <c r="V37" s="32">
        <v>0</v>
      </c>
      <c r="W37" s="32">
        <v>0</v>
      </c>
      <c r="X37" s="32">
        <v>0</v>
      </c>
      <c r="Y37" s="32">
        <v>0</v>
      </c>
      <c r="Z37" s="32">
        <v>0</v>
      </c>
      <c r="AA37" s="32">
        <v>0</v>
      </c>
      <c r="AB37" s="32">
        <v>0</v>
      </c>
      <c r="AC37" s="32">
        <v>0</v>
      </c>
      <c r="AD37" s="32">
        <v>0</v>
      </c>
      <c r="AE37" s="32">
        <v>0</v>
      </c>
      <c r="AF37" s="32">
        <v>0</v>
      </c>
      <c r="AG37"/>
      <c r="AH37" s="17" t="s">
        <v>279</v>
      </c>
    </row>
    <row r="38" spans="2:34" customFormat="1" hidden="1" outlineLevel="1" x14ac:dyDescent="0.25">
      <c r="B38" s="31" t="s">
        <v>147</v>
      </c>
      <c r="C38" s="32">
        <v>0</v>
      </c>
      <c r="D38" s="32">
        <v>0</v>
      </c>
      <c r="E38" s="32">
        <v>0</v>
      </c>
      <c r="F38" s="32">
        <v>0</v>
      </c>
      <c r="G38" s="32">
        <v>0</v>
      </c>
      <c r="H38" s="32">
        <v>0</v>
      </c>
      <c r="I38" s="32">
        <v>0</v>
      </c>
      <c r="J38" s="32">
        <v>0</v>
      </c>
      <c r="K38" s="32">
        <v>0</v>
      </c>
      <c r="L38" s="32">
        <v>0</v>
      </c>
      <c r="M38" s="32">
        <v>0</v>
      </c>
      <c r="N38" s="32">
        <v>0</v>
      </c>
      <c r="O38" s="32">
        <v>0</v>
      </c>
      <c r="P38" s="32">
        <v>0</v>
      </c>
      <c r="Q38" s="32">
        <v>0</v>
      </c>
      <c r="R38" s="32">
        <v>0</v>
      </c>
      <c r="S38" s="32">
        <v>0</v>
      </c>
      <c r="T38" s="32">
        <v>0</v>
      </c>
      <c r="U38" s="32">
        <v>0</v>
      </c>
      <c r="V38" s="32">
        <v>0</v>
      </c>
      <c r="W38" s="32">
        <v>0</v>
      </c>
      <c r="X38" s="32">
        <v>0</v>
      </c>
      <c r="Y38" s="32">
        <v>0</v>
      </c>
      <c r="Z38" s="32">
        <v>0</v>
      </c>
      <c r="AA38" s="32">
        <v>0</v>
      </c>
      <c r="AB38" s="32">
        <v>0</v>
      </c>
      <c r="AC38" s="32">
        <v>0</v>
      </c>
      <c r="AD38" s="32">
        <v>0</v>
      </c>
      <c r="AE38" s="32">
        <v>0</v>
      </c>
      <c r="AF38" s="32">
        <v>0</v>
      </c>
      <c r="AH38" s="17" t="s">
        <v>279</v>
      </c>
    </row>
    <row r="39" spans="2:34" hidden="1" outlineLevel="1" x14ac:dyDescent="0.25">
      <c r="B39" s="31" t="s">
        <v>245</v>
      </c>
      <c r="C39" s="32">
        <v>0</v>
      </c>
      <c r="D39" s="32">
        <v>0</v>
      </c>
      <c r="E39" s="32">
        <v>0</v>
      </c>
      <c r="F39" s="32">
        <v>0</v>
      </c>
      <c r="G39" s="32">
        <v>0</v>
      </c>
      <c r="H39" s="32">
        <v>0</v>
      </c>
      <c r="I39" s="32">
        <v>0</v>
      </c>
      <c r="J39" s="32">
        <v>0</v>
      </c>
      <c r="K39" s="32">
        <v>0</v>
      </c>
      <c r="L39" s="32">
        <v>0</v>
      </c>
      <c r="M39" s="32">
        <v>0</v>
      </c>
      <c r="N39" s="32">
        <v>0</v>
      </c>
      <c r="O39" s="32">
        <v>0</v>
      </c>
      <c r="P39" s="32">
        <v>0</v>
      </c>
      <c r="Q39" s="32">
        <v>0</v>
      </c>
      <c r="R39" s="32">
        <v>0</v>
      </c>
      <c r="S39" s="32">
        <v>0</v>
      </c>
      <c r="T39" s="32">
        <v>0</v>
      </c>
      <c r="U39" s="32">
        <v>0</v>
      </c>
      <c r="V39" s="32">
        <v>0</v>
      </c>
      <c r="W39" s="32">
        <v>0</v>
      </c>
      <c r="X39" s="32">
        <v>0</v>
      </c>
      <c r="Y39" s="32">
        <v>0</v>
      </c>
      <c r="Z39" s="32">
        <v>0</v>
      </c>
      <c r="AA39" s="32">
        <v>0</v>
      </c>
      <c r="AB39" s="32">
        <v>0</v>
      </c>
      <c r="AC39" s="32">
        <v>0</v>
      </c>
      <c r="AD39" s="32">
        <v>0</v>
      </c>
      <c r="AE39" s="32">
        <v>0</v>
      </c>
      <c r="AF39" s="32">
        <v>0</v>
      </c>
      <c r="AG39"/>
      <c r="AH39" s="17" t="s">
        <v>279</v>
      </c>
    </row>
    <row r="40" spans="2:34" hidden="1" outlineLevel="1" x14ac:dyDescent="0.25">
      <c r="B40" s="31" t="s">
        <v>149</v>
      </c>
      <c r="C40" s="32">
        <v>46914399.046774223</v>
      </c>
      <c r="D40" s="32">
        <v>46914399.046774223</v>
      </c>
      <c r="E40" s="32">
        <v>11884388.380107559</v>
      </c>
      <c r="F40" s="32">
        <v>11884388.380107559</v>
      </c>
      <c r="G40" s="32">
        <v>11884388.380107559</v>
      </c>
      <c r="H40" s="32">
        <v>0</v>
      </c>
      <c r="I40" s="32">
        <v>0</v>
      </c>
      <c r="J40" s="32">
        <v>0</v>
      </c>
      <c r="K40" s="32">
        <v>0</v>
      </c>
      <c r="L40" s="32">
        <v>0</v>
      </c>
      <c r="M40" s="32">
        <v>0</v>
      </c>
      <c r="N40" s="32">
        <v>0</v>
      </c>
      <c r="O40" s="32">
        <v>0</v>
      </c>
      <c r="P40" s="32">
        <v>0</v>
      </c>
      <c r="Q40" s="32">
        <v>0</v>
      </c>
      <c r="R40" s="32">
        <v>0</v>
      </c>
      <c r="S40" s="32">
        <v>0</v>
      </c>
      <c r="T40" s="32">
        <v>0</v>
      </c>
      <c r="U40" s="32">
        <v>0</v>
      </c>
      <c r="V40" s="32">
        <v>0</v>
      </c>
      <c r="W40" s="32">
        <v>0</v>
      </c>
      <c r="X40" s="32">
        <v>0</v>
      </c>
      <c r="Y40" s="32">
        <v>0</v>
      </c>
      <c r="Z40" s="32">
        <v>0</v>
      </c>
      <c r="AA40" s="32">
        <v>0</v>
      </c>
      <c r="AB40" s="32">
        <v>0</v>
      </c>
      <c r="AC40" s="32">
        <v>0</v>
      </c>
      <c r="AD40" s="32">
        <v>0</v>
      </c>
      <c r="AE40" s="32">
        <v>0</v>
      </c>
      <c r="AF40" s="32">
        <v>0</v>
      </c>
      <c r="AG40"/>
      <c r="AH40" s="17" t="s">
        <v>279</v>
      </c>
    </row>
    <row r="41" spans="2:34" hidden="1" outlineLevel="1" x14ac:dyDescent="0.25">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c r="AH41"/>
    </row>
    <row r="42" spans="2:34" ht="15.75" hidden="1" outlineLevel="1" thickBot="1" x14ac:dyDescent="0.3">
      <c r="B42" s="28" t="s">
        <v>280</v>
      </c>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0"/>
      <c r="AH42" s="20" t="s">
        <v>15</v>
      </c>
    </row>
    <row r="43" spans="2:34" customFormat="1" hidden="1" outlineLevel="1" x14ac:dyDescent="0.25">
      <c r="B43" s="30"/>
      <c r="C43" s="17">
        <v>2025</v>
      </c>
      <c r="D43" s="44">
        <v>2026</v>
      </c>
      <c r="E43" s="44">
        <v>2027</v>
      </c>
      <c r="F43" s="44">
        <v>2028</v>
      </c>
      <c r="G43" s="44">
        <v>2029</v>
      </c>
      <c r="H43" s="44">
        <v>2030</v>
      </c>
      <c r="I43" s="44">
        <v>2031</v>
      </c>
      <c r="J43" s="44">
        <v>2032</v>
      </c>
      <c r="K43" s="44">
        <v>2033</v>
      </c>
      <c r="L43" s="44">
        <v>2034</v>
      </c>
      <c r="M43" s="44">
        <v>2035</v>
      </c>
      <c r="N43" s="44">
        <v>2036</v>
      </c>
      <c r="O43" s="44">
        <v>2037</v>
      </c>
      <c r="P43" s="44">
        <v>2038</v>
      </c>
      <c r="Q43" s="44">
        <v>2039</v>
      </c>
      <c r="R43" s="44">
        <v>2040</v>
      </c>
      <c r="S43" s="44">
        <v>2041</v>
      </c>
      <c r="T43" s="44">
        <v>2042</v>
      </c>
      <c r="U43" s="44">
        <v>2043</v>
      </c>
      <c r="V43" s="44">
        <v>2044</v>
      </c>
      <c r="W43" s="44">
        <v>2045</v>
      </c>
      <c r="X43" s="44">
        <v>2046</v>
      </c>
      <c r="Y43" s="44">
        <v>2047</v>
      </c>
      <c r="Z43" s="44">
        <v>2048</v>
      </c>
      <c r="AA43" s="44">
        <v>2049</v>
      </c>
      <c r="AB43" s="44">
        <v>2050</v>
      </c>
      <c r="AC43" s="44">
        <v>2051</v>
      </c>
      <c r="AD43" s="44">
        <v>2052</v>
      </c>
      <c r="AE43" s="44">
        <v>2053</v>
      </c>
      <c r="AF43" s="44">
        <v>2054</v>
      </c>
      <c r="AG43" s="1"/>
      <c r="AH43" s="1"/>
    </row>
    <row r="44" spans="2:34" hidden="1" outlineLevel="1" x14ac:dyDescent="0.25">
      <c r="B44" s="31" t="s">
        <v>144</v>
      </c>
      <c r="C44" s="32">
        <v>91218518.516397119</v>
      </c>
      <c r="D44" s="32">
        <v>91218518.516397119</v>
      </c>
      <c r="E44" s="32">
        <v>91218518.516397119</v>
      </c>
      <c r="F44" s="32">
        <v>91218518.516397119</v>
      </c>
      <c r="G44" s="32">
        <v>91218518.516397119</v>
      </c>
      <c r="H44" s="32">
        <v>89605158.712475568</v>
      </c>
      <c r="I44" s="32">
        <v>89605158.712475568</v>
      </c>
      <c r="J44" s="32">
        <v>89605158.712475568</v>
      </c>
      <c r="K44" s="32">
        <v>89605158.712475568</v>
      </c>
      <c r="L44" s="32">
        <v>89605158.712475568</v>
      </c>
      <c r="M44" s="32">
        <v>89605158.712475568</v>
      </c>
      <c r="N44" s="32">
        <v>89605158.712475568</v>
      </c>
      <c r="O44" s="32">
        <v>89605158.712475568</v>
      </c>
      <c r="P44" s="32">
        <v>89605158.712475568</v>
      </c>
      <c r="Q44" s="32">
        <v>89605158.712475568</v>
      </c>
      <c r="R44" s="32">
        <v>89605158.712475568</v>
      </c>
      <c r="S44" s="32">
        <v>89605158.712475568</v>
      </c>
      <c r="T44" s="32">
        <v>89605158.712475568</v>
      </c>
      <c r="U44" s="32">
        <v>89605158.712475568</v>
      </c>
      <c r="V44" s="32">
        <v>89605158.712475568</v>
      </c>
      <c r="W44" s="32">
        <v>89605158.712475568</v>
      </c>
      <c r="X44" s="32">
        <v>89605158.712475568</v>
      </c>
      <c r="Y44" s="32">
        <v>89605158.712475568</v>
      </c>
      <c r="Z44" s="32">
        <v>89605158.712475568</v>
      </c>
      <c r="AA44" s="32">
        <v>89605158.712475568</v>
      </c>
      <c r="AB44" s="32">
        <v>89605158.712475568</v>
      </c>
      <c r="AC44" s="32">
        <v>89605158.712475568</v>
      </c>
      <c r="AD44" s="32">
        <v>89605158.712475568</v>
      </c>
      <c r="AE44" s="32">
        <v>89605158.712475568</v>
      </c>
      <c r="AF44" s="32">
        <v>89605158.712475568</v>
      </c>
      <c r="AG44"/>
      <c r="AH44" s="17" t="s">
        <v>279</v>
      </c>
    </row>
    <row r="45" spans="2:34" hidden="1" outlineLevel="1" x14ac:dyDescent="0.25">
      <c r="B45" s="31" t="s">
        <v>145</v>
      </c>
      <c r="C45" s="32">
        <v>0</v>
      </c>
      <c r="D45" s="32">
        <v>0</v>
      </c>
      <c r="E45" s="32">
        <v>0</v>
      </c>
      <c r="F45" s="32">
        <v>0</v>
      </c>
      <c r="G45" s="32">
        <v>0</v>
      </c>
      <c r="H45" s="32">
        <v>11884388.380107559</v>
      </c>
      <c r="I45" s="32">
        <v>11884388.380107559</v>
      </c>
      <c r="J45" s="32">
        <v>11884388.380107559</v>
      </c>
      <c r="K45" s="32">
        <v>11884388.380107559</v>
      </c>
      <c r="L45" s="32">
        <v>11884388.380107559</v>
      </c>
      <c r="M45" s="32">
        <v>11884388.380107559</v>
      </c>
      <c r="N45" s="32">
        <v>11884388.380107559</v>
      </c>
      <c r="O45" s="32">
        <v>11884388.380107559</v>
      </c>
      <c r="P45" s="32">
        <v>11884388.380107559</v>
      </c>
      <c r="Q45" s="32">
        <v>11884388.380107559</v>
      </c>
      <c r="R45" s="32">
        <v>11884388.380107559</v>
      </c>
      <c r="S45" s="32">
        <v>11884388.380107559</v>
      </c>
      <c r="T45" s="32">
        <v>11525540.601956299</v>
      </c>
      <c r="U45" s="32">
        <v>11525540.601956299</v>
      </c>
      <c r="V45" s="32">
        <v>11525540.601956299</v>
      </c>
      <c r="W45" s="32">
        <v>11525540.601956299</v>
      </c>
      <c r="X45" s="32">
        <v>11525540.601956299</v>
      </c>
      <c r="Y45" s="32">
        <v>11525540.601956299</v>
      </c>
      <c r="Z45" s="32">
        <v>11525540.601956299</v>
      </c>
      <c r="AA45" s="32">
        <v>11525540.601956299</v>
      </c>
      <c r="AB45" s="32">
        <v>11525540.601956299</v>
      </c>
      <c r="AC45" s="32">
        <v>11525540.601956299</v>
      </c>
      <c r="AD45" s="32">
        <v>11525540.601956299</v>
      </c>
      <c r="AE45" s="32">
        <v>11525540.601956299</v>
      </c>
      <c r="AF45" s="32">
        <v>11525540.601956299</v>
      </c>
      <c r="AG45"/>
      <c r="AH45" s="17" t="s">
        <v>279</v>
      </c>
    </row>
    <row r="46" spans="2:34" customFormat="1" hidden="1" outlineLevel="1" x14ac:dyDescent="0.25">
      <c r="B46" s="31" t="s">
        <v>244</v>
      </c>
      <c r="C46" s="32">
        <v>0</v>
      </c>
      <c r="D46" s="32">
        <v>0</v>
      </c>
      <c r="E46" s="32">
        <v>35030010.666666664</v>
      </c>
      <c r="F46" s="32">
        <v>33517716.333333336</v>
      </c>
      <c r="G46" s="32">
        <v>33517716.333333336</v>
      </c>
      <c r="H46" s="32">
        <v>31998292.333333336</v>
      </c>
      <c r="I46" s="32">
        <v>31998292.333333336</v>
      </c>
      <c r="J46" s="32">
        <v>31998292.333333336</v>
      </c>
      <c r="K46" s="32">
        <v>31998292.333333336</v>
      </c>
      <c r="L46" s="32">
        <v>31998292.333333336</v>
      </c>
      <c r="M46" s="32">
        <v>31998292.333333336</v>
      </c>
      <c r="N46" s="32">
        <v>29833701.969607845</v>
      </c>
      <c r="O46" s="32">
        <v>29833701.969607845</v>
      </c>
      <c r="P46" s="32">
        <v>28875000.884313725</v>
      </c>
      <c r="Q46" s="32">
        <v>28875000.884313725</v>
      </c>
      <c r="R46" s="32">
        <v>28875000.884313725</v>
      </c>
      <c r="S46" s="32">
        <v>28875000.884313725</v>
      </c>
      <c r="T46" s="32">
        <v>28875000.884313725</v>
      </c>
      <c r="U46" s="32">
        <v>28875000.884313725</v>
      </c>
      <c r="V46" s="32">
        <v>28875000.884313725</v>
      </c>
      <c r="W46" s="32">
        <v>28875000.884313725</v>
      </c>
      <c r="X46" s="32">
        <v>28875000.884313725</v>
      </c>
      <c r="Y46" s="32">
        <v>28875000.884313725</v>
      </c>
      <c r="Z46" s="32">
        <v>28875000.884313725</v>
      </c>
      <c r="AA46" s="32">
        <v>28875000.884313725</v>
      </c>
      <c r="AB46" s="32">
        <v>28875000.884313725</v>
      </c>
      <c r="AC46" s="32">
        <v>28875000.884313725</v>
      </c>
      <c r="AD46" s="32">
        <v>28875000.884313725</v>
      </c>
      <c r="AE46" s="32">
        <v>28875000.884313725</v>
      </c>
      <c r="AF46" s="32">
        <v>28875000.884313725</v>
      </c>
      <c r="AH46" s="17" t="s">
        <v>279</v>
      </c>
    </row>
    <row r="47" spans="2:34" hidden="1" outlineLevel="1" x14ac:dyDescent="0.25">
      <c r="B47" s="31" t="s">
        <v>147</v>
      </c>
      <c r="C47" s="32">
        <v>0</v>
      </c>
      <c r="D47" s="32">
        <v>0</v>
      </c>
      <c r="E47" s="32">
        <v>0</v>
      </c>
      <c r="F47" s="32">
        <v>0</v>
      </c>
      <c r="G47" s="32">
        <v>0</v>
      </c>
      <c r="H47" s="32">
        <v>0</v>
      </c>
      <c r="I47" s="32">
        <v>0</v>
      </c>
      <c r="J47" s="32">
        <v>0</v>
      </c>
      <c r="K47" s="32">
        <v>0</v>
      </c>
      <c r="L47" s="32">
        <v>0</v>
      </c>
      <c r="M47" s="32">
        <v>0</v>
      </c>
      <c r="N47" s="32">
        <v>0</v>
      </c>
      <c r="O47" s="32">
        <v>0</v>
      </c>
      <c r="P47" s="32">
        <v>0</v>
      </c>
      <c r="Q47" s="32">
        <v>0</v>
      </c>
      <c r="R47" s="32">
        <v>0</v>
      </c>
      <c r="S47" s="32">
        <v>0</v>
      </c>
      <c r="T47" s="32">
        <v>0</v>
      </c>
      <c r="U47" s="32">
        <v>0</v>
      </c>
      <c r="V47" s="32">
        <v>0</v>
      </c>
      <c r="W47" s="32">
        <v>0</v>
      </c>
      <c r="X47" s="32">
        <v>0</v>
      </c>
      <c r="Y47" s="32">
        <v>0</v>
      </c>
      <c r="Z47" s="32">
        <v>0</v>
      </c>
      <c r="AA47" s="32">
        <v>0</v>
      </c>
      <c r="AB47" s="32">
        <v>0</v>
      </c>
      <c r="AC47" s="32">
        <v>0</v>
      </c>
      <c r="AD47" s="32">
        <v>0</v>
      </c>
      <c r="AE47" s="32">
        <v>0</v>
      </c>
      <c r="AF47" s="32">
        <v>0</v>
      </c>
      <c r="AG47"/>
      <c r="AH47" s="17" t="s">
        <v>279</v>
      </c>
    </row>
    <row r="48" spans="2:34" hidden="1" outlineLevel="1" x14ac:dyDescent="0.25">
      <c r="B48" s="31" t="s">
        <v>245</v>
      </c>
      <c r="C48" s="32">
        <v>0</v>
      </c>
      <c r="D48" s="32">
        <v>0</v>
      </c>
      <c r="E48" s="32">
        <v>0</v>
      </c>
      <c r="F48" s="32">
        <v>0</v>
      </c>
      <c r="G48" s="32">
        <v>0</v>
      </c>
      <c r="H48" s="32">
        <v>0</v>
      </c>
      <c r="I48" s="32">
        <v>0</v>
      </c>
      <c r="J48" s="32">
        <v>0</v>
      </c>
      <c r="K48" s="32">
        <v>0</v>
      </c>
      <c r="L48" s="32">
        <v>0</v>
      </c>
      <c r="M48" s="32">
        <v>0</v>
      </c>
      <c r="N48" s="32">
        <v>0</v>
      </c>
      <c r="O48" s="32">
        <v>0</v>
      </c>
      <c r="P48" s="32">
        <v>0</v>
      </c>
      <c r="Q48" s="32">
        <v>0</v>
      </c>
      <c r="R48" s="32">
        <v>4623100.2231905619</v>
      </c>
      <c r="S48" s="32">
        <v>4623100.2231905619</v>
      </c>
      <c r="T48" s="32">
        <v>4623100.2231905619</v>
      </c>
      <c r="U48" s="32">
        <v>4623100.2231905619</v>
      </c>
      <c r="V48" s="32">
        <v>4623100.2231905619</v>
      </c>
      <c r="W48" s="32">
        <v>4623100.2231905619</v>
      </c>
      <c r="X48" s="32">
        <v>4623100.2231905619</v>
      </c>
      <c r="Y48" s="32">
        <v>4623100.2231905619</v>
      </c>
      <c r="Z48" s="32">
        <v>4623100.2231905619</v>
      </c>
      <c r="AA48" s="32">
        <v>4623100.2231905619</v>
      </c>
      <c r="AB48" s="32">
        <v>4623100.2231905619</v>
      </c>
      <c r="AC48" s="32">
        <v>4623100.2231905619</v>
      </c>
      <c r="AD48" s="32">
        <v>4623100.2231905619</v>
      </c>
      <c r="AE48" s="32">
        <v>4623100.2231905619</v>
      </c>
      <c r="AF48" s="32">
        <v>4623100.2231905619</v>
      </c>
      <c r="AG48"/>
      <c r="AH48" s="17" t="s">
        <v>279</v>
      </c>
    </row>
    <row r="49" spans="2:35" hidden="1" outlineLevel="1" x14ac:dyDescent="0.25">
      <c r="B49" s="31" t="s">
        <v>149</v>
      </c>
      <c r="C49" s="32">
        <v>91218518.516397119</v>
      </c>
      <c r="D49" s="32">
        <v>91218518.516397119</v>
      </c>
      <c r="E49" s="32">
        <v>126248529.18306378</v>
      </c>
      <c r="F49" s="32">
        <v>124736234.84973046</v>
      </c>
      <c r="G49" s="32">
        <v>124736234.84973046</v>
      </c>
      <c r="H49" s="32">
        <v>133487839.42591646</v>
      </c>
      <c r="I49" s="32">
        <v>133487839.42591646</v>
      </c>
      <c r="J49" s="32">
        <v>133487839.42591646</v>
      </c>
      <c r="K49" s="32">
        <v>133487839.42591646</v>
      </c>
      <c r="L49" s="32">
        <v>133487839.42591646</v>
      </c>
      <c r="M49" s="32">
        <v>133487839.42591646</v>
      </c>
      <c r="N49" s="32">
        <v>131323249.06219096</v>
      </c>
      <c r="O49" s="32">
        <v>131323249.06219096</v>
      </c>
      <c r="P49" s="32">
        <v>130364547.97689685</v>
      </c>
      <c r="Q49" s="32">
        <v>130364547.97689685</v>
      </c>
      <c r="R49" s="32">
        <v>134987648.20008743</v>
      </c>
      <c r="S49" s="32">
        <v>134987648.20008743</v>
      </c>
      <c r="T49" s="32">
        <v>134628800.42193615</v>
      </c>
      <c r="U49" s="32">
        <v>134628800.42193615</v>
      </c>
      <c r="V49" s="32">
        <v>134628800.42193615</v>
      </c>
      <c r="W49" s="32">
        <v>134628800.42193615</v>
      </c>
      <c r="X49" s="32">
        <v>134628800.42193615</v>
      </c>
      <c r="Y49" s="32">
        <v>134628800.42193615</v>
      </c>
      <c r="Z49" s="32">
        <v>134628800.42193615</v>
      </c>
      <c r="AA49" s="32">
        <v>134628800.42193615</v>
      </c>
      <c r="AB49" s="32">
        <v>134628800.42193615</v>
      </c>
      <c r="AC49" s="32">
        <v>134628800.42193615</v>
      </c>
      <c r="AD49" s="32">
        <v>134628800.42193615</v>
      </c>
      <c r="AE49" s="32">
        <v>134628800.42193615</v>
      </c>
      <c r="AF49" s="32">
        <v>134628800.42193615</v>
      </c>
      <c r="AG49"/>
      <c r="AH49" s="17" t="s">
        <v>279</v>
      </c>
    </row>
    <row r="50" spans="2:35" hidden="1" outlineLevel="1" x14ac:dyDescent="0.25">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c r="AH50"/>
    </row>
    <row r="51" spans="2:35" hidden="1" outlineLevel="1" x14ac:dyDescent="0.25">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c r="AH51"/>
    </row>
    <row r="52" spans="2:35" ht="17.25" hidden="1" outlineLevel="1" thickBot="1" x14ac:dyDescent="0.3">
      <c r="B52" s="26" t="s">
        <v>282</v>
      </c>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row>
    <row r="53" spans="2:35" ht="16.5" hidden="1" outlineLevel="1" thickTop="1" thickBot="1" x14ac:dyDescent="0.3">
      <c r="B53" s="28" t="s">
        <v>278</v>
      </c>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0"/>
      <c r="AH53" s="20" t="s">
        <v>15</v>
      </c>
    </row>
    <row r="54" spans="2:35" customFormat="1" hidden="1" outlineLevel="1" x14ac:dyDescent="0.25">
      <c r="B54" s="30"/>
      <c r="C54" s="17">
        <v>2025</v>
      </c>
      <c r="D54" s="44">
        <v>2026</v>
      </c>
      <c r="E54" s="44">
        <v>2027</v>
      </c>
      <c r="F54" s="44">
        <v>2028</v>
      </c>
      <c r="G54" s="44">
        <v>2029</v>
      </c>
      <c r="H54" s="44">
        <v>2030</v>
      </c>
      <c r="I54" s="44">
        <v>2031</v>
      </c>
      <c r="J54" s="44">
        <v>2032</v>
      </c>
      <c r="K54" s="44">
        <v>2033</v>
      </c>
      <c r="L54" s="44">
        <v>2034</v>
      </c>
      <c r="M54" s="44">
        <v>2035</v>
      </c>
      <c r="N54" s="44">
        <v>2036</v>
      </c>
      <c r="O54" s="44">
        <v>2037</v>
      </c>
      <c r="P54" s="44">
        <v>2038</v>
      </c>
      <c r="Q54" s="44">
        <v>2039</v>
      </c>
      <c r="R54" s="44">
        <v>2040</v>
      </c>
      <c r="S54" s="44">
        <v>2041</v>
      </c>
      <c r="T54" s="44">
        <v>2042</v>
      </c>
      <c r="U54" s="44">
        <v>2043</v>
      </c>
      <c r="V54" s="44">
        <v>2044</v>
      </c>
      <c r="W54" s="44">
        <v>2045</v>
      </c>
      <c r="X54" s="44">
        <v>2046</v>
      </c>
      <c r="Y54" s="44">
        <v>2047</v>
      </c>
      <c r="Z54" s="44">
        <v>2048</v>
      </c>
      <c r="AA54" s="44">
        <v>2049</v>
      </c>
      <c r="AB54" s="44">
        <v>2050</v>
      </c>
      <c r="AC54" s="44">
        <v>2051</v>
      </c>
      <c r="AD54" s="44">
        <v>2052</v>
      </c>
      <c r="AE54" s="44">
        <v>2053</v>
      </c>
      <c r="AF54" s="44">
        <v>2054</v>
      </c>
      <c r="AH54" s="1"/>
      <c r="AI54" s="1"/>
    </row>
    <row r="55" spans="2:35" hidden="1" outlineLevel="1" x14ac:dyDescent="0.25">
      <c r="B55" s="31" t="s">
        <v>144</v>
      </c>
      <c r="C55" s="32">
        <v>0</v>
      </c>
      <c r="D55" s="32">
        <v>0</v>
      </c>
      <c r="E55" s="32">
        <v>0</v>
      </c>
      <c r="F55" s="32">
        <v>0</v>
      </c>
      <c r="G55" s="32">
        <v>0</v>
      </c>
      <c r="H55" s="32">
        <v>0</v>
      </c>
      <c r="I55" s="32">
        <v>0</v>
      </c>
      <c r="J55" s="32">
        <v>0</v>
      </c>
      <c r="K55" s="32">
        <v>0</v>
      </c>
      <c r="L55" s="32">
        <v>0</v>
      </c>
      <c r="M55" s="32">
        <v>0</v>
      </c>
      <c r="N55" s="32">
        <v>0</v>
      </c>
      <c r="O55" s="32">
        <v>0</v>
      </c>
      <c r="P55" s="32">
        <v>0</v>
      </c>
      <c r="Q55" s="32">
        <v>0</v>
      </c>
      <c r="R55" s="32">
        <v>0</v>
      </c>
      <c r="S55" s="32">
        <v>0</v>
      </c>
      <c r="T55" s="32">
        <v>0</v>
      </c>
      <c r="U55" s="32">
        <v>0</v>
      </c>
      <c r="V55" s="32">
        <v>0</v>
      </c>
      <c r="W55" s="32">
        <v>0</v>
      </c>
      <c r="X55" s="32">
        <v>0</v>
      </c>
      <c r="Y55" s="32">
        <v>0</v>
      </c>
      <c r="Z55" s="32">
        <v>0</v>
      </c>
      <c r="AA55" s="32">
        <v>0</v>
      </c>
      <c r="AB55" s="32">
        <v>0</v>
      </c>
      <c r="AC55" s="32">
        <v>0</v>
      </c>
      <c r="AD55" s="32">
        <v>0</v>
      </c>
      <c r="AE55" s="32">
        <v>0</v>
      </c>
      <c r="AF55" s="32">
        <v>0</v>
      </c>
      <c r="AG55"/>
      <c r="AH55" s="17" t="s">
        <v>279</v>
      </c>
    </row>
    <row r="56" spans="2:35" customFormat="1" hidden="1" outlineLevel="1" x14ac:dyDescent="0.25">
      <c r="B56" s="31" t="s">
        <v>145</v>
      </c>
      <c r="C56" s="32">
        <v>98109.353104549853</v>
      </c>
      <c r="D56" s="32">
        <v>98109.353104549853</v>
      </c>
      <c r="E56" s="32">
        <v>98109.353104549853</v>
      </c>
      <c r="F56" s="32">
        <v>98109.353104549853</v>
      </c>
      <c r="G56" s="32">
        <v>98109.353104549853</v>
      </c>
      <c r="H56" s="32">
        <v>0</v>
      </c>
      <c r="I56" s="32">
        <v>0</v>
      </c>
      <c r="J56" s="32">
        <v>0</v>
      </c>
      <c r="K56" s="32">
        <v>0</v>
      </c>
      <c r="L56" s="32">
        <v>0</v>
      </c>
      <c r="M56" s="32">
        <v>0</v>
      </c>
      <c r="N56" s="32">
        <v>0</v>
      </c>
      <c r="O56" s="32">
        <v>0</v>
      </c>
      <c r="P56" s="32">
        <v>0</v>
      </c>
      <c r="Q56" s="32">
        <v>0</v>
      </c>
      <c r="R56" s="32">
        <v>0</v>
      </c>
      <c r="S56" s="32">
        <v>0</v>
      </c>
      <c r="T56" s="32">
        <v>0</v>
      </c>
      <c r="U56" s="32">
        <v>0</v>
      </c>
      <c r="V56" s="32">
        <v>0</v>
      </c>
      <c r="W56" s="32">
        <v>0</v>
      </c>
      <c r="X56" s="32">
        <v>0</v>
      </c>
      <c r="Y56" s="32">
        <v>0</v>
      </c>
      <c r="Z56" s="32">
        <v>0</v>
      </c>
      <c r="AA56" s="32">
        <v>0</v>
      </c>
      <c r="AB56" s="32">
        <v>0</v>
      </c>
      <c r="AC56" s="32">
        <v>0</v>
      </c>
      <c r="AD56" s="32">
        <v>0</v>
      </c>
      <c r="AE56" s="32">
        <v>0</v>
      </c>
      <c r="AF56" s="32">
        <v>0</v>
      </c>
      <c r="AH56" s="17" t="s">
        <v>279</v>
      </c>
    </row>
    <row r="57" spans="2:35" hidden="1" outlineLevel="1" x14ac:dyDescent="0.25">
      <c r="B57" s="31" t="s">
        <v>244</v>
      </c>
      <c r="C57" s="32">
        <v>249408.4642786741</v>
      </c>
      <c r="D57" s="32">
        <v>249408.4642786741</v>
      </c>
      <c r="E57" s="32">
        <v>31507.726846091588</v>
      </c>
      <c r="F57" s="32">
        <v>31507.726846091588</v>
      </c>
      <c r="G57" s="32">
        <v>31507.726846091588</v>
      </c>
      <c r="H57" s="32">
        <v>0</v>
      </c>
      <c r="I57" s="32">
        <v>0</v>
      </c>
      <c r="J57" s="32">
        <v>0</v>
      </c>
      <c r="K57" s="32">
        <v>0</v>
      </c>
      <c r="L57" s="32">
        <v>0</v>
      </c>
      <c r="M57" s="32">
        <v>0</v>
      </c>
      <c r="N57" s="32">
        <v>0</v>
      </c>
      <c r="O57" s="32">
        <v>0</v>
      </c>
      <c r="P57" s="32">
        <v>0</v>
      </c>
      <c r="Q57" s="32">
        <v>0</v>
      </c>
      <c r="R57" s="32">
        <v>0</v>
      </c>
      <c r="S57" s="32">
        <v>0</v>
      </c>
      <c r="T57" s="32">
        <v>0</v>
      </c>
      <c r="U57" s="32">
        <v>0</v>
      </c>
      <c r="V57" s="32">
        <v>0</v>
      </c>
      <c r="W57" s="32">
        <v>0</v>
      </c>
      <c r="X57" s="32">
        <v>0</v>
      </c>
      <c r="Y57" s="32">
        <v>0</v>
      </c>
      <c r="Z57" s="32">
        <v>0</v>
      </c>
      <c r="AA57" s="32">
        <v>0</v>
      </c>
      <c r="AB57" s="32">
        <v>0</v>
      </c>
      <c r="AC57" s="32">
        <v>0</v>
      </c>
      <c r="AD57" s="32">
        <v>0</v>
      </c>
      <c r="AE57" s="32">
        <v>0</v>
      </c>
      <c r="AF57" s="32">
        <v>0</v>
      </c>
      <c r="AG57"/>
      <c r="AH57" s="17" t="s">
        <v>279</v>
      </c>
    </row>
    <row r="58" spans="2:35" hidden="1" outlineLevel="1" x14ac:dyDescent="0.25">
      <c r="B58" s="31" t="s">
        <v>147</v>
      </c>
      <c r="C58" s="32">
        <v>0</v>
      </c>
      <c r="D58" s="32">
        <v>0</v>
      </c>
      <c r="E58" s="32">
        <v>0</v>
      </c>
      <c r="F58" s="32">
        <v>0</v>
      </c>
      <c r="G58" s="32">
        <v>0</v>
      </c>
      <c r="H58" s="32">
        <v>0</v>
      </c>
      <c r="I58" s="32">
        <v>0</v>
      </c>
      <c r="J58" s="32">
        <v>0</v>
      </c>
      <c r="K58" s="32">
        <v>0</v>
      </c>
      <c r="L58" s="32">
        <v>0</v>
      </c>
      <c r="M58" s="32">
        <v>0</v>
      </c>
      <c r="N58" s="32">
        <v>0</v>
      </c>
      <c r="O58" s="32">
        <v>0</v>
      </c>
      <c r="P58" s="32">
        <v>0</v>
      </c>
      <c r="Q58" s="32">
        <v>0</v>
      </c>
      <c r="R58" s="32">
        <v>0</v>
      </c>
      <c r="S58" s="32">
        <v>0</v>
      </c>
      <c r="T58" s="32">
        <v>0</v>
      </c>
      <c r="U58" s="32">
        <v>0</v>
      </c>
      <c r="V58" s="32">
        <v>0</v>
      </c>
      <c r="W58" s="32">
        <v>0</v>
      </c>
      <c r="X58" s="32">
        <v>0</v>
      </c>
      <c r="Y58" s="32">
        <v>0</v>
      </c>
      <c r="Z58" s="32">
        <v>0</v>
      </c>
      <c r="AA58" s="32">
        <v>0</v>
      </c>
      <c r="AB58" s="32">
        <v>0</v>
      </c>
      <c r="AC58" s="32">
        <v>0</v>
      </c>
      <c r="AD58" s="32">
        <v>0</v>
      </c>
      <c r="AE58" s="32">
        <v>0</v>
      </c>
      <c r="AF58" s="32">
        <v>0</v>
      </c>
      <c r="AG58"/>
      <c r="AH58" s="17" t="s">
        <v>279</v>
      </c>
    </row>
    <row r="59" spans="2:35" hidden="1" outlineLevel="1" x14ac:dyDescent="0.25">
      <c r="B59" s="31" t="s">
        <v>245</v>
      </c>
      <c r="C59" s="32">
        <v>15010.998282483361</v>
      </c>
      <c r="D59" s="32">
        <v>15010.998282483361</v>
      </c>
      <c r="E59" s="32">
        <v>15010.998282483361</v>
      </c>
      <c r="F59" s="32">
        <v>15010.998282483361</v>
      </c>
      <c r="G59" s="32">
        <v>15010.998282483361</v>
      </c>
      <c r="H59" s="32">
        <v>15010.998282483361</v>
      </c>
      <c r="I59" s="32">
        <v>15010.998282483361</v>
      </c>
      <c r="J59" s="32">
        <v>0</v>
      </c>
      <c r="K59" s="32">
        <v>0</v>
      </c>
      <c r="L59" s="32">
        <v>0</v>
      </c>
      <c r="M59" s="32">
        <v>0</v>
      </c>
      <c r="N59" s="32">
        <v>0</v>
      </c>
      <c r="O59" s="32">
        <v>0</v>
      </c>
      <c r="P59" s="32">
        <v>0</v>
      </c>
      <c r="Q59" s="32">
        <v>0</v>
      </c>
      <c r="R59" s="32">
        <v>0</v>
      </c>
      <c r="S59" s="32">
        <v>0</v>
      </c>
      <c r="T59" s="32">
        <v>0</v>
      </c>
      <c r="U59" s="32">
        <v>0</v>
      </c>
      <c r="V59" s="32">
        <v>0</v>
      </c>
      <c r="W59" s="32">
        <v>0</v>
      </c>
      <c r="X59" s="32">
        <v>0</v>
      </c>
      <c r="Y59" s="32">
        <v>0</v>
      </c>
      <c r="Z59" s="32">
        <v>0</v>
      </c>
      <c r="AA59" s="32">
        <v>0</v>
      </c>
      <c r="AB59" s="32">
        <v>0</v>
      </c>
      <c r="AC59" s="32">
        <v>0</v>
      </c>
      <c r="AD59" s="32">
        <v>0</v>
      </c>
      <c r="AE59" s="32">
        <v>0</v>
      </c>
      <c r="AF59" s="32">
        <v>0</v>
      </c>
      <c r="AG59"/>
      <c r="AH59" s="17" t="s">
        <v>279</v>
      </c>
    </row>
    <row r="60" spans="2:35" hidden="1" outlineLevel="1" x14ac:dyDescent="0.25">
      <c r="B60" s="31" t="s">
        <v>149</v>
      </c>
      <c r="C60" s="32">
        <v>362528.81566570734</v>
      </c>
      <c r="D60" s="32">
        <v>362528.81566570734</v>
      </c>
      <c r="E60" s="32">
        <v>144628.0782331248</v>
      </c>
      <c r="F60" s="32">
        <v>144628.0782331248</v>
      </c>
      <c r="G60" s="32">
        <v>144628.0782331248</v>
      </c>
      <c r="H60" s="32">
        <v>15010.998282483361</v>
      </c>
      <c r="I60" s="32">
        <v>15010.998282483361</v>
      </c>
      <c r="J60" s="32">
        <v>0</v>
      </c>
      <c r="K60" s="32">
        <v>0</v>
      </c>
      <c r="L60" s="32">
        <v>0</v>
      </c>
      <c r="M60" s="32">
        <v>0</v>
      </c>
      <c r="N60" s="32">
        <v>0</v>
      </c>
      <c r="O60" s="32">
        <v>0</v>
      </c>
      <c r="P60" s="32">
        <v>0</v>
      </c>
      <c r="Q60" s="32">
        <v>0</v>
      </c>
      <c r="R60" s="32">
        <v>0</v>
      </c>
      <c r="S60" s="32">
        <v>0</v>
      </c>
      <c r="T60" s="32">
        <v>0</v>
      </c>
      <c r="U60" s="32">
        <v>0</v>
      </c>
      <c r="V60" s="32">
        <v>0</v>
      </c>
      <c r="W60" s="32">
        <v>0</v>
      </c>
      <c r="X60" s="32">
        <v>0</v>
      </c>
      <c r="Y60" s="32">
        <v>0</v>
      </c>
      <c r="Z60" s="32">
        <v>0</v>
      </c>
      <c r="AA60" s="32">
        <v>0</v>
      </c>
      <c r="AB60" s="32">
        <v>0</v>
      </c>
      <c r="AC60" s="32">
        <v>0</v>
      </c>
      <c r="AD60" s="32">
        <v>0</v>
      </c>
      <c r="AE60" s="32">
        <v>0</v>
      </c>
      <c r="AF60" s="32">
        <v>0</v>
      </c>
      <c r="AG60"/>
      <c r="AH60" s="17" t="s">
        <v>279</v>
      </c>
    </row>
    <row r="61" spans="2:35" hidden="1" outlineLevel="1" x14ac:dyDescent="0.25">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row>
    <row r="62" spans="2:35" ht="15.75" hidden="1" outlineLevel="1" thickBot="1" x14ac:dyDescent="0.3">
      <c r="B62" s="28" t="s">
        <v>280</v>
      </c>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0"/>
      <c r="AH62" s="20" t="s">
        <v>15</v>
      </c>
    </row>
    <row r="63" spans="2:35" customFormat="1" hidden="1" outlineLevel="1" x14ac:dyDescent="0.25">
      <c r="B63" s="30"/>
      <c r="C63" s="17">
        <v>2025</v>
      </c>
      <c r="D63" s="44">
        <v>2026</v>
      </c>
      <c r="E63" s="44">
        <v>2027</v>
      </c>
      <c r="F63" s="44">
        <v>2028</v>
      </c>
      <c r="G63" s="44">
        <v>2029</v>
      </c>
      <c r="H63" s="44">
        <v>2030</v>
      </c>
      <c r="I63" s="44">
        <v>2031</v>
      </c>
      <c r="J63" s="44">
        <v>2032</v>
      </c>
      <c r="K63" s="44">
        <v>2033</v>
      </c>
      <c r="L63" s="44">
        <v>2034</v>
      </c>
      <c r="M63" s="44">
        <v>2035</v>
      </c>
      <c r="N63" s="44">
        <v>2036</v>
      </c>
      <c r="O63" s="44">
        <v>2037</v>
      </c>
      <c r="P63" s="44">
        <v>2038</v>
      </c>
      <c r="Q63" s="44">
        <v>2039</v>
      </c>
      <c r="R63" s="44">
        <v>2040</v>
      </c>
      <c r="S63" s="44">
        <v>2041</v>
      </c>
      <c r="T63" s="44">
        <v>2042</v>
      </c>
      <c r="U63" s="44">
        <v>2043</v>
      </c>
      <c r="V63" s="44">
        <v>2044</v>
      </c>
      <c r="W63" s="44">
        <v>2045</v>
      </c>
      <c r="X63" s="44">
        <v>2046</v>
      </c>
      <c r="Y63" s="44">
        <v>2047</v>
      </c>
      <c r="Z63" s="44">
        <v>2048</v>
      </c>
      <c r="AA63" s="44">
        <v>2049</v>
      </c>
      <c r="AB63" s="44">
        <v>2050</v>
      </c>
      <c r="AC63" s="44">
        <v>2051</v>
      </c>
      <c r="AD63" s="44">
        <v>2052</v>
      </c>
      <c r="AE63" s="44">
        <v>2053</v>
      </c>
      <c r="AF63" s="44">
        <v>2054</v>
      </c>
      <c r="AH63" s="1"/>
    </row>
    <row r="64" spans="2:35" hidden="1" outlineLevel="1" x14ac:dyDescent="0.25">
      <c r="B64" s="31" t="s">
        <v>144</v>
      </c>
      <c r="C64" s="32">
        <v>342242.65102078754</v>
      </c>
      <c r="D64" s="32">
        <v>342242.65102078754</v>
      </c>
      <c r="E64" s="32">
        <v>342242.65102078754</v>
      </c>
      <c r="F64" s="32">
        <v>305603.30209601083</v>
      </c>
      <c r="G64" s="32">
        <v>305603.30209601083</v>
      </c>
      <c r="H64" s="32">
        <v>301207.80852934415</v>
      </c>
      <c r="I64" s="32">
        <v>301207.80852934415</v>
      </c>
      <c r="J64" s="32">
        <v>291945.6620454957</v>
      </c>
      <c r="K64" s="32">
        <v>291945.6620454957</v>
      </c>
      <c r="L64" s="32">
        <v>291945.6620454957</v>
      </c>
      <c r="M64" s="32">
        <v>291945.6620454957</v>
      </c>
      <c r="N64" s="32">
        <v>291945.6620454957</v>
      </c>
      <c r="O64" s="32">
        <v>291945.6620454957</v>
      </c>
      <c r="P64" s="32">
        <v>291945.6620454957</v>
      </c>
      <c r="Q64" s="32">
        <v>291945.6620454957</v>
      </c>
      <c r="R64" s="32">
        <v>291945.6620454957</v>
      </c>
      <c r="S64" s="32">
        <v>291945.6620454957</v>
      </c>
      <c r="T64" s="32">
        <v>291945.6620454957</v>
      </c>
      <c r="U64" s="32">
        <v>291945.6620454957</v>
      </c>
      <c r="V64" s="32">
        <v>291945.6620454957</v>
      </c>
      <c r="W64" s="32">
        <v>291945.6620454957</v>
      </c>
      <c r="X64" s="32">
        <v>291945.6620454957</v>
      </c>
      <c r="Y64" s="32">
        <v>291945.6620454957</v>
      </c>
      <c r="Z64" s="32">
        <v>291945.6620454957</v>
      </c>
      <c r="AA64" s="32">
        <v>291945.6620454957</v>
      </c>
      <c r="AB64" s="32">
        <v>291945.6620454957</v>
      </c>
      <c r="AC64" s="32">
        <v>291945.6620454957</v>
      </c>
      <c r="AD64" s="32">
        <v>291945.6620454957</v>
      </c>
      <c r="AE64" s="32">
        <v>291945.6620454957</v>
      </c>
      <c r="AF64" s="32">
        <v>291945.6620454957</v>
      </c>
      <c r="AG64"/>
      <c r="AH64" s="17" t="s">
        <v>279</v>
      </c>
    </row>
    <row r="65" spans="2:34" hidden="1" outlineLevel="1" x14ac:dyDescent="0.25">
      <c r="B65" s="31" t="s">
        <v>145</v>
      </c>
      <c r="C65" s="32">
        <v>0</v>
      </c>
      <c r="D65" s="32">
        <v>0</v>
      </c>
      <c r="E65" s="32">
        <v>0</v>
      </c>
      <c r="F65" s="32">
        <v>0</v>
      </c>
      <c r="G65" s="32">
        <v>0</v>
      </c>
      <c r="H65" s="32">
        <v>98109.353104549853</v>
      </c>
      <c r="I65" s="32">
        <v>98109.353104549853</v>
      </c>
      <c r="J65" s="32">
        <v>98109.353104549853</v>
      </c>
      <c r="K65" s="32">
        <v>98109.353104549853</v>
      </c>
      <c r="L65" s="32">
        <v>87477.430959262143</v>
      </c>
      <c r="M65" s="32">
        <v>87477.430959262143</v>
      </c>
      <c r="N65" s="32">
        <v>87477.430959262143</v>
      </c>
      <c r="O65" s="32">
        <v>87477.430959262143</v>
      </c>
      <c r="P65" s="32">
        <v>87287.517599226805</v>
      </c>
      <c r="Q65" s="32">
        <v>87287.517599226805</v>
      </c>
      <c r="R65" s="32">
        <v>86872.013217632499</v>
      </c>
      <c r="S65" s="32">
        <v>86872.013217632499</v>
      </c>
      <c r="T65" s="32">
        <v>85195.012122318236</v>
      </c>
      <c r="U65" s="32">
        <v>85195.012122318236</v>
      </c>
      <c r="V65" s="32">
        <v>85195.012122318236</v>
      </c>
      <c r="W65" s="32">
        <v>85195.012122318236</v>
      </c>
      <c r="X65" s="32">
        <v>85195.012122318236</v>
      </c>
      <c r="Y65" s="32">
        <v>85195.012122318236</v>
      </c>
      <c r="Z65" s="32">
        <v>85195.012122318236</v>
      </c>
      <c r="AA65" s="32">
        <v>85195.012122318236</v>
      </c>
      <c r="AB65" s="32">
        <v>83077.009532805183</v>
      </c>
      <c r="AC65" s="32">
        <v>83077.009532805183</v>
      </c>
      <c r="AD65" s="32">
        <v>83077.009532805183</v>
      </c>
      <c r="AE65" s="32">
        <v>83077.009532805183</v>
      </c>
      <c r="AF65" s="32">
        <v>83077.009532805183</v>
      </c>
      <c r="AG65"/>
      <c r="AH65" s="17" t="s">
        <v>279</v>
      </c>
    </row>
    <row r="66" spans="2:34" hidden="1" outlineLevel="1" x14ac:dyDescent="0.25">
      <c r="B66" s="31" t="s">
        <v>244</v>
      </c>
      <c r="C66" s="32">
        <v>0</v>
      </c>
      <c r="D66" s="32">
        <v>0</v>
      </c>
      <c r="E66" s="32">
        <v>217900.73743258248</v>
      </c>
      <c r="F66" s="32">
        <v>239582.04294259622</v>
      </c>
      <c r="G66" s="32">
        <v>239582.04294259622</v>
      </c>
      <c r="H66" s="32">
        <v>264563.44007260934</v>
      </c>
      <c r="I66" s="32">
        <v>264563.44007260934</v>
      </c>
      <c r="J66" s="32">
        <v>241469.52476634944</v>
      </c>
      <c r="K66" s="32">
        <v>241469.52476634944</v>
      </c>
      <c r="L66" s="32">
        <v>241469.52476634944</v>
      </c>
      <c r="M66" s="32">
        <v>241469.52476634944</v>
      </c>
      <c r="N66" s="32">
        <v>228160.89031826754</v>
      </c>
      <c r="O66" s="32">
        <v>228160.89031826754</v>
      </c>
      <c r="P66" s="32">
        <v>225094.6559789071</v>
      </c>
      <c r="Q66" s="32">
        <v>225094.6559789071</v>
      </c>
      <c r="R66" s="32">
        <v>231209.69947117515</v>
      </c>
      <c r="S66" s="32">
        <v>231209.69947117515</v>
      </c>
      <c r="T66" s="32">
        <v>231209.69947117515</v>
      </c>
      <c r="U66" s="32">
        <v>231209.69947117515</v>
      </c>
      <c r="V66" s="32">
        <v>229096.82281032932</v>
      </c>
      <c r="W66" s="32">
        <v>229096.82281032932</v>
      </c>
      <c r="X66" s="32">
        <v>229096.82281032932</v>
      </c>
      <c r="Y66" s="32">
        <v>229096.82281032932</v>
      </c>
      <c r="Z66" s="32">
        <v>229096.82281032932</v>
      </c>
      <c r="AA66" s="32">
        <v>229096.82281032932</v>
      </c>
      <c r="AB66" s="32">
        <v>229096.82281032932</v>
      </c>
      <c r="AC66" s="32">
        <v>229096.82281032932</v>
      </c>
      <c r="AD66" s="32">
        <v>229096.82281032932</v>
      </c>
      <c r="AE66" s="32">
        <v>229096.82281032932</v>
      </c>
      <c r="AF66" s="32">
        <v>229096.82281032932</v>
      </c>
      <c r="AG66"/>
      <c r="AH66" s="17" t="s">
        <v>279</v>
      </c>
    </row>
    <row r="67" spans="2:34" hidden="1" outlineLevel="1" x14ac:dyDescent="0.25">
      <c r="B67" s="31" t="s">
        <v>147</v>
      </c>
      <c r="C67" s="32">
        <v>0</v>
      </c>
      <c r="D67" s="32">
        <v>0</v>
      </c>
      <c r="E67" s="32">
        <v>0</v>
      </c>
      <c r="F67" s="32">
        <v>0</v>
      </c>
      <c r="G67" s="32">
        <v>0</v>
      </c>
      <c r="H67" s="32">
        <v>0</v>
      </c>
      <c r="I67" s="32">
        <v>0</v>
      </c>
      <c r="J67" s="32">
        <v>0</v>
      </c>
      <c r="K67" s="32">
        <v>0</v>
      </c>
      <c r="L67" s="32">
        <v>0</v>
      </c>
      <c r="M67" s="32">
        <v>0</v>
      </c>
      <c r="N67" s="32">
        <v>0</v>
      </c>
      <c r="O67" s="32">
        <v>0</v>
      </c>
      <c r="P67" s="32">
        <v>0</v>
      </c>
      <c r="Q67" s="32">
        <v>0</v>
      </c>
      <c r="R67" s="32">
        <v>0</v>
      </c>
      <c r="S67" s="32">
        <v>0</v>
      </c>
      <c r="T67" s="32">
        <v>0</v>
      </c>
      <c r="U67" s="32">
        <v>0</v>
      </c>
      <c r="V67" s="32">
        <v>0</v>
      </c>
      <c r="W67" s="32">
        <v>0</v>
      </c>
      <c r="X67" s="32">
        <v>0</v>
      </c>
      <c r="Y67" s="32">
        <v>0</v>
      </c>
      <c r="Z67" s="32">
        <v>0</v>
      </c>
      <c r="AA67" s="32">
        <v>0</v>
      </c>
      <c r="AB67" s="32">
        <v>0</v>
      </c>
      <c r="AC67" s="32">
        <v>0</v>
      </c>
      <c r="AD67" s="32">
        <v>0</v>
      </c>
      <c r="AE67" s="32">
        <v>0</v>
      </c>
      <c r="AF67" s="32">
        <v>0</v>
      </c>
      <c r="AG67"/>
      <c r="AH67" s="17" t="s">
        <v>279</v>
      </c>
    </row>
    <row r="68" spans="2:34" hidden="1" outlineLevel="1" x14ac:dyDescent="0.25">
      <c r="B68" s="31" t="s">
        <v>245</v>
      </c>
      <c r="C68" s="32">
        <v>0</v>
      </c>
      <c r="D68" s="32">
        <v>0</v>
      </c>
      <c r="E68" s="32">
        <v>0</v>
      </c>
      <c r="F68" s="32">
        <v>0</v>
      </c>
      <c r="G68" s="32">
        <v>0</v>
      </c>
      <c r="H68" s="32">
        <v>0</v>
      </c>
      <c r="I68" s="32">
        <v>0</v>
      </c>
      <c r="J68" s="32">
        <v>15010.998282483361</v>
      </c>
      <c r="K68" s="32">
        <v>15010.998282483361</v>
      </c>
      <c r="L68" s="32">
        <v>15010.998282483361</v>
      </c>
      <c r="M68" s="32">
        <v>15010.998282483361</v>
      </c>
      <c r="N68" s="32">
        <v>13436.692112233934</v>
      </c>
      <c r="O68" s="32">
        <v>13436.692112233934</v>
      </c>
      <c r="P68" s="32">
        <v>13436.692112233934</v>
      </c>
      <c r="Q68" s="32">
        <v>13436.692112233934</v>
      </c>
      <c r="R68" s="32">
        <v>51778.373813264858</v>
      </c>
      <c r="S68" s="32">
        <v>51778.373813264858</v>
      </c>
      <c r="T68" s="32">
        <v>51778.373813264858</v>
      </c>
      <c r="U68" s="32">
        <v>51778.373813264858</v>
      </c>
      <c r="V68" s="32">
        <v>51778.373813264858</v>
      </c>
      <c r="W68" s="32">
        <v>51778.373813264858</v>
      </c>
      <c r="X68" s="32">
        <v>51778.373813264858</v>
      </c>
      <c r="Y68" s="32">
        <v>51778.373813264858</v>
      </c>
      <c r="Z68" s="32">
        <v>51778.373813264858</v>
      </c>
      <c r="AA68" s="32">
        <v>51778.373813264858</v>
      </c>
      <c r="AB68" s="32">
        <v>51778.373813264858</v>
      </c>
      <c r="AC68" s="32">
        <v>51778.373813264858</v>
      </c>
      <c r="AD68" s="32">
        <v>51778.373813264858</v>
      </c>
      <c r="AE68" s="32">
        <v>51778.373813264858</v>
      </c>
      <c r="AF68" s="32">
        <v>51778.373813264858</v>
      </c>
      <c r="AG68"/>
      <c r="AH68" s="17" t="s">
        <v>279</v>
      </c>
    </row>
    <row r="69" spans="2:34" hidden="1" outlineLevel="1" x14ac:dyDescent="0.25">
      <c r="B69" s="31" t="s">
        <v>149</v>
      </c>
      <c r="C69" s="32">
        <v>342242.65102078754</v>
      </c>
      <c r="D69" s="32">
        <v>342242.65102078754</v>
      </c>
      <c r="E69" s="32">
        <v>560143.38845336996</v>
      </c>
      <c r="F69" s="32">
        <v>545185.34503860702</v>
      </c>
      <c r="G69" s="32">
        <v>545185.34503860702</v>
      </c>
      <c r="H69" s="32">
        <v>663880.60170650342</v>
      </c>
      <c r="I69" s="32">
        <v>663880.60170650342</v>
      </c>
      <c r="J69" s="32">
        <v>646535.53819887829</v>
      </c>
      <c r="K69" s="32">
        <v>646535.53819887829</v>
      </c>
      <c r="L69" s="32">
        <v>635903.61605359055</v>
      </c>
      <c r="M69" s="32">
        <v>635903.61605359055</v>
      </c>
      <c r="N69" s="32">
        <v>621020.67543525936</v>
      </c>
      <c r="O69" s="32">
        <v>621020.67543525936</v>
      </c>
      <c r="P69" s="32">
        <v>617764.52773586358</v>
      </c>
      <c r="Q69" s="32">
        <v>617764.52773586358</v>
      </c>
      <c r="R69" s="32">
        <v>661805.74854756822</v>
      </c>
      <c r="S69" s="32">
        <v>661805.74854756822</v>
      </c>
      <c r="T69" s="32">
        <v>660128.74745225406</v>
      </c>
      <c r="U69" s="32">
        <v>660128.74745225406</v>
      </c>
      <c r="V69" s="32">
        <v>658015.87079140812</v>
      </c>
      <c r="W69" s="32">
        <v>658015.87079140812</v>
      </c>
      <c r="X69" s="32">
        <v>658015.87079140812</v>
      </c>
      <c r="Y69" s="32">
        <v>658015.87079140812</v>
      </c>
      <c r="Z69" s="32">
        <v>658015.87079140812</v>
      </c>
      <c r="AA69" s="32">
        <v>658015.87079140812</v>
      </c>
      <c r="AB69" s="32">
        <v>655897.86820189503</v>
      </c>
      <c r="AC69" s="32">
        <v>655897.86820189503</v>
      </c>
      <c r="AD69" s="32">
        <v>655897.86820189503</v>
      </c>
      <c r="AE69" s="32">
        <v>655897.86820189503</v>
      </c>
      <c r="AF69" s="32">
        <v>655897.86820189503</v>
      </c>
      <c r="AG69"/>
      <c r="AH69" s="17" t="s">
        <v>279</v>
      </c>
    </row>
    <row r="70" spans="2:34" hidden="1" outlineLevel="1" x14ac:dyDescent="0.25">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row>
    <row r="71" spans="2:34" hidden="1" outlineLevel="1" x14ac:dyDescent="0.25">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row>
    <row r="72" spans="2:34" ht="17.25" hidden="1" outlineLevel="1" thickBot="1" x14ac:dyDescent="0.3">
      <c r="B72" s="26" t="s">
        <v>283</v>
      </c>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row>
    <row r="73" spans="2:34" ht="16.5" hidden="1" outlineLevel="1" thickTop="1" thickBot="1" x14ac:dyDescent="0.3">
      <c r="B73" s="28" t="s">
        <v>278</v>
      </c>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0"/>
      <c r="AH73" s="20" t="s">
        <v>15</v>
      </c>
    </row>
    <row r="74" spans="2:34" customFormat="1" hidden="1" outlineLevel="1" x14ac:dyDescent="0.25">
      <c r="B74" s="30"/>
      <c r="C74" s="17">
        <v>2025</v>
      </c>
      <c r="D74" s="44">
        <v>2026</v>
      </c>
      <c r="E74" s="44">
        <v>2027</v>
      </c>
      <c r="F74" s="44">
        <v>2028</v>
      </c>
      <c r="G74" s="44">
        <v>2029</v>
      </c>
      <c r="H74" s="44">
        <v>2030</v>
      </c>
      <c r="I74" s="44">
        <v>2031</v>
      </c>
      <c r="J74" s="44">
        <v>2032</v>
      </c>
      <c r="K74" s="44">
        <v>2033</v>
      </c>
      <c r="L74" s="44">
        <v>2034</v>
      </c>
      <c r="M74" s="44">
        <v>2035</v>
      </c>
      <c r="N74" s="44">
        <v>2036</v>
      </c>
      <c r="O74" s="44">
        <v>2037</v>
      </c>
      <c r="P74" s="44">
        <v>2038</v>
      </c>
      <c r="Q74" s="44">
        <v>2039</v>
      </c>
      <c r="R74" s="44">
        <v>2040</v>
      </c>
      <c r="S74" s="44">
        <v>2041</v>
      </c>
      <c r="T74" s="44">
        <v>2042</v>
      </c>
      <c r="U74" s="44">
        <v>2043</v>
      </c>
      <c r="V74" s="44">
        <v>2044</v>
      </c>
      <c r="W74" s="44">
        <v>2045</v>
      </c>
      <c r="X74" s="44">
        <v>2046</v>
      </c>
      <c r="Y74" s="44">
        <v>2047</v>
      </c>
      <c r="Z74" s="44">
        <v>2048</v>
      </c>
      <c r="AA74" s="44">
        <v>2049</v>
      </c>
      <c r="AB74" s="44">
        <v>2050</v>
      </c>
      <c r="AC74" s="44">
        <v>2051</v>
      </c>
      <c r="AD74" s="44">
        <v>2052</v>
      </c>
      <c r="AE74" s="44">
        <v>2053</v>
      </c>
      <c r="AF74" s="44">
        <v>2054</v>
      </c>
      <c r="AH74" s="1"/>
    </row>
    <row r="75" spans="2:34" hidden="1" outlineLevel="1" x14ac:dyDescent="0.25">
      <c r="B75" s="31" t="s">
        <v>144</v>
      </c>
      <c r="C75" s="32">
        <v>0</v>
      </c>
      <c r="D75" s="32">
        <v>0</v>
      </c>
      <c r="E75" s="32">
        <v>0</v>
      </c>
      <c r="F75" s="32">
        <v>0</v>
      </c>
      <c r="G75" s="32">
        <v>0</v>
      </c>
      <c r="H75" s="32">
        <v>0</v>
      </c>
      <c r="I75" s="32">
        <v>0</v>
      </c>
      <c r="J75" s="32">
        <v>0</v>
      </c>
      <c r="K75" s="32">
        <v>0</v>
      </c>
      <c r="L75" s="32">
        <v>0</v>
      </c>
      <c r="M75" s="32">
        <v>0</v>
      </c>
      <c r="N75" s="32">
        <v>0</v>
      </c>
      <c r="O75" s="32">
        <v>0</v>
      </c>
      <c r="P75" s="32">
        <v>0</v>
      </c>
      <c r="Q75" s="32">
        <v>0</v>
      </c>
      <c r="R75" s="32">
        <v>0</v>
      </c>
      <c r="S75" s="32">
        <v>0</v>
      </c>
      <c r="T75" s="32">
        <v>0</v>
      </c>
      <c r="U75" s="32">
        <v>0</v>
      </c>
      <c r="V75" s="32">
        <v>0</v>
      </c>
      <c r="W75" s="32">
        <v>0</v>
      </c>
      <c r="X75" s="32">
        <v>0</v>
      </c>
      <c r="Y75" s="32">
        <v>0</v>
      </c>
      <c r="Z75" s="32">
        <v>0</v>
      </c>
      <c r="AA75" s="32">
        <v>0</v>
      </c>
      <c r="AB75" s="32">
        <v>0</v>
      </c>
      <c r="AC75" s="32">
        <v>0</v>
      </c>
      <c r="AD75" s="32">
        <v>0</v>
      </c>
      <c r="AE75" s="32">
        <v>0</v>
      </c>
      <c r="AF75" s="32">
        <v>0</v>
      </c>
      <c r="AG75"/>
      <c r="AH75" s="17" t="s">
        <v>279</v>
      </c>
    </row>
    <row r="76" spans="2:34" hidden="1" outlineLevel="1" x14ac:dyDescent="0.25">
      <c r="B76" s="31" t="s">
        <v>145</v>
      </c>
      <c r="C76" s="32">
        <v>3544817.3883669907</v>
      </c>
      <c r="D76" s="32">
        <v>7148037.0083669899</v>
      </c>
      <c r="E76" s="32">
        <v>7148037.0083669899</v>
      </c>
      <c r="F76" s="32">
        <v>7148037.0083669899</v>
      </c>
      <c r="G76" s="32">
        <v>7148037.0083669899</v>
      </c>
      <c r="H76" s="32">
        <v>0</v>
      </c>
      <c r="I76" s="32">
        <v>0</v>
      </c>
      <c r="J76" s="32">
        <v>0</v>
      </c>
      <c r="K76" s="32">
        <v>0</v>
      </c>
      <c r="L76" s="32">
        <v>0</v>
      </c>
      <c r="M76" s="32">
        <v>0</v>
      </c>
      <c r="N76" s="32">
        <v>0</v>
      </c>
      <c r="O76" s="32">
        <v>0</v>
      </c>
      <c r="P76" s="32">
        <v>0</v>
      </c>
      <c r="Q76" s="32">
        <v>0</v>
      </c>
      <c r="R76" s="32">
        <v>0</v>
      </c>
      <c r="S76" s="32">
        <v>0</v>
      </c>
      <c r="T76" s="32">
        <v>0</v>
      </c>
      <c r="U76" s="32">
        <v>0</v>
      </c>
      <c r="V76" s="32">
        <v>0</v>
      </c>
      <c r="W76" s="32">
        <v>0</v>
      </c>
      <c r="X76" s="32">
        <v>0</v>
      </c>
      <c r="Y76" s="32">
        <v>0</v>
      </c>
      <c r="Z76" s="32">
        <v>0</v>
      </c>
      <c r="AA76" s="32">
        <v>0</v>
      </c>
      <c r="AB76" s="32">
        <v>0</v>
      </c>
      <c r="AC76" s="32">
        <v>0</v>
      </c>
      <c r="AD76" s="32">
        <v>0</v>
      </c>
      <c r="AE76" s="32">
        <v>0</v>
      </c>
      <c r="AF76" s="32">
        <v>0</v>
      </c>
      <c r="AG76"/>
      <c r="AH76" s="17" t="s">
        <v>279</v>
      </c>
    </row>
    <row r="77" spans="2:34" hidden="1" outlineLevel="1" x14ac:dyDescent="0.25">
      <c r="B77" s="31" t="s">
        <v>244</v>
      </c>
      <c r="C77" s="32">
        <v>10424562.72955735</v>
      </c>
      <c r="D77" s="32">
        <v>10424562.72955735</v>
      </c>
      <c r="E77" s="32">
        <v>1967263.68286869</v>
      </c>
      <c r="F77" s="32">
        <v>2793463.3428686899</v>
      </c>
      <c r="G77" s="32">
        <v>2793463.3428686899</v>
      </c>
      <c r="H77" s="32">
        <v>0</v>
      </c>
      <c r="I77" s="32">
        <v>0</v>
      </c>
      <c r="J77" s="32">
        <v>0</v>
      </c>
      <c r="K77" s="32">
        <v>0</v>
      </c>
      <c r="L77" s="32">
        <v>0</v>
      </c>
      <c r="M77" s="32">
        <v>0</v>
      </c>
      <c r="N77" s="32">
        <v>0</v>
      </c>
      <c r="O77" s="32">
        <v>0</v>
      </c>
      <c r="P77" s="32">
        <v>0</v>
      </c>
      <c r="Q77" s="32">
        <v>0</v>
      </c>
      <c r="R77" s="32">
        <v>0</v>
      </c>
      <c r="S77" s="32">
        <v>0</v>
      </c>
      <c r="T77" s="32">
        <v>0</v>
      </c>
      <c r="U77" s="32">
        <v>0</v>
      </c>
      <c r="V77" s="32">
        <v>0</v>
      </c>
      <c r="W77" s="32">
        <v>0</v>
      </c>
      <c r="X77" s="32">
        <v>0</v>
      </c>
      <c r="Y77" s="32">
        <v>0</v>
      </c>
      <c r="Z77" s="32">
        <v>0</v>
      </c>
      <c r="AA77" s="32">
        <v>0</v>
      </c>
      <c r="AB77" s="32">
        <v>0</v>
      </c>
      <c r="AC77" s="32">
        <v>0</v>
      </c>
      <c r="AD77" s="32">
        <v>0</v>
      </c>
      <c r="AE77" s="32">
        <v>0</v>
      </c>
      <c r="AF77" s="32">
        <v>0</v>
      </c>
      <c r="AG77"/>
      <c r="AH77" s="17" t="s">
        <v>279</v>
      </c>
    </row>
    <row r="78" spans="2:34" hidden="1" outlineLevel="1" x14ac:dyDescent="0.25">
      <c r="B78" s="31" t="s">
        <v>147</v>
      </c>
      <c r="C78" s="32">
        <v>0</v>
      </c>
      <c r="D78" s="32">
        <v>0</v>
      </c>
      <c r="E78" s="32">
        <v>0</v>
      </c>
      <c r="F78" s="32">
        <v>0</v>
      </c>
      <c r="G78" s="32">
        <v>0</v>
      </c>
      <c r="H78" s="32">
        <v>0</v>
      </c>
      <c r="I78" s="32">
        <v>0</v>
      </c>
      <c r="J78" s="32">
        <v>0</v>
      </c>
      <c r="K78" s="32">
        <v>0</v>
      </c>
      <c r="L78" s="32">
        <v>0</v>
      </c>
      <c r="M78" s="32">
        <v>0</v>
      </c>
      <c r="N78" s="32">
        <v>0</v>
      </c>
      <c r="O78" s="32">
        <v>0</v>
      </c>
      <c r="P78" s="32">
        <v>0</v>
      </c>
      <c r="Q78" s="32">
        <v>0</v>
      </c>
      <c r="R78" s="32">
        <v>0</v>
      </c>
      <c r="S78" s="32">
        <v>0</v>
      </c>
      <c r="T78" s="32">
        <v>0</v>
      </c>
      <c r="U78" s="32">
        <v>0</v>
      </c>
      <c r="V78" s="32">
        <v>0</v>
      </c>
      <c r="W78" s="32">
        <v>0</v>
      </c>
      <c r="X78" s="32">
        <v>0</v>
      </c>
      <c r="Y78" s="32">
        <v>0</v>
      </c>
      <c r="Z78" s="32">
        <v>0</v>
      </c>
      <c r="AA78" s="32">
        <v>0</v>
      </c>
      <c r="AB78" s="32">
        <v>0</v>
      </c>
      <c r="AC78" s="32">
        <v>0</v>
      </c>
      <c r="AD78" s="32">
        <v>0</v>
      </c>
      <c r="AE78" s="32">
        <v>0</v>
      </c>
      <c r="AF78" s="32">
        <v>0</v>
      </c>
      <c r="AG78"/>
      <c r="AH78" s="17" t="s">
        <v>279</v>
      </c>
    </row>
    <row r="79" spans="2:34" hidden="1" outlineLevel="1" x14ac:dyDescent="0.25">
      <c r="B79" s="31" t="s">
        <v>245</v>
      </c>
      <c r="C79" s="32">
        <v>1207501.7119999998</v>
      </c>
      <c r="D79" s="32">
        <v>1207501.7119999998</v>
      </c>
      <c r="E79" s="32">
        <v>1207501.7119999998</v>
      </c>
      <c r="F79" s="32">
        <v>1207501.7119999998</v>
      </c>
      <c r="G79" s="32">
        <v>1207501.7119999998</v>
      </c>
      <c r="H79" s="32">
        <v>3455696.2320000003</v>
      </c>
      <c r="I79" s="32">
        <v>3455696.2320000003</v>
      </c>
      <c r="J79" s="32">
        <v>0</v>
      </c>
      <c r="K79" s="32">
        <v>0</v>
      </c>
      <c r="L79" s="32">
        <v>0</v>
      </c>
      <c r="M79" s="32">
        <v>0</v>
      </c>
      <c r="N79" s="32">
        <v>0</v>
      </c>
      <c r="O79" s="32">
        <v>0</v>
      </c>
      <c r="P79" s="32">
        <v>0</v>
      </c>
      <c r="Q79" s="32">
        <v>0</v>
      </c>
      <c r="R79" s="32">
        <v>0</v>
      </c>
      <c r="S79" s="32">
        <v>0</v>
      </c>
      <c r="T79" s="32">
        <v>0</v>
      </c>
      <c r="U79" s="32">
        <v>0</v>
      </c>
      <c r="V79" s="32">
        <v>0</v>
      </c>
      <c r="W79" s="32">
        <v>0</v>
      </c>
      <c r="X79" s="32">
        <v>0</v>
      </c>
      <c r="Y79" s="32">
        <v>0</v>
      </c>
      <c r="Z79" s="32">
        <v>0</v>
      </c>
      <c r="AA79" s="32">
        <v>0</v>
      </c>
      <c r="AB79" s="32">
        <v>0</v>
      </c>
      <c r="AC79" s="32">
        <v>0</v>
      </c>
      <c r="AD79" s="32">
        <v>0</v>
      </c>
      <c r="AE79" s="32">
        <v>0</v>
      </c>
      <c r="AF79" s="32">
        <v>0</v>
      </c>
      <c r="AG79"/>
      <c r="AH79" s="17" t="s">
        <v>279</v>
      </c>
    </row>
    <row r="80" spans="2:34" hidden="1" outlineLevel="1" x14ac:dyDescent="0.25">
      <c r="B80" s="31" t="s">
        <v>149</v>
      </c>
      <c r="C80" s="32">
        <v>15176881.829924339</v>
      </c>
      <c r="D80" s="32">
        <v>18780101.449924342</v>
      </c>
      <c r="E80" s="32">
        <v>10322802.403235679</v>
      </c>
      <c r="F80" s="32">
        <v>11149002.06323568</v>
      </c>
      <c r="G80" s="32">
        <v>11149002.06323568</v>
      </c>
      <c r="H80" s="32">
        <v>3455696.2320000003</v>
      </c>
      <c r="I80" s="32">
        <v>3455696.2320000003</v>
      </c>
      <c r="J80" s="32">
        <v>0</v>
      </c>
      <c r="K80" s="32">
        <v>0</v>
      </c>
      <c r="L80" s="32">
        <v>0</v>
      </c>
      <c r="M80" s="32">
        <v>0</v>
      </c>
      <c r="N80" s="32">
        <v>0</v>
      </c>
      <c r="O80" s="32">
        <v>0</v>
      </c>
      <c r="P80" s="32">
        <v>0</v>
      </c>
      <c r="Q80" s="32">
        <v>0</v>
      </c>
      <c r="R80" s="32">
        <v>0</v>
      </c>
      <c r="S80" s="32">
        <v>0</v>
      </c>
      <c r="T80" s="32">
        <v>0</v>
      </c>
      <c r="U80" s="32">
        <v>0</v>
      </c>
      <c r="V80" s="32">
        <v>0</v>
      </c>
      <c r="W80" s="32">
        <v>0</v>
      </c>
      <c r="X80" s="32">
        <v>0</v>
      </c>
      <c r="Y80" s="32">
        <v>0</v>
      </c>
      <c r="Z80" s="32">
        <v>0</v>
      </c>
      <c r="AA80" s="32">
        <v>0</v>
      </c>
      <c r="AB80" s="32">
        <v>0</v>
      </c>
      <c r="AC80" s="32">
        <v>0</v>
      </c>
      <c r="AD80" s="32">
        <v>0</v>
      </c>
      <c r="AE80" s="32">
        <v>0</v>
      </c>
      <c r="AF80" s="32">
        <v>0</v>
      </c>
      <c r="AG80"/>
      <c r="AH80" s="17" t="s">
        <v>279</v>
      </c>
    </row>
    <row r="81" spans="2:34" hidden="1" outlineLevel="1" x14ac:dyDescent="0.25">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row>
    <row r="82" spans="2:34" ht="15.75" hidden="1" outlineLevel="1" thickBot="1" x14ac:dyDescent="0.3">
      <c r="B82" s="28" t="s">
        <v>280</v>
      </c>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0"/>
      <c r="AH82" s="20" t="s">
        <v>15</v>
      </c>
    </row>
    <row r="83" spans="2:34" customFormat="1" hidden="1" outlineLevel="1" x14ac:dyDescent="0.25">
      <c r="B83" s="30"/>
      <c r="C83" s="17">
        <v>2025</v>
      </c>
      <c r="D83" s="44">
        <v>2026</v>
      </c>
      <c r="E83" s="44">
        <v>2027</v>
      </c>
      <c r="F83" s="44">
        <v>2028</v>
      </c>
      <c r="G83" s="44">
        <v>2029</v>
      </c>
      <c r="H83" s="44">
        <v>2030</v>
      </c>
      <c r="I83" s="44">
        <v>2031</v>
      </c>
      <c r="J83" s="44">
        <v>2032</v>
      </c>
      <c r="K83" s="44">
        <v>2033</v>
      </c>
      <c r="L83" s="44">
        <v>2034</v>
      </c>
      <c r="M83" s="44">
        <v>2035</v>
      </c>
      <c r="N83" s="44">
        <v>2036</v>
      </c>
      <c r="O83" s="44">
        <v>2037</v>
      </c>
      <c r="P83" s="44">
        <v>2038</v>
      </c>
      <c r="Q83" s="44">
        <v>2039</v>
      </c>
      <c r="R83" s="44">
        <v>2040</v>
      </c>
      <c r="S83" s="44">
        <v>2041</v>
      </c>
      <c r="T83" s="44">
        <v>2042</v>
      </c>
      <c r="U83" s="44">
        <v>2043</v>
      </c>
      <c r="V83" s="44">
        <v>2044</v>
      </c>
      <c r="W83" s="44">
        <v>2045</v>
      </c>
      <c r="X83" s="44">
        <v>2046</v>
      </c>
      <c r="Y83" s="44">
        <v>2047</v>
      </c>
      <c r="Z83" s="44">
        <v>2048</v>
      </c>
      <c r="AA83" s="44">
        <v>2049</v>
      </c>
      <c r="AB83" s="44">
        <v>2050</v>
      </c>
      <c r="AC83" s="44">
        <v>2051</v>
      </c>
      <c r="AD83" s="44">
        <v>2052</v>
      </c>
      <c r="AE83" s="44">
        <v>2053</v>
      </c>
      <c r="AF83" s="44">
        <v>2054</v>
      </c>
      <c r="AH83" s="1"/>
    </row>
    <row r="84" spans="2:34" hidden="1" outlineLevel="1" x14ac:dyDescent="0.25">
      <c r="B84" s="31" t="s">
        <v>144</v>
      </c>
      <c r="C84" s="32">
        <v>8678140.1263548788</v>
      </c>
      <c r="D84" s="32">
        <v>8678140.1263548788</v>
      </c>
      <c r="E84" s="32">
        <v>8678140.1263548788</v>
      </c>
      <c r="F84" s="32">
        <v>8237611.3694371348</v>
      </c>
      <c r="G84" s="32">
        <v>8237611.3694371348</v>
      </c>
      <c r="H84" s="32">
        <v>9012734.2894371357</v>
      </c>
      <c r="I84" s="32">
        <v>9012734.2894371357</v>
      </c>
      <c r="J84" s="32">
        <v>8552617.6962371375</v>
      </c>
      <c r="K84" s="32">
        <v>8552617.6962371375</v>
      </c>
      <c r="L84" s="32">
        <v>9180639.3762371354</v>
      </c>
      <c r="M84" s="32">
        <v>9180639.3762371354</v>
      </c>
      <c r="N84" s="32">
        <v>9180639.3762371354</v>
      </c>
      <c r="O84" s="32">
        <v>9180639.3762371354</v>
      </c>
      <c r="P84" s="32">
        <v>9180639.3762371354</v>
      </c>
      <c r="Q84" s="32">
        <v>9180639.3762371354</v>
      </c>
      <c r="R84" s="32">
        <v>9180639.3762371354</v>
      </c>
      <c r="S84" s="32">
        <v>9180639.3762371354</v>
      </c>
      <c r="T84" s="32">
        <v>9180639.3762371354</v>
      </c>
      <c r="U84" s="32">
        <v>9180639.3762371354</v>
      </c>
      <c r="V84" s="32">
        <v>9180639.3762371354</v>
      </c>
      <c r="W84" s="32">
        <v>9180639.3762371354</v>
      </c>
      <c r="X84" s="32">
        <v>9180639.3762371354</v>
      </c>
      <c r="Y84" s="32">
        <v>9180639.3762371354</v>
      </c>
      <c r="Z84" s="32">
        <v>9180639.3762371354</v>
      </c>
      <c r="AA84" s="32">
        <v>9180639.3762371354</v>
      </c>
      <c r="AB84" s="32">
        <v>9180639.3762371354</v>
      </c>
      <c r="AC84" s="32">
        <v>9180639.3762371354</v>
      </c>
      <c r="AD84" s="32">
        <v>9180639.3762371354</v>
      </c>
      <c r="AE84" s="32">
        <v>9180639.3762371354</v>
      </c>
      <c r="AF84" s="32">
        <v>9180639.3762371354</v>
      </c>
      <c r="AG84"/>
      <c r="AH84" s="17" t="s">
        <v>279</v>
      </c>
    </row>
    <row r="85" spans="2:34" hidden="1" outlineLevel="1" x14ac:dyDescent="0.25">
      <c r="B85" s="31" t="s">
        <v>145</v>
      </c>
      <c r="C85" s="32">
        <v>0</v>
      </c>
      <c r="D85" s="32">
        <v>0</v>
      </c>
      <c r="E85" s="32">
        <v>0</v>
      </c>
      <c r="F85" s="32">
        <v>0</v>
      </c>
      <c r="G85" s="32">
        <v>0</v>
      </c>
      <c r="H85" s="32">
        <v>7234294.6083669895</v>
      </c>
      <c r="I85" s="32">
        <v>7234294.6083669895</v>
      </c>
      <c r="J85" s="32">
        <v>7234294.6083669895</v>
      </c>
      <c r="K85" s="32">
        <v>7234294.6083669895</v>
      </c>
      <c r="L85" s="32">
        <v>7082106.2166567408</v>
      </c>
      <c r="M85" s="32">
        <v>7082106.2166567408</v>
      </c>
      <c r="N85" s="32">
        <v>7082106.2166567408</v>
      </c>
      <c r="O85" s="32">
        <v>7082106.2166567408</v>
      </c>
      <c r="P85" s="32">
        <v>7070995.9866567403</v>
      </c>
      <c r="Q85" s="32">
        <v>7070995.9866567403</v>
      </c>
      <c r="R85" s="32">
        <v>7414629.3906567395</v>
      </c>
      <c r="S85" s="32">
        <v>7414629.3906567395</v>
      </c>
      <c r="T85" s="32">
        <v>7414629.3906567395</v>
      </c>
      <c r="U85" s="32">
        <v>7414629.3906567395</v>
      </c>
      <c r="V85" s="32">
        <v>7414629.3906567395</v>
      </c>
      <c r="W85" s="32">
        <v>7414629.3906567395</v>
      </c>
      <c r="X85" s="32">
        <v>7414629.3906567395</v>
      </c>
      <c r="Y85" s="32">
        <v>7414629.3906567395</v>
      </c>
      <c r="Z85" s="32">
        <v>7414629.3906567395</v>
      </c>
      <c r="AA85" s="32">
        <v>7414629.3906567395</v>
      </c>
      <c r="AB85" s="32">
        <v>7275034.2137464946</v>
      </c>
      <c r="AC85" s="32">
        <v>7275034.2137464946</v>
      </c>
      <c r="AD85" s="32">
        <v>7275034.2137464946</v>
      </c>
      <c r="AE85" s="32">
        <v>7275034.2137464946</v>
      </c>
      <c r="AF85" s="32">
        <v>7275034.2137464946</v>
      </c>
      <c r="AG85"/>
      <c r="AH85" s="17" t="s">
        <v>279</v>
      </c>
    </row>
    <row r="86" spans="2:34" hidden="1" outlineLevel="1" x14ac:dyDescent="0.25">
      <c r="B86" s="31" t="s">
        <v>244</v>
      </c>
      <c r="C86" s="32">
        <v>0</v>
      </c>
      <c r="D86" s="32">
        <v>0</v>
      </c>
      <c r="E86" s="32">
        <v>8457299.046688661</v>
      </c>
      <c r="F86" s="32">
        <v>12134985.26668866</v>
      </c>
      <c r="G86" s="32">
        <v>12134985.26668866</v>
      </c>
      <c r="H86" s="32">
        <v>16003705.267622186</v>
      </c>
      <c r="I86" s="32">
        <v>16003705.267622186</v>
      </c>
      <c r="J86" s="32">
        <v>15247954.784394085</v>
      </c>
      <c r="K86" s="32">
        <v>15247954.784394085</v>
      </c>
      <c r="L86" s="32">
        <v>15247954.784394085</v>
      </c>
      <c r="M86" s="32">
        <v>15247954.784394085</v>
      </c>
      <c r="N86" s="32">
        <v>15033617.237543011</v>
      </c>
      <c r="O86" s="32">
        <v>15033617.237543011</v>
      </c>
      <c r="P86" s="32">
        <v>14997195.012872687</v>
      </c>
      <c r="Q86" s="32">
        <v>14997195.012872687</v>
      </c>
      <c r="R86" s="32">
        <v>15766985.012872687</v>
      </c>
      <c r="S86" s="32">
        <v>15766985.012872687</v>
      </c>
      <c r="T86" s="32">
        <v>15766985.012872687</v>
      </c>
      <c r="U86" s="32">
        <v>15766985.012872687</v>
      </c>
      <c r="V86" s="32">
        <v>15661982.603749251</v>
      </c>
      <c r="W86" s="32">
        <v>15661982.603749251</v>
      </c>
      <c r="X86" s="32">
        <v>15661982.603749251</v>
      </c>
      <c r="Y86" s="32">
        <v>15661982.603749251</v>
      </c>
      <c r="Z86" s="32">
        <v>15661982.603749251</v>
      </c>
      <c r="AA86" s="32">
        <v>15661982.603749251</v>
      </c>
      <c r="AB86" s="32">
        <v>15661982.603749251</v>
      </c>
      <c r="AC86" s="32">
        <v>15661982.603749251</v>
      </c>
      <c r="AD86" s="32">
        <v>15661982.603749251</v>
      </c>
      <c r="AE86" s="32">
        <v>15661982.603749251</v>
      </c>
      <c r="AF86" s="32">
        <v>15661982.603749251</v>
      </c>
      <c r="AG86"/>
      <c r="AH86" s="17" t="s">
        <v>279</v>
      </c>
    </row>
    <row r="87" spans="2:34" hidden="1" outlineLevel="1" x14ac:dyDescent="0.25">
      <c r="B87" s="31" t="s">
        <v>147</v>
      </c>
      <c r="C87" s="32">
        <v>0</v>
      </c>
      <c r="D87" s="32">
        <v>0</v>
      </c>
      <c r="E87" s="32">
        <v>0</v>
      </c>
      <c r="F87" s="32">
        <v>0</v>
      </c>
      <c r="G87" s="32">
        <v>0</v>
      </c>
      <c r="H87" s="32">
        <v>0</v>
      </c>
      <c r="I87" s="32">
        <v>0</v>
      </c>
      <c r="J87" s="32">
        <v>0</v>
      </c>
      <c r="K87" s="32">
        <v>0</v>
      </c>
      <c r="L87" s="32">
        <v>0</v>
      </c>
      <c r="M87" s="32">
        <v>0</v>
      </c>
      <c r="N87" s="32">
        <v>0</v>
      </c>
      <c r="O87" s="32">
        <v>0</v>
      </c>
      <c r="P87" s="32">
        <v>0</v>
      </c>
      <c r="Q87" s="32">
        <v>0</v>
      </c>
      <c r="R87" s="32">
        <v>0</v>
      </c>
      <c r="S87" s="32">
        <v>0</v>
      </c>
      <c r="T87" s="32">
        <v>0</v>
      </c>
      <c r="U87" s="32">
        <v>0</v>
      </c>
      <c r="V87" s="32">
        <v>0</v>
      </c>
      <c r="W87" s="32">
        <v>0</v>
      </c>
      <c r="X87" s="32">
        <v>0</v>
      </c>
      <c r="Y87" s="32">
        <v>0</v>
      </c>
      <c r="Z87" s="32">
        <v>0</v>
      </c>
      <c r="AA87" s="32">
        <v>0</v>
      </c>
      <c r="AB87" s="32">
        <v>0</v>
      </c>
      <c r="AC87" s="32">
        <v>0</v>
      </c>
      <c r="AD87" s="32">
        <v>0</v>
      </c>
      <c r="AE87" s="32">
        <v>0</v>
      </c>
      <c r="AF87" s="32">
        <v>0</v>
      </c>
      <c r="AG87"/>
      <c r="AH87" s="17" t="s">
        <v>279</v>
      </c>
    </row>
    <row r="88" spans="2:34" hidden="1" outlineLevel="1" x14ac:dyDescent="0.25">
      <c r="B88" s="31" t="s">
        <v>245</v>
      </c>
      <c r="C88" s="32">
        <v>0</v>
      </c>
      <c r="D88" s="32">
        <v>0</v>
      </c>
      <c r="E88" s="32">
        <v>0</v>
      </c>
      <c r="F88" s="32">
        <v>0</v>
      </c>
      <c r="G88" s="32">
        <v>0</v>
      </c>
      <c r="H88" s="32">
        <v>0</v>
      </c>
      <c r="I88" s="32">
        <v>0</v>
      </c>
      <c r="J88" s="32">
        <v>3455696.2320000003</v>
      </c>
      <c r="K88" s="32">
        <v>3455696.2320000003</v>
      </c>
      <c r="L88" s="32">
        <v>3455696.2320000003</v>
      </c>
      <c r="M88" s="32">
        <v>3455696.2320000003</v>
      </c>
      <c r="N88" s="32">
        <v>3395321.1464</v>
      </c>
      <c r="O88" s="32">
        <v>3395321.1464</v>
      </c>
      <c r="P88" s="32">
        <v>3395321.1464</v>
      </c>
      <c r="Q88" s="32">
        <v>3395321.1464</v>
      </c>
      <c r="R88" s="32">
        <v>8011631.8983999994</v>
      </c>
      <c r="S88" s="32">
        <v>8011631.8983999994</v>
      </c>
      <c r="T88" s="32">
        <v>8011631.8983999994</v>
      </c>
      <c r="U88" s="32">
        <v>8011631.8983999994</v>
      </c>
      <c r="V88" s="32">
        <v>8011631.8983999994</v>
      </c>
      <c r="W88" s="32">
        <v>8011631.8983999994</v>
      </c>
      <c r="X88" s="32">
        <v>8011631.8983999994</v>
      </c>
      <c r="Y88" s="32">
        <v>8011631.8983999994</v>
      </c>
      <c r="Z88" s="32">
        <v>8011631.8983999994</v>
      </c>
      <c r="AA88" s="32">
        <v>8011631.8983999994</v>
      </c>
      <c r="AB88" s="32">
        <v>8011631.8983999994</v>
      </c>
      <c r="AC88" s="32">
        <v>8011631.8983999994</v>
      </c>
      <c r="AD88" s="32">
        <v>8011631.8983999994</v>
      </c>
      <c r="AE88" s="32">
        <v>8011631.8983999994</v>
      </c>
      <c r="AF88" s="32">
        <v>8011631.8983999994</v>
      </c>
      <c r="AG88"/>
      <c r="AH88" s="17" t="s">
        <v>279</v>
      </c>
    </row>
    <row r="89" spans="2:34" hidden="1" outlineLevel="1" x14ac:dyDescent="0.25">
      <c r="B89" s="31" t="s">
        <v>149</v>
      </c>
      <c r="C89" s="32">
        <v>8678140.1263548788</v>
      </c>
      <c r="D89" s="32">
        <v>8678140.1263548788</v>
      </c>
      <c r="E89" s="32">
        <v>17135439.173043542</v>
      </c>
      <c r="F89" s="32">
        <v>20372596.636125796</v>
      </c>
      <c r="G89" s="32">
        <v>20372596.636125796</v>
      </c>
      <c r="H89" s="32">
        <v>32250734.165426314</v>
      </c>
      <c r="I89" s="32">
        <v>32250734.165426314</v>
      </c>
      <c r="J89" s="32">
        <v>34490563.320998214</v>
      </c>
      <c r="K89" s="32">
        <v>34490563.320998214</v>
      </c>
      <c r="L89" s="32">
        <v>34966396.609287962</v>
      </c>
      <c r="M89" s="32">
        <v>34966396.609287962</v>
      </c>
      <c r="N89" s="32">
        <v>34691683.976836883</v>
      </c>
      <c r="O89" s="32">
        <v>34691683.976836883</v>
      </c>
      <c r="P89" s="32">
        <v>34644151.522166558</v>
      </c>
      <c r="Q89" s="32">
        <v>34644151.522166558</v>
      </c>
      <c r="R89" s="32">
        <v>40373885.678166561</v>
      </c>
      <c r="S89" s="32">
        <v>40373885.678166561</v>
      </c>
      <c r="T89" s="32">
        <v>40373885.678166561</v>
      </c>
      <c r="U89" s="32">
        <v>40373885.678166561</v>
      </c>
      <c r="V89" s="32">
        <v>40268883.269043125</v>
      </c>
      <c r="W89" s="32">
        <v>40268883.269043125</v>
      </c>
      <c r="X89" s="32">
        <v>40268883.269043125</v>
      </c>
      <c r="Y89" s="32">
        <v>40268883.269043125</v>
      </c>
      <c r="Z89" s="32">
        <v>40268883.269043125</v>
      </c>
      <c r="AA89" s="32">
        <v>40268883.269043125</v>
      </c>
      <c r="AB89" s="32">
        <v>40129288.092132881</v>
      </c>
      <c r="AC89" s="32">
        <v>40129288.092132881</v>
      </c>
      <c r="AD89" s="32">
        <v>40129288.092132881</v>
      </c>
      <c r="AE89" s="32">
        <v>40129288.092132881</v>
      </c>
      <c r="AF89" s="32">
        <v>40129288.092132881</v>
      </c>
      <c r="AG89"/>
      <c r="AH89" s="17" t="s">
        <v>279</v>
      </c>
    </row>
    <row r="90" spans="2:34" hidden="1" outlineLevel="1" x14ac:dyDescent="0.25"/>
    <row r="91" spans="2:34" hidden="1" outlineLevel="1" x14ac:dyDescent="0.25"/>
    <row r="92" spans="2:34" ht="15.75" collapsed="1" thickTop="1" x14ac:dyDescent="0.25"/>
    <row r="93" spans="2:34" ht="20.25" thickBot="1" x14ac:dyDescent="0.35">
      <c r="B93" s="18" t="s">
        <v>284</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row>
    <row r="94" spans="2:34" ht="18" outlineLevel="1" thickTop="1" thickBot="1" x14ac:dyDescent="0.3">
      <c r="B94" s="26" t="s">
        <v>277</v>
      </c>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19"/>
      <c r="AH94" s="19"/>
    </row>
    <row r="95" spans="2:34" ht="16.5" outlineLevel="1" thickTop="1" thickBot="1" x14ac:dyDescent="0.3">
      <c r="B95" s="28" t="s">
        <v>278</v>
      </c>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0"/>
      <c r="AH95" s="20" t="s">
        <v>15</v>
      </c>
    </row>
    <row r="96" spans="2:34" customFormat="1" outlineLevel="1" x14ac:dyDescent="0.25">
      <c r="B96" s="30"/>
      <c r="C96" s="17">
        <v>2025</v>
      </c>
      <c r="D96" s="44">
        <v>2026</v>
      </c>
      <c r="E96" s="44">
        <v>2027</v>
      </c>
      <c r="F96" s="44">
        <v>2028</v>
      </c>
      <c r="G96" s="44">
        <v>2029</v>
      </c>
      <c r="H96" s="44">
        <v>2030</v>
      </c>
      <c r="I96" s="44">
        <v>2031</v>
      </c>
      <c r="J96" s="44">
        <v>2032</v>
      </c>
      <c r="K96" s="44">
        <v>2033</v>
      </c>
      <c r="L96" s="44">
        <v>2034</v>
      </c>
      <c r="M96" s="44">
        <v>2035</v>
      </c>
      <c r="N96" s="44">
        <v>2036</v>
      </c>
      <c r="O96" s="44">
        <v>2037</v>
      </c>
      <c r="P96" s="44">
        <v>2038</v>
      </c>
      <c r="Q96" s="44">
        <v>2039</v>
      </c>
      <c r="R96" s="44">
        <v>2040</v>
      </c>
      <c r="S96" s="44">
        <v>2041</v>
      </c>
      <c r="T96" s="44">
        <v>2042</v>
      </c>
      <c r="U96" s="44">
        <v>2043</v>
      </c>
      <c r="V96" s="44">
        <v>2044</v>
      </c>
      <c r="W96" s="44">
        <v>2045</v>
      </c>
      <c r="X96" s="44">
        <v>2046</v>
      </c>
      <c r="Y96" s="44">
        <v>2047</v>
      </c>
      <c r="Z96" s="44">
        <v>2048</v>
      </c>
      <c r="AA96" s="44">
        <v>2049</v>
      </c>
      <c r="AB96" s="44">
        <v>2050</v>
      </c>
      <c r="AC96" s="44">
        <v>2051</v>
      </c>
      <c r="AD96" s="44">
        <v>2052</v>
      </c>
      <c r="AE96" s="44">
        <v>2053</v>
      </c>
      <c r="AF96" s="44">
        <v>2054</v>
      </c>
    </row>
    <row r="97" spans="2:35" outlineLevel="1" x14ac:dyDescent="0.25">
      <c r="B97" s="31" t="s">
        <v>144</v>
      </c>
      <c r="C97" s="32">
        <v>23615064.786330797</v>
      </c>
      <c r="D97" s="32">
        <v>23615064.786330797</v>
      </c>
      <c r="E97" s="32">
        <v>23615064.786330797</v>
      </c>
      <c r="F97" s="32">
        <v>22575379.251518697</v>
      </c>
      <c r="G97" s="32">
        <v>22575379.251518697</v>
      </c>
      <c r="H97" s="32">
        <v>11060280.127500001</v>
      </c>
      <c r="I97" s="32">
        <v>11060280.127500001</v>
      </c>
      <c r="J97" s="32">
        <v>10328151.510000002</v>
      </c>
      <c r="K97" s="32">
        <v>10328151.510000002</v>
      </c>
      <c r="L97" s="32">
        <v>10328151.510000002</v>
      </c>
      <c r="M97" s="32">
        <v>10328151.510000002</v>
      </c>
      <c r="N97" s="32">
        <v>10328151.510000002</v>
      </c>
      <c r="O97" s="32">
        <v>10328151.510000002</v>
      </c>
      <c r="P97" s="32">
        <v>10328151.510000002</v>
      </c>
      <c r="Q97" s="32">
        <v>0</v>
      </c>
      <c r="R97" s="32">
        <v>0</v>
      </c>
      <c r="S97" s="32">
        <v>0</v>
      </c>
      <c r="T97" s="32">
        <v>0</v>
      </c>
      <c r="U97" s="32">
        <v>0</v>
      </c>
      <c r="V97" s="32">
        <v>0</v>
      </c>
      <c r="W97" s="32">
        <v>0</v>
      </c>
      <c r="X97" s="32">
        <v>0</v>
      </c>
      <c r="Y97" s="32">
        <v>0</v>
      </c>
      <c r="Z97" s="32">
        <v>0</v>
      </c>
      <c r="AA97" s="32">
        <v>0</v>
      </c>
      <c r="AB97" s="32">
        <v>0</v>
      </c>
      <c r="AC97" s="32">
        <v>0</v>
      </c>
      <c r="AD97" s="32">
        <v>0</v>
      </c>
      <c r="AE97" s="32">
        <v>0</v>
      </c>
      <c r="AF97" s="32">
        <v>0</v>
      </c>
      <c r="AG97"/>
      <c r="AH97" s="17" t="s">
        <v>279</v>
      </c>
    </row>
    <row r="98" spans="2:35" outlineLevel="1" x14ac:dyDescent="0.25">
      <c r="B98" s="31" t="s">
        <v>145</v>
      </c>
      <c r="C98" s="32">
        <v>15277743.907373067</v>
      </c>
      <c r="D98" s="32">
        <v>15770486.74488374</v>
      </c>
      <c r="E98" s="32">
        <v>15770486.74488374</v>
      </c>
      <c r="F98" s="32">
        <v>15770486.74488374</v>
      </c>
      <c r="G98" s="32">
        <v>15770486.74488374</v>
      </c>
      <c r="H98" s="32">
        <v>15787184.845623737</v>
      </c>
      <c r="I98" s="32">
        <v>15787184.845623737</v>
      </c>
      <c r="J98" s="32">
        <v>15787184.845623737</v>
      </c>
      <c r="K98" s="32">
        <v>15787184.845623737</v>
      </c>
      <c r="L98" s="32">
        <v>15390568.910004416</v>
      </c>
      <c r="M98" s="32">
        <v>4836531.9851375045</v>
      </c>
      <c r="N98" s="32">
        <v>4836531.9851375045</v>
      </c>
      <c r="O98" s="32">
        <v>4836531.9851375045</v>
      </c>
      <c r="P98" s="32">
        <v>4836531.9851375045</v>
      </c>
      <c r="Q98" s="32">
        <v>0</v>
      </c>
      <c r="R98" s="32">
        <v>0</v>
      </c>
      <c r="S98" s="32">
        <v>0</v>
      </c>
      <c r="T98" s="32">
        <v>0</v>
      </c>
      <c r="U98" s="32">
        <v>0</v>
      </c>
      <c r="V98" s="32">
        <v>0</v>
      </c>
      <c r="W98" s="32">
        <v>0</v>
      </c>
      <c r="X98" s="32">
        <v>0</v>
      </c>
      <c r="Y98" s="32">
        <v>0</v>
      </c>
      <c r="Z98" s="32">
        <v>0</v>
      </c>
      <c r="AA98" s="32">
        <v>0</v>
      </c>
      <c r="AB98" s="32">
        <v>0</v>
      </c>
      <c r="AC98" s="32">
        <v>0</v>
      </c>
      <c r="AD98" s="32">
        <v>0</v>
      </c>
      <c r="AE98" s="32">
        <v>0</v>
      </c>
      <c r="AF98" s="32">
        <v>0</v>
      </c>
      <c r="AG98"/>
      <c r="AH98" s="17" t="s">
        <v>279</v>
      </c>
    </row>
    <row r="99" spans="2:35" outlineLevel="1" x14ac:dyDescent="0.25">
      <c r="B99" s="31" t="s">
        <v>244</v>
      </c>
      <c r="C99" s="32">
        <v>74467327.643795222</v>
      </c>
      <c r="D99" s="32">
        <v>74467327.643795222</v>
      </c>
      <c r="E99" s="32">
        <v>74467327.643795222</v>
      </c>
      <c r="F99" s="32">
        <v>87649721.664786637</v>
      </c>
      <c r="G99" s="32">
        <v>87649721.664786637</v>
      </c>
      <c r="H99" s="32">
        <v>58301867.074738726</v>
      </c>
      <c r="I99" s="32">
        <v>58301867.074738726</v>
      </c>
      <c r="J99" s="32">
        <v>52892559.70163542</v>
      </c>
      <c r="K99" s="32">
        <v>52892559.70163542</v>
      </c>
      <c r="L99" s="32">
        <v>52892559.70163542</v>
      </c>
      <c r="M99" s="32">
        <v>19978471.041905433</v>
      </c>
      <c r="N99" s="32">
        <v>19501820.035760269</v>
      </c>
      <c r="O99" s="32">
        <v>19501820.035760269</v>
      </c>
      <c r="P99" s="32">
        <v>19501820.035760269</v>
      </c>
      <c r="Q99" s="32">
        <v>0</v>
      </c>
      <c r="R99" s="32">
        <v>0</v>
      </c>
      <c r="S99" s="32">
        <v>0</v>
      </c>
      <c r="T99" s="32">
        <v>0</v>
      </c>
      <c r="U99" s="32">
        <v>0</v>
      </c>
      <c r="V99" s="32">
        <v>0</v>
      </c>
      <c r="W99" s="32">
        <v>0</v>
      </c>
      <c r="X99" s="32">
        <v>0</v>
      </c>
      <c r="Y99" s="32">
        <v>0</v>
      </c>
      <c r="Z99" s="32">
        <v>0</v>
      </c>
      <c r="AA99" s="32">
        <v>0</v>
      </c>
      <c r="AB99" s="32">
        <v>0</v>
      </c>
      <c r="AC99" s="32">
        <v>0</v>
      </c>
      <c r="AD99" s="32">
        <v>0</v>
      </c>
      <c r="AE99" s="32">
        <v>0</v>
      </c>
      <c r="AF99" s="32">
        <v>0</v>
      </c>
      <c r="AG99"/>
      <c r="AH99" s="17" t="s">
        <v>279</v>
      </c>
    </row>
    <row r="100" spans="2:35" outlineLevel="1" x14ac:dyDescent="0.25">
      <c r="B100" s="31" t="s">
        <v>147</v>
      </c>
      <c r="C100" s="32">
        <v>0</v>
      </c>
      <c r="D100" s="32">
        <v>0</v>
      </c>
      <c r="E100" s="32">
        <v>0</v>
      </c>
      <c r="F100" s="32">
        <v>0</v>
      </c>
      <c r="G100" s="32">
        <v>0</v>
      </c>
      <c r="H100" s="32">
        <v>0</v>
      </c>
      <c r="I100" s="32">
        <v>0</v>
      </c>
      <c r="J100" s="32">
        <v>0</v>
      </c>
      <c r="K100" s="32">
        <v>0</v>
      </c>
      <c r="L100" s="32">
        <v>0</v>
      </c>
      <c r="M100" s="32">
        <v>0</v>
      </c>
      <c r="N100" s="32">
        <v>0</v>
      </c>
      <c r="O100" s="32">
        <v>0</v>
      </c>
      <c r="P100" s="32">
        <v>0</v>
      </c>
      <c r="Q100" s="32">
        <v>0</v>
      </c>
      <c r="R100" s="32">
        <v>0</v>
      </c>
      <c r="S100" s="32">
        <v>0</v>
      </c>
      <c r="T100" s="32">
        <v>0</v>
      </c>
      <c r="U100" s="32">
        <v>0</v>
      </c>
      <c r="V100" s="32">
        <v>0</v>
      </c>
      <c r="W100" s="32">
        <v>0</v>
      </c>
      <c r="X100" s="32">
        <v>0</v>
      </c>
      <c r="Y100" s="32">
        <v>0</v>
      </c>
      <c r="Z100" s="32">
        <v>0</v>
      </c>
      <c r="AA100" s="32">
        <v>0</v>
      </c>
      <c r="AB100" s="32">
        <v>0</v>
      </c>
      <c r="AC100" s="32">
        <v>0</v>
      </c>
      <c r="AD100" s="32">
        <v>0</v>
      </c>
      <c r="AE100" s="32">
        <v>0</v>
      </c>
      <c r="AF100" s="32">
        <v>0</v>
      </c>
      <c r="AG100"/>
      <c r="AH100" s="17" t="s">
        <v>279</v>
      </c>
    </row>
    <row r="101" spans="2:35" outlineLevel="1" x14ac:dyDescent="0.25">
      <c r="B101" s="31" t="s">
        <v>245</v>
      </c>
      <c r="C101" s="32">
        <v>5531260.8599999994</v>
      </c>
      <c r="D101" s="32">
        <v>5531260.8599999994</v>
      </c>
      <c r="E101" s="32">
        <v>5531260.8599999994</v>
      </c>
      <c r="F101" s="32">
        <v>5531260.8599999994</v>
      </c>
      <c r="G101" s="32">
        <v>5531260.8599999994</v>
      </c>
      <c r="H101" s="32">
        <v>5911722.2974800002</v>
      </c>
      <c r="I101" s="32">
        <v>5911722.2974800002</v>
      </c>
      <c r="J101" s="32">
        <v>5911722.2974800002</v>
      </c>
      <c r="K101" s="32">
        <v>5911722.2974800002</v>
      </c>
      <c r="L101" s="32">
        <v>5911722.2974800002</v>
      </c>
      <c r="M101" s="32">
        <v>5911722.2974800002</v>
      </c>
      <c r="N101" s="32">
        <v>5743970.637480001</v>
      </c>
      <c r="O101" s="32">
        <v>5743970.637480001</v>
      </c>
      <c r="P101" s="32">
        <v>5743970.637480001</v>
      </c>
      <c r="Q101" s="32">
        <v>0</v>
      </c>
      <c r="R101" s="32">
        <v>0</v>
      </c>
      <c r="S101" s="32">
        <v>0</v>
      </c>
      <c r="T101" s="32">
        <v>0</v>
      </c>
      <c r="U101" s="32">
        <v>0</v>
      </c>
      <c r="V101" s="32">
        <v>0</v>
      </c>
      <c r="W101" s="32">
        <v>0</v>
      </c>
      <c r="X101" s="32">
        <v>0</v>
      </c>
      <c r="Y101" s="32">
        <v>0</v>
      </c>
      <c r="Z101" s="32">
        <v>0</v>
      </c>
      <c r="AA101" s="32">
        <v>0</v>
      </c>
      <c r="AB101" s="32">
        <v>0</v>
      </c>
      <c r="AC101" s="32">
        <v>0</v>
      </c>
      <c r="AD101" s="32">
        <v>0</v>
      </c>
      <c r="AE101" s="32">
        <v>0</v>
      </c>
      <c r="AF101" s="32">
        <v>0</v>
      </c>
      <c r="AG101"/>
      <c r="AH101" s="17" t="s">
        <v>279</v>
      </c>
    </row>
    <row r="102" spans="2:35" outlineLevel="1" x14ac:dyDescent="0.25">
      <c r="B102" s="31" t="s">
        <v>149</v>
      </c>
      <c r="C102" s="32">
        <v>118891397.19749908</v>
      </c>
      <c r="D102" s="32">
        <v>119384140.03500976</v>
      </c>
      <c r="E102" s="32">
        <v>119384140.03500976</v>
      </c>
      <c r="F102" s="32">
        <v>131526848.52118908</v>
      </c>
      <c r="G102" s="32">
        <v>131526848.52118908</v>
      </c>
      <c r="H102" s="32">
        <v>91061054.345342472</v>
      </c>
      <c r="I102" s="32">
        <v>91061054.345342472</v>
      </c>
      <c r="J102" s="32">
        <v>84919618.354739159</v>
      </c>
      <c r="K102" s="32">
        <v>84919618.354739159</v>
      </c>
      <c r="L102" s="32">
        <v>84523002.41911985</v>
      </c>
      <c r="M102" s="32">
        <v>41054876.83452294</v>
      </c>
      <c r="N102" s="32">
        <v>40410474.168377772</v>
      </c>
      <c r="O102" s="32">
        <v>40410474.168377772</v>
      </c>
      <c r="P102" s="32">
        <v>40410474.168377772</v>
      </c>
      <c r="Q102" s="32">
        <v>0</v>
      </c>
      <c r="R102" s="32">
        <v>0</v>
      </c>
      <c r="S102" s="32">
        <v>0</v>
      </c>
      <c r="T102" s="32">
        <v>0</v>
      </c>
      <c r="U102" s="32">
        <v>0</v>
      </c>
      <c r="V102" s="32">
        <v>0</v>
      </c>
      <c r="W102" s="32">
        <v>0</v>
      </c>
      <c r="X102" s="32">
        <v>0</v>
      </c>
      <c r="Y102" s="32">
        <v>0</v>
      </c>
      <c r="Z102" s="32">
        <v>0</v>
      </c>
      <c r="AA102" s="32">
        <v>0</v>
      </c>
      <c r="AB102" s="32">
        <v>0</v>
      </c>
      <c r="AC102" s="32">
        <v>0</v>
      </c>
      <c r="AD102" s="32">
        <v>0</v>
      </c>
      <c r="AE102" s="32">
        <v>0</v>
      </c>
      <c r="AF102" s="32">
        <v>0</v>
      </c>
      <c r="AG102"/>
      <c r="AH102" s="17" t="s">
        <v>279</v>
      </c>
      <c r="AI102"/>
    </row>
    <row r="103" spans="2:35" outlineLevel="1" x14ac:dyDescent="0.25">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c r="AH103"/>
      <c r="AI103"/>
    </row>
    <row r="104" spans="2:35" customFormat="1" ht="15.75" outlineLevel="1" thickBot="1" x14ac:dyDescent="0.3">
      <c r="B104" s="28" t="s">
        <v>280</v>
      </c>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0"/>
      <c r="AH104" s="20" t="s">
        <v>15</v>
      </c>
    </row>
    <row r="105" spans="2:35" customFormat="1" outlineLevel="1" x14ac:dyDescent="0.25">
      <c r="B105" s="30"/>
      <c r="C105" s="17">
        <v>2025</v>
      </c>
      <c r="D105" s="44">
        <v>2026</v>
      </c>
      <c r="E105" s="44">
        <v>2027</v>
      </c>
      <c r="F105" s="44">
        <v>2028</v>
      </c>
      <c r="G105" s="44">
        <v>2029</v>
      </c>
      <c r="H105" s="44">
        <v>2030</v>
      </c>
      <c r="I105" s="44">
        <v>2031</v>
      </c>
      <c r="J105" s="44">
        <v>2032</v>
      </c>
      <c r="K105" s="44">
        <v>2033</v>
      </c>
      <c r="L105" s="44">
        <v>2034</v>
      </c>
      <c r="M105" s="44">
        <v>2035</v>
      </c>
      <c r="N105" s="44">
        <v>2036</v>
      </c>
      <c r="O105" s="44">
        <v>2037</v>
      </c>
      <c r="P105" s="44">
        <v>2038</v>
      </c>
      <c r="Q105" s="44">
        <v>2039</v>
      </c>
      <c r="R105" s="44">
        <v>2040</v>
      </c>
      <c r="S105" s="44">
        <v>2041</v>
      </c>
      <c r="T105" s="44">
        <v>2042</v>
      </c>
      <c r="U105" s="44">
        <v>2043</v>
      </c>
      <c r="V105" s="44">
        <v>2044</v>
      </c>
      <c r="W105" s="44">
        <v>2045</v>
      </c>
      <c r="X105" s="44">
        <v>2046</v>
      </c>
      <c r="Y105" s="44">
        <v>2047</v>
      </c>
      <c r="Z105" s="44">
        <v>2048</v>
      </c>
      <c r="AA105" s="44">
        <v>2049</v>
      </c>
      <c r="AB105" s="44">
        <v>2050</v>
      </c>
      <c r="AC105" s="44">
        <v>2051</v>
      </c>
      <c r="AD105" s="44">
        <v>2052</v>
      </c>
      <c r="AE105" s="44">
        <v>2053</v>
      </c>
      <c r="AF105" s="44">
        <v>2054</v>
      </c>
    </row>
    <row r="106" spans="2:35" outlineLevel="1" x14ac:dyDescent="0.25">
      <c r="B106" s="31" t="s">
        <v>144</v>
      </c>
      <c r="C106" s="17">
        <v>17485302.973536067</v>
      </c>
      <c r="D106" s="32">
        <v>17485302.973536067</v>
      </c>
      <c r="E106" s="32">
        <v>17485302.973536067</v>
      </c>
      <c r="F106" s="32">
        <v>17037260.06931404</v>
      </c>
      <c r="G106" s="32">
        <v>17037260.06931404</v>
      </c>
      <c r="H106" s="32">
        <v>28703710.536012731</v>
      </c>
      <c r="I106" s="32">
        <v>28703710.536012731</v>
      </c>
      <c r="J106" s="32">
        <v>28376341.051179688</v>
      </c>
      <c r="K106" s="32">
        <v>28376341.051179688</v>
      </c>
      <c r="L106" s="32">
        <v>28444036.329759687</v>
      </c>
      <c r="M106" s="32">
        <v>28444036.329759687</v>
      </c>
      <c r="N106" s="32">
        <v>28444036.329759687</v>
      </c>
      <c r="O106" s="32">
        <v>28444036.329759687</v>
      </c>
      <c r="P106" s="32">
        <v>28444036.329759687</v>
      </c>
      <c r="Q106" s="32">
        <v>38772187.839759685</v>
      </c>
      <c r="R106" s="32">
        <v>38772187.839759685</v>
      </c>
      <c r="S106" s="32">
        <v>38772187.839759685</v>
      </c>
      <c r="T106" s="32">
        <v>38772187.839759685</v>
      </c>
      <c r="U106" s="32">
        <v>38772187.839759685</v>
      </c>
      <c r="V106" s="32">
        <v>38772187.839759685</v>
      </c>
      <c r="W106" s="32">
        <v>38772187.839759685</v>
      </c>
      <c r="X106" s="32">
        <v>38772187.839759685</v>
      </c>
      <c r="Y106" s="32">
        <v>38772187.839759685</v>
      </c>
      <c r="Z106" s="32">
        <v>38772187.839759685</v>
      </c>
      <c r="AA106" s="32">
        <v>38772187.839759685</v>
      </c>
      <c r="AB106" s="32">
        <v>38772187.839759685</v>
      </c>
      <c r="AC106" s="32">
        <v>38772187.839759685</v>
      </c>
      <c r="AD106" s="32">
        <v>38772187.839759685</v>
      </c>
      <c r="AE106" s="32">
        <v>38772187.839759685</v>
      </c>
      <c r="AF106" s="32">
        <v>38772187.839759685</v>
      </c>
      <c r="AG106"/>
      <c r="AH106" s="17" t="s">
        <v>279</v>
      </c>
    </row>
    <row r="107" spans="2:35" outlineLevel="1" x14ac:dyDescent="0.25">
      <c r="B107" s="31" t="s">
        <v>145</v>
      </c>
      <c r="C107" s="32">
        <v>0</v>
      </c>
      <c r="D107" s="32">
        <v>0</v>
      </c>
      <c r="E107" s="32">
        <v>0</v>
      </c>
      <c r="F107" s="32">
        <v>0</v>
      </c>
      <c r="G107" s="32">
        <v>0</v>
      </c>
      <c r="H107" s="32">
        <v>0</v>
      </c>
      <c r="I107" s="32">
        <v>0</v>
      </c>
      <c r="J107" s="32">
        <v>0</v>
      </c>
      <c r="K107" s="32">
        <v>0</v>
      </c>
      <c r="L107" s="32">
        <v>0</v>
      </c>
      <c r="M107" s="32">
        <v>10554036.924866909</v>
      </c>
      <c r="N107" s="32">
        <v>10554036.924866909</v>
      </c>
      <c r="O107" s="32">
        <v>10554036.924866909</v>
      </c>
      <c r="P107" s="32">
        <v>10528113.054866908</v>
      </c>
      <c r="Q107" s="32">
        <v>15364645.040004415</v>
      </c>
      <c r="R107" s="32">
        <v>15384699.734404417</v>
      </c>
      <c r="S107" s="32">
        <v>15384699.734404417</v>
      </c>
      <c r="T107" s="32">
        <v>15384699.734404417</v>
      </c>
      <c r="U107" s="32">
        <v>15384699.734404417</v>
      </c>
      <c r="V107" s="32">
        <v>15384699.734404417</v>
      </c>
      <c r="W107" s="32">
        <v>15384699.734404417</v>
      </c>
      <c r="X107" s="32">
        <v>15384699.734404417</v>
      </c>
      <c r="Y107" s="32">
        <v>15384699.734404417</v>
      </c>
      <c r="Z107" s="32">
        <v>15384699.734404417</v>
      </c>
      <c r="AA107" s="32">
        <v>15384699.734404417</v>
      </c>
      <c r="AB107" s="32">
        <v>14843250.017475424</v>
      </c>
      <c r="AC107" s="32">
        <v>14843250.017475424</v>
      </c>
      <c r="AD107" s="32">
        <v>14843250.017475424</v>
      </c>
      <c r="AE107" s="32">
        <v>14843250.017475424</v>
      </c>
      <c r="AF107" s="32">
        <v>14843250.017475424</v>
      </c>
      <c r="AG107"/>
      <c r="AH107" s="17" t="s">
        <v>279</v>
      </c>
    </row>
    <row r="108" spans="2:35" outlineLevel="1" x14ac:dyDescent="0.25">
      <c r="B108" s="31" t="s">
        <v>244</v>
      </c>
      <c r="C108" s="32">
        <v>0</v>
      </c>
      <c r="D108" s="32">
        <v>0</v>
      </c>
      <c r="E108" s="32">
        <v>0</v>
      </c>
      <c r="F108" s="32">
        <v>0</v>
      </c>
      <c r="G108" s="32">
        <v>0</v>
      </c>
      <c r="H108" s="32">
        <v>29935030.701748434</v>
      </c>
      <c r="I108" s="32">
        <v>29935030.701748434</v>
      </c>
      <c r="J108" s="32">
        <v>27110406.911552094</v>
      </c>
      <c r="K108" s="32">
        <v>27110406.911552094</v>
      </c>
      <c r="L108" s="32">
        <v>27110406.911552094</v>
      </c>
      <c r="M108" s="32">
        <v>60024495.571282089</v>
      </c>
      <c r="N108" s="32">
        <v>59923442.423282094</v>
      </c>
      <c r="O108" s="32">
        <v>59923442.423282094</v>
      </c>
      <c r="P108" s="32">
        <v>59923442.423282094</v>
      </c>
      <c r="Q108" s="32">
        <v>79425262.459042355</v>
      </c>
      <c r="R108" s="32">
        <v>82311974.959042355</v>
      </c>
      <c r="S108" s="32">
        <v>82311974.959042355</v>
      </c>
      <c r="T108" s="32">
        <v>82311974.959042355</v>
      </c>
      <c r="U108" s="32">
        <v>82311974.959042355</v>
      </c>
      <c r="V108" s="32">
        <v>81863454.238701224</v>
      </c>
      <c r="W108" s="32">
        <v>81863454.238701224</v>
      </c>
      <c r="X108" s="32">
        <v>81863454.238701224</v>
      </c>
      <c r="Y108" s="32">
        <v>81863454.238701224</v>
      </c>
      <c r="Z108" s="32">
        <v>81863454.238701224</v>
      </c>
      <c r="AA108" s="32">
        <v>81863454.238701224</v>
      </c>
      <c r="AB108" s="32">
        <v>81863454.238701224</v>
      </c>
      <c r="AC108" s="32">
        <v>81863454.238701224</v>
      </c>
      <c r="AD108" s="32">
        <v>81863454.238701224</v>
      </c>
      <c r="AE108" s="32">
        <v>81863454.238701224</v>
      </c>
      <c r="AF108" s="32">
        <v>81863454.238701224</v>
      </c>
      <c r="AG108"/>
      <c r="AH108" s="17" t="s">
        <v>279</v>
      </c>
    </row>
    <row r="109" spans="2:35" outlineLevel="1" x14ac:dyDescent="0.25">
      <c r="B109" s="31" t="s">
        <v>147</v>
      </c>
      <c r="C109" s="32">
        <v>0</v>
      </c>
      <c r="D109" s="32">
        <v>0</v>
      </c>
      <c r="E109" s="32">
        <v>0</v>
      </c>
      <c r="F109" s="32">
        <v>0</v>
      </c>
      <c r="G109" s="32">
        <v>0</v>
      </c>
      <c r="H109" s="32">
        <v>0</v>
      </c>
      <c r="I109" s="32">
        <v>0</v>
      </c>
      <c r="J109" s="32">
        <v>0</v>
      </c>
      <c r="K109" s="32">
        <v>0</v>
      </c>
      <c r="L109" s="32">
        <v>0</v>
      </c>
      <c r="M109" s="32">
        <v>0</v>
      </c>
      <c r="N109" s="32">
        <v>0</v>
      </c>
      <c r="O109" s="32">
        <v>0</v>
      </c>
      <c r="P109" s="32">
        <v>0</v>
      </c>
      <c r="Q109" s="32">
        <v>0</v>
      </c>
      <c r="R109" s="32">
        <v>0</v>
      </c>
      <c r="S109" s="32">
        <v>0</v>
      </c>
      <c r="T109" s="32">
        <v>0</v>
      </c>
      <c r="U109" s="32">
        <v>0</v>
      </c>
      <c r="V109" s="32">
        <v>0</v>
      </c>
      <c r="W109" s="32">
        <v>0</v>
      </c>
      <c r="X109" s="32">
        <v>0</v>
      </c>
      <c r="Y109" s="32">
        <v>0</v>
      </c>
      <c r="Z109" s="32">
        <v>0</v>
      </c>
      <c r="AA109" s="32">
        <v>0</v>
      </c>
      <c r="AB109" s="32">
        <v>0</v>
      </c>
      <c r="AC109" s="32">
        <v>0</v>
      </c>
      <c r="AD109" s="32">
        <v>0</v>
      </c>
      <c r="AE109" s="32">
        <v>0</v>
      </c>
      <c r="AF109" s="32">
        <v>0</v>
      </c>
      <c r="AG109"/>
      <c r="AH109" s="17" t="s">
        <v>279</v>
      </c>
    </row>
    <row r="110" spans="2:35" outlineLevel="1" x14ac:dyDescent="0.25">
      <c r="B110" s="31" t="s">
        <v>245</v>
      </c>
      <c r="C110" s="32">
        <v>0</v>
      </c>
      <c r="D110" s="32">
        <v>0</v>
      </c>
      <c r="E110" s="32">
        <v>0</v>
      </c>
      <c r="F110" s="32">
        <v>0</v>
      </c>
      <c r="G110" s="32">
        <v>0</v>
      </c>
      <c r="H110" s="32">
        <v>0</v>
      </c>
      <c r="I110" s="32">
        <v>0</v>
      </c>
      <c r="J110" s="32">
        <v>0</v>
      </c>
      <c r="K110" s="32">
        <v>0</v>
      </c>
      <c r="L110" s="32">
        <v>0</v>
      </c>
      <c r="M110" s="32">
        <v>0</v>
      </c>
      <c r="N110" s="32">
        <v>0</v>
      </c>
      <c r="O110" s="32">
        <v>0</v>
      </c>
      <c r="P110" s="32">
        <v>0</v>
      </c>
      <c r="Q110" s="32">
        <v>5743970.637480001</v>
      </c>
      <c r="R110" s="32">
        <v>36060627.457479998</v>
      </c>
      <c r="S110" s="32">
        <v>36060627.457479998</v>
      </c>
      <c r="T110" s="32">
        <v>36060627.457479998</v>
      </c>
      <c r="U110" s="32">
        <v>36060627.457479998</v>
      </c>
      <c r="V110" s="32">
        <v>36060627.457479998</v>
      </c>
      <c r="W110" s="32">
        <v>36060627.457479998</v>
      </c>
      <c r="X110" s="32">
        <v>36060627.457479998</v>
      </c>
      <c r="Y110" s="32">
        <v>36060627.457479998</v>
      </c>
      <c r="Z110" s="32">
        <v>36060627.457479998</v>
      </c>
      <c r="AA110" s="32">
        <v>36060627.457479998</v>
      </c>
      <c r="AB110" s="32">
        <v>36060627.457479998</v>
      </c>
      <c r="AC110" s="32">
        <v>36060627.457479998</v>
      </c>
      <c r="AD110" s="32">
        <v>36060627.457479998</v>
      </c>
      <c r="AE110" s="32">
        <v>36060627.457479998</v>
      </c>
      <c r="AF110" s="32">
        <v>36060627.457479998</v>
      </c>
      <c r="AG110"/>
      <c r="AH110" s="17" t="s">
        <v>279</v>
      </c>
    </row>
    <row r="111" spans="2:35" outlineLevel="1" x14ac:dyDescent="0.25">
      <c r="B111" s="31" t="s">
        <v>149</v>
      </c>
      <c r="C111" s="32">
        <v>17485302.973536067</v>
      </c>
      <c r="D111" s="32">
        <v>17485302.973536067</v>
      </c>
      <c r="E111" s="32">
        <v>17485302.973536067</v>
      </c>
      <c r="F111" s="32">
        <v>17037260.06931404</v>
      </c>
      <c r="G111" s="32">
        <v>17037260.06931404</v>
      </c>
      <c r="H111" s="32">
        <v>58638741.23776117</v>
      </c>
      <c r="I111" s="32">
        <v>58638741.23776117</v>
      </c>
      <c r="J111" s="32">
        <v>55486747.962731779</v>
      </c>
      <c r="K111" s="32">
        <v>55486747.962731779</v>
      </c>
      <c r="L111" s="32">
        <v>55554443.241311781</v>
      </c>
      <c r="M111" s="32">
        <v>99022568.825908691</v>
      </c>
      <c r="N111" s="32">
        <v>98921515.677908689</v>
      </c>
      <c r="O111" s="32">
        <v>98921515.677908689</v>
      </c>
      <c r="P111" s="32">
        <v>98895591.807908684</v>
      </c>
      <c r="Q111" s="32">
        <v>139306065.97628644</v>
      </c>
      <c r="R111" s="32">
        <v>172529489.99068648</v>
      </c>
      <c r="S111" s="32">
        <v>172529489.99068648</v>
      </c>
      <c r="T111" s="32">
        <v>172529489.99068648</v>
      </c>
      <c r="U111" s="32">
        <v>172529489.99068648</v>
      </c>
      <c r="V111" s="32">
        <v>172080969.27034533</v>
      </c>
      <c r="W111" s="32">
        <v>172080969.27034533</v>
      </c>
      <c r="X111" s="32">
        <v>172080969.27034533</v>
      </c>
      <c r="Y111" s="32">
        <v>172080969.27034533</v>
      </c>
      <c r="Z111" s="32">
        <v>172080969.27034533</v>
      </c>
      <c r="AA111" s="32">
        <v>172080969.27034533</v>
      </c>
      <c r="AB111" s="32">
        <v>171539519.55341631</v>
      </c>
      <c r="AC111" s="32">
        <v>171539519.55341631</v>
      </c>
      <c r="AD111" s="32">
        <v>171539519.55341631</v>
      </c>
      <c r="AE111" s="32">
        <v>171539519.55341631</v>
      </c>
      <c r="AF111" s="32">
        <v>171539519.55341631</v>
      </c>
      <c r="AG111"/>
      <c r="AH111" s="17" t="s">
        <v>279</v>
      </c>
    </row>
    <row r="112" spans="2:35" customFormat="1" outlineLevel="1" x14ac:dyDescent="0.25">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row>
    <row r="113" spans="2:34" outlineLevel="1" x14ac:dyDescent="0.25">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c r="AH113"/>
    </row>
    <row r="114" spans="2:34" ht="17.25" outlineLevel="1" thickBot="1" x14ac:dyDescent="0.3">
      <c r="B114" s="26" t="s">
        <v>281</v>
      </c>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row>
    <row r="115" spans="2:34" ht="16.5" outlineLevel="1" thickTop="1" thickBot="1" x14ac:dyDescent="0.3">
      <c r="B115" s="28" t="s">
        <v>278</v>
      </c>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0"/>
      <c r="AH115" s="20" t="s">
        <v>15</v>
      </c>
    </row>
    <row r="116" spans="2:34" customFormat="1" outlineLevel="1" x14ac:dyDescent="0.25">
      <c r="B116" s="30"/>
      <c r="C116" s="17">
        <v>2025</v>
      </c>
      <c r="D116" s="44">
        <v>2026</v>
      </c>
      <c r="E116" s="44">
        <v>2027</v>
      </c>
      <c r="F116" s="44">
        <v>2028</v>
      </c>
      <c r="G116" s="44">
        <v>2029</v>
      </c>
      <c r="H116" s="44">
        <v>2030</v>
      </c>
      <c r="I116" s="44">
        <v>2031</v>
      </c>
      <c r="J116" s="44">
        <v>2032</v>
      </c>
      <c r="K116" s="44">
        <v>2033</v>
      </c>
      <c r="L116" s="44">
        <v>2034</v>
      </c>
      <c r="M116" s="44">
        <v>2035</v>
      </c>
      <c r="N116" s="44">
        <v>2036</v>
      </c>
      <c r="O116" s="44">
        <v>2037</v>
      </c>
      <c r="P116" s="44">
        <v>2038</v>
      </c>
      <c r="Q116" s="44">
        <v>2039</v>
      </c>
      <c r="R116" s="44">
        <v>2040</v>
      </c>
      <c r="S116" s="44">
        <v>2041</v>
      </c>
      <c r="T116" s="44">
        <v>2042</v>
      </c>
      <c r="U116" s="44">
        <v>2043</v>
      </c>
      <c r="V116" s="44">
        <v>2044</v>
      </c>
      <c r="W116" s="44">
        <v>2045</v>
      </c>
      <c r="X116" s="44">
        <v>2046</v>
      </c>
      <c r="Y116" s="44">
        <v>2047</v>
      </c>
      <c r="Z116" s="44">
        <v>2048</v>
      </c>
      <c r="AA116" s="44">
        <v>2049</v>
      </c>
      <c r="AB116" s="44">
        <v>2050</v>
      </c>
      <c r="AC116" s="44">
        <v>2051</v>
      </c>
      <c r="AD116" s="44">
        <v>2052</v>
      </c>
      <c r="AE116" s="44">
        <v>2053</v>
      </c>
      <c r="AF116" s="44">
        <v>2054</v>
      </c>
      <c r="AH116" s="17" t="s">
        <v>279</v>
      </c>
    </row>
    <row r="117" spans="2:34" outlineLevel="1" x14ac:dyDescent="0.25">
      <c r="B117" s="31" t="s">
        <v>144</v>
      </c>
      <c r="C117" s="32">
        <v>73820430.10494855</v>
      </c>
      <c r="D117" s="32">
        <v>73820430.10494855</v>
      </c>
      <c r="E117" s="32">
        <v>73820430.10494855</v>
      </c>
      <c r="F117" s="32">
        <v>73820430.10494855</v>
      </c>
      <c r="G117" s="32">
        <v>73820430.10494855</v>
      </c>
      <c r="H117" s="32">
        <v>38571010.333333336</v>
      </c>
      <c r="I117" s="32">
        <v>38571010.333333336</v>
      </c>
      <c r="J117" s="32">
        <v>38571010.333333336</v>
      </c>
      <c r="K117" s="32">
        <v>38571010.333333336</v>
      </c>
      <c r="L117" s="32">
        <v>38571010.333333336</v>
      </c>
      <c r="M117" s="32">
        <v>38571010.333333336</v>
      </c>
      <c r="N117" s="32">
        <v>38571010.333333336</v>
      </c>
      <c r="O117" s="32">
        <v>38571010.333333336</v>
      </c>
      <c r="P117" s="32">
        <v>38571010.333333336</v>
      </c>
      <c r="Q117" s="32">
        <v>0</v>
      </c>
      <c r="R117" s="32">
        <v>0</v>
      </c>
      <c r="S117" s="32">
        <v>0</v>
      </c>
      <c r="T117" s="32">
        <v>0</v>
      </c>
      <c r="U117" s="32">
        <v>0</v>
      </c>
      <c r="V117" s="32">
        <v>0</v>
      </c>
      <c r="W117" s="32">
        <v>0</v>
      </c>
      <c r="X117" s="32">
        <v>0</v>
      </c>
      <c r="Y117" s="32">
        <v>0</v>
      </c>
      <c r="Z117" s="32">
        <v>0</v>
      </c>
      <c r="AA117" s="32">
        <v>0</v>
      </c>
      <c r="AB117" s="32">
        <v>0</v>
      </c>
      <c r="AC117" s="32">
        <v>0</v>
      </c>
      <c r="AD117" s="32">
        <v>0</v>
      </c>
      <c r="AE117" s="32">
        <v>0</v>
      </c>
      <c r="AF117" s="32">
        <v>0</v>
      </c>
      <c r="AG117"/>
      <c r="AH117" s="17" t="s">
        <v>279</v>
      </c>
    </row>
    <row r="118" spans="2:34" outlineLevel="1" x14ac:dyDescent="0.25">
      <c r="B118" s="31" t="s">
        <v>145</v>
      </c>
      <c r="C118" s="32">
        <v>11884388.380107559</v>
      </c>
      <c r="D118" s="32">
        <v>11884388.380107559</v>
      </c>
      <c r="E118" s="32">
        <v>11884388.380107559</v>
      </c>
      <c r="F118" s="32">
        <v>11884388.380107559</v>
      </c>
      <c r="G118" s="32">
        <v>11884388.380107559</v>
      </c>
      <c r="H118" s="32">
        <v>11884388.380107559</v>
      </c>
      <c r="I118" s="32">
        <v>11884388.380107559</v>
      </c>
      <c r="J118" s="32">
        <v>11884388.380107559</v>
      </c>
      <c r="K118" s="32">
        <v>11884388.380107559</v>
      </c>
      <c r="L118" s="32">
        <v>11884388.380107559</v>
      </c>
      <c r="M118" s="32">
        <v>2652353.1428571437</v>
      </c>
      <c r="N118" s="32">
        <v>2652353.1428571437</v>
      </c>
      <c r="O118" s="32">
        <v>2652353.1428571437</v>
      </c>
      <c r="P118" s="32">
        <v>2652353.1428571437</v>
      </c>
      <c r="Q118" s="32">
        <v>0</v>
      </c>
      <c r="R118" s="32">
        <v>0</v>
      </c>
      <c r="S118" s="32">
        <v>0</v>
      </c>
      <c r="T118" s="32">
        <v>0</v>
      </c>
      <c r="U118" s="32">
        <v>0</v>
      </c>
      <c r="V118" s="32">
        <v>0</v>
      </c>
      <c r="W118" s="32">
        <v>0</v>
      </c>
      <c r="X118" s="32">
        <v>0</v>
      </c>
      <c r="Y118" s="32">
        <v>0</v>
      </c>
      <c r="Z118" s="32">
        <v>0</v>
      </c>
      <c r="AA118" s="32">
        <v>0</v>
      </c>
      <c r="AB118" s="32">
        <v>0</v>
      </c>
      <c r="AC118" s="32">
        <v>0</v>
      </c>
      <c r="AD118" s="32">
        <v>0</v>
      </c>
      <c r="AE118" s="32">
        <v>0</v>
      </c>
      <c r="AF118" s="32">
        <v>0</v>
      </c>
      <c r="AG118"/>
      <c r="AH118" s="17" t="s">
        <v>279</v>
      </c>
    </row>
    <row r="119" spans="2:34" outlineLevel="1" x14ac:dyDescent="0.25">
      <c r="B119" s="31" t="s">
        <v>244</v>
      </c>
      <c r="C119" s="32">
        <v>35030010.666666664</v>
      </c>
      <c r="D119" s="32">
        <v>35030010.666666664</v>
      </c>
      <c r="E119" s="32">
        <v>35030010.666666664</v>
      </c>
      <c r="F119" s="32">
        <v>33517716.333333336</v>
      </c>
      <c r="G119" s="32">
        <v>33517716.333333336</v>
      </c>
      <c r="H119" s="32">
        <v>27281130.833333336</v>
      </c>
      <c r="I119" s="32">
        <v>27281130.833333336</v>
      </c>
      <c r="J119" s="32">
        <v>27281130.833333336</v>
      </c>
      <c r="K119" s="32">
        <v>27281130.833333336</v>
      </c>
      <c r="L119" s="32">
        <v>27281130.833333336</v>
      </c>
      <c r="M119" s="32">
        <v>27281130.833333336</v>
      </c>
      <c r="N119" s="32">
        <v>25435642.571078431</v>
      </c>
      <c r="O119" s="32">
        <v>25435642.571078431</v>
      </c>
      <c r="P119" s="32">
        <v>24476941.485784315</v>
      </c>
      <c r="Q119" s="32">
        <v>0</v>
      </c>
      <c r="R119" s="32">
        <v>0</v>
      </c>
      <c r="S119" s="32">
        <v>0</v>
      </c>
      <c r="T119" s="32">
        <v>0</v>
      </c>
      <c r="U119" s="32">
        <v>0</v>
      </c>
      <c r="V119" s="32">
        <v>0</v>
      </c>
      <c r="W119" s="32">
        <v>0</v>
      </c>
      <c r="X119" s="32">
        <v>0</v>
      </c>
      <c r="Y119" s="32">
        <v>0</v>
      </c>
      <c r="Z119" s="32">
        <v>0</v>
      </c>
      <c r="AA119" s="32">
        <v>0</v>
      </c>
      <c r="AB119" s="32">
        <v>0</v>
      </c>
      <c r="AC119" s="32">
        <v>0</v>
      </c>
      <c r="AD119" s="32">
        <v>0</v>
      </c>
      <c r="AE119" s="32">
        <v>0</v>
      </c>
      <c r="AF119" s="32">
        <v>0</v>
      </c>
      <c r="AG119"/>
      <c r="AH119" s="17" t="s">
        <v>279</v>
      </c>
    </row>
    <row r="120" spans="2:34" customFormat="1" outlineLevel="1" x14ac:dyDescent="0.25">
      <c r="B120" s="31" t="s">
        <v>147</v>
      </c>
      <c r="C120" s="32">
        <v>0</v>
      </c>
      <c r="D120" s="32">
        <v>0</v>
      </c>
      <c r="E120" s="32">
        <v>0</v>
      </c>
      <c r="F120" s="32">
        <v>0</v>
      </c>
      <c r="G120" s="32">
        <v>0</v>
      </c>
      <c r="H120" s="32">
        <v>0</v>
      </c>
      <c r="I120" s="32">
        <v>0</v>
      </c>
      <c r="J120" s="32">
        <v>0</v>
      </c>
      <c r="K120" s="32">
        <v>0</v>
      </c>
      <c r="L120" s="32">
        <v>0</v>
      </c>
      <c r="M120" s="32">
        <v>0</v>
      </c>
      <c r="N120" s="32">
        <v>0</v>
      </c>
      <c r="O120" s="32">
        <v>0</v>
      </c>
      <c r="P120" s="32">
        <v>0</v>
      </c>
      <c r="Q120" s="32">
        <v>0</v>
      </c>
      <c r="R120" s="32">
        <v>0</v>
      </c>
      <c r="S120" s="32">
        <v>0</v>
      </c>
      <c r="T120" s="32">
        <v>0</v>
      </c>
      <c r="U120" s="32">
        <v>0</v>
      </c>
      <c r="V120" s="32">
        <v>0</v>
      </c>
      <c r="W120" s="32">
        <v>0</v>
      </c>
      <c r="X120" s="32">
        <v>0</v>
      </c>
      <c r="Y120" s="32">
        <v>0</v>
      </c>
      <c r="Z120" s="32">
        <v>0</v>
      </c>
      <c r="AA120" s="32">
        <v>0</v>
      </c>
      <c r="AB120" s="32">
        <v>0</v>
      </c>
      <c r="AC120" s="32">
        <v>0</v>
      </c>
      <c r="AD120" s="32">
        <v>0</v>
      </c>
      <c r="AE120" s="32">
        <v>0</v>
      </c>
      <c r="AF120" s="32">
        <v>0</v>
      </c>
      <c r="AH120" s="17" t="s">
        <v>279</v>
      </c>
    </row>
    <row r="121" spans="2:34" outlineLevel="1" x14ac:dyDescent="0.25">
      <c r="B121" s="31" t="s">
        <v>245</v>
      </c>
      <c r="C121" s="32">
        <v>0</v>
      </c>
      <c r="D121" s="32">
        <v>0</v>
      </c>
      <c r="E121" s="32">
        <v>0</v>
      </c>
      <c r="F121" s="32">
        <v>0</v>
      </c>
      <c r="G121" s="32">
        <v>0</v>
      </c>
      <c r="H121" s="32">
        <v>0</v>
      </c>
      <c r="I121" s="32">
        <v>0</v>
      </c>
      <c r="J121" s="32">
        <v>0</v>
      </c>
      <c r="K121" s="32">
        <v>0</v>
      </c>
      <c r="L121" s="32">
        <v>0</v>
      </c>
      <c r="M121" s="32">
        <v>0</v>
      </c>
      <c r="N121" s="32">
        <v>0</v>
      </c>
      <c r="O121" s="32">
        <v>0</v>
      </c>
      <c r="P121" s="32">
        <v>0</v>
      </c>
      <c r="Q121" s="32">
        <v>0</v>
      </c>
      <c r="R121" s="32">
        <v>0</v>
      </c>
      <c r="S121" s="32">
        <v>0</v>
      </c>
      <c r="T121" s="32">
        <v>0</v>
      </c>
      <c r="U121" s="32">
        <v>0</v>
      </c>
      <c r="V121" s="32">
        <v>0</v>
      </c>
      <c r="W121" s="32">
        <v>0</v>
      </c>
      <c r="X121" s="32">
        <v>0</v>
      </c>
      <c r="Y121" s="32">
        <v>0</v>
      </c>
      <c r="Z121" s="32">
        <v>0</v>
      </c>
      <c r="AA121" s="32">
        <v>0</v>
      </c>
      <c r="AB121" s="32">
        <v>0</v>
      </c>
      <c r="AC121" s="32">
        <v>0</v>
      </c>
      <c r="AD121" s="32">
        <v>0</v>
      </c>
      <c r="AE121" s="32">
        <v>0</v>
      </c>
      <c r="AF121" s="32">
        <v>0</v>
      </c>
      <c r="AG121"/>
      <c r="AH121" s="17" t="s">
        <v>279</v>
      </c>
    </row>
    <row r="122" spans="2:34" outlineLevel="1" x14ac:dyDescent="0.25">
      <c r="B122" s="31" t="s">
        <v>149</v>
      </c>
      <c r="C122" s="32">
        <v>120734829.15172276</v>
      </c>
      <c r="D122" s="32">
        <v>120734829.15172276</v>
      </c>
      <c r="E122" s="32">
        <v>120734829.15172276</v>
      </c>
      <c r="F122" s="32">
        <v>119222534.81838945</v>
      </c>
      <c r="G122" s="32">
        <v>119222534.81838945</v>
      </c>
      <c r="H122" s="32">
        <v>77736529.546774238</v>
      </c>
      <c r="I122" s="32">
        <v>77736529.546774238</v>
      </c>
      <c r="J122" s="32">
        <v>77736529.546774238</v>
      </c>
      <c r="K122" s="32">
        <v>77736529.546774238</v>
      </c>
      <c r="L122" s="32">
        <v>77736529.546774238</v>
      </c>
      <c r="M122" s="32">
        <v>68504494.309523821</v>
      </c>
      <c r="N122" s="32">
        <v>66659006.047268912</v>
      </c>
      <c r="O122" s="32">
        <v>66659006.047268912</v>
      </c>
      <c r="P122" s="32">
        <v>65700304.961974792</v>
      </c>
      <c r="Q122" s="32">
        <v>0</v>
      </c>
      <c r="R122" s="32">
        <v>0</v>
      </c>
      <c r="S122" s="32">
        <v>0</v>
      </c>
      <c r="T122" s="32">
        <v>0</v>
      </c>
      <c r="U122" s="32">
        <v>0</v>
      </c>
      <c r="V122" s="32">
        <v>0</v>
      </c>
      <c r="W122" s="32">
        <v>0</v>
      </c>
      <c r="X122" s="32">
        <v>0</v>
      </c>
      <c r="Y122" s="32">
        <v>0</v>
      </c>
      <c r="Z122" s="32">
        <v>0</v>
      </c>
      <c r="AA122" s="32">
        <v>0</v>
      </c>
      <c r="AB122" s="32">
        <v>0</v>
      </c>
      <c r="AC122" s="32">
        <v>0</v>
      </c>
      <c r="AD122" s="32">
        <v>0</v>
      </c>
      <c r="AE122" s="32">
        <v>0</v>
      </c>
      <c r="AF122" s="32">
        <v>0</v>
      </c>
      <c r="AG122"/>
      <c r="AH122" s="17" t="s">
        <v>279</v>
      </c>
    </row>
    <row r="123" spans="2:34" outlineLevel="1" x14ac:dyDescent="0.25">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c r="AH123"/>
    </row>
    <row r="124" spans="2:34" ht="15.75" outlineLevel="1" thickBot="1" x14ac:dyDescent="0.3">
      <c r="B124" s="28" t="s">
        <v>280</v>
      </c>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0"/>
      <c r="AH124" s="20" t="s">
        <v>15</v>
      </c>
    </row>
    <row r="125" spans="2:34" customFormat="1" outlineLevel="1" x14ac:dyDescent="0.25">
      <c r="B125" s="30"/>
      <c r="C125" s="17">
        <v>2025</v>
      </c>
      <c r="D125" s="44">
        <v>2026</v>
      </c>
      <c r="E125" s="44">
        <v>2027</v>
      </c>
      <c r="F125" s="44">
        <v>2028</v>
      </c>
      <c r="G125" s="44">
        <v>2029</v>
      </c>
      <c r="H125" s="44">
        <v>2030</v>
      </c>
      <c r="I125" s="44">
        <v>2031</v>
      </c>
      <c r="J125" s="44">
        <v>2032</v>
      </c>
      <c r="K125" s="44">
        <v>2033</v>
      </c>
      <c r="L125" s="44">
        <v>2034</v>
      </c>
      <c r="M125" s="44">
        <v>2035</v>
      </c>
      <c r="N125" s="44">
        <v>2036</v>
      </c>
      <c r="O125" s="44">
        <v>2037</v>
      </c>
      <c r="P125" s="44">
        <v>2038</v>
      </c>
      <c r="Q125" s="44">
        <v>2039</v>
      </c>
      <c r="R125" s="44">
        <v>2040</v>
      </c>
      <c r="S125" s="44">
        <v>2041</v>
      </c>
      <c r="T125" s="44">
        <v>2042</v>
      </c>
      <c r="U125" s="44">
        <v>2043</v>
      </c>
      <c r="V125" s="44">
        <v>2044</v>
      </c>
      <c r="W125" s="44">
        <v>2045</v>
      </c>
      <c r="X125" s="44">
        <v>2046</v>
      </c>
      <c r="Y125" s="44">
        <v>2047</v>
      </c>
      <c r="Z125" s="44">
        <v>2048</v>
      </c>
      <c r="AA125" s="44">
        <v>2049</v>
      </c>
      <c r="AB125" s="44">
        <v>2050</v>
      </c>
      <c r="AC125" s="44">
        <v>2051</v>
      </c>
      <c r="AD125" s="44">
        <v>2052</v>
      </c>
      <c r="AE125" s="44">
        <v>2053</v>
      </c>
      <c r="AF125" s="44">
        <v>2054</v>
      </c>
      <c r="AG125" s="1"/>
      <c r="AH125" s="1"/>
    </row>
    <row r="126" spans="2:34" outlineLevel="1" x14ac:dyDescent="0.25">
      <c r="B126" s="31" t="s">
        <v>144</v>
      </c>
      <c r="C126" s="32">
        <v>17398088.411448572</v>
      </c>
      <c r="D126" s="32">
        <v>17398088.411448572</v>
      </c>
      <c r="E126" s="32">
        <v>17398088.411448572</v>
      </c>
      <c r="F126" s="32">
        <v>17398088.411448572</v>
      </c>
      <c r="G126" s="32">
        <v>17398088.411448572</v>
      </c>
      <c r="H126" s="32">
        <v>51034148.379142225</v>
      </c>
      <c r="I126" s="32">
        <v>51034148.379142225</v>
      </c>
      <c r="J126" s="32">
        <v>51034148.379142225</v>
      </c>
      <c r="K126" s="32">
        <v>51034148.379142225</v>
      </c>
      <c r="L126" s="32">
        <v>51034148.379142225</v>
      </c>
      <c r="M126" s="32">
        <v>51034148.379142225</v>
      </c>
      <c r="N126" s="32">
        <v>51034148.379142225</v>
      </c>
      <c r="O126" s="32">
        <v>51034148.379142225</v>
      </c>
      <c r="P126" s="32">
        <v>51034148.379142225</v>
      </c>
      <c r="Q126" s="32">
        <v>89605158.712475568</v>
      </c>
      <c r="R126" s="32">
        <v>89605158.712475568</v>
      </c>
      <c r="S126" s="32">
        <v>89605158.712475568</v>
      </c>
      <c r="T126" s="32">
        <v>89605158.712475568</v>
      </c>
      <c r="U126" s="32">
        <v>89605158.712475568</v>
      </c>
      <c r="V126" s="32">
        <v>89605158.712475568</v>
      </c>
      <c r="W126" s="32">
        <v>89605158.712475568</v>
      </c>
      <c r="X126" s="32">
        <v>89605158.712475568</v>
      </c>
      <c r="Y126" s="32">
        <v>89605158.712475568</v>
      </c>
      <c r="Z126" s="32">
        <v>89605158.712475568</v>
      </c>
      <c r="AA126" s="32">
        <v>89605158.712475568</v>
      </c>
      <c r="AB126" s="32">
        <v>89605158.712475568</v>
      </c>
      <c r="AC126" s="32">
        <v>89605158.712475568</v>
      </c>
      <c r="AD126" s="32">
        <v>89605158.712475568</v>
      </c>
      <c r="AE126" s="32">
        <v>89605158.712475568</v>
      </c>
      <c r="AF126" s="32">
        <v>89605158.712475568</v>
      </c>
      <c r="AG126"/>
      <c r="AH126" s="17" t="s">
        <v>279</v>
      </c>
    </row>
    <row r="127" spans="2:34" outlineLevel="1" x14ac:dyDescent="0.25">
      <c r="B127" s="31" t="s">
        <v>145</v>
      </c>
      <c r="C127" s="32">
        <v>0</v>
      </c>
      <c r="D127" s="32">
        <v>0</v>
      </c>
      <c r="E127" s="32">
        <v>0</v>
      </c>
      <c r="F127" s="32">
        <v>0</v>
      </c>
      <c r="G127" s="32">
        <v>0</v>
      </c>
      <c r="H127" s="32">
        <v>0</v>
      </c>
      <c r="I127" s="32">
        <v>0</v>
      </c>
      <c r="J127" s="32">
        <v>0</v>
      </c>
      <c r="K127" s="32">
        <v>0</v>
      </c>
      <c r="L127" s="32">
        <v>0</v>
      </c>
      <c r="M127" s="32">
        <v>9232035.2372504156</v>
      </c>
      <c r="N127" s="32">
        <v>9232035.2372504156</v>
      </c>
      <c r="O127" s="32">
        <v>9232035.2372504156</v>
      </c>
      <c r="P127" s="32">
        <v>9232035.2372504156</v>
      </c>
      <c r="Q127" s="32">
        <v>11884388.380107559</v>
      </c>
      <c r="R127" s="32">
        <v>11884388.380107559</v>
      </c>
      <c r="S127" s="32">
        <v>11884388.380107559</v>
      </c>
      <c r="T127" s="32">
        <v>11525540.601956299</v>
      </c>
      <c r="U127" s="32">
        <v>11525540.601956299</v>
      </c>
      <c r="V127" s="32">
        <v>11525540.601956299</v>
      </c>
      <c r="W127" s="32">
        <v>11525540.601956299</v>
      </c>
      <c r="X127" s="32">
        <v>11525540.601956299</v>
      </c>
      <c r="Y127" s="32">
        <v>11525540.601956299</v>
      </c>
      <c r="Z127" s="32">
        <v>11525540.601956299</v>
      </c>
      <c r="AA127" s="32">
        <v>11525540.601956299</v>
      </c>
      <c r="AB127" s="32">
        <v>11525540.601956299</v>
      </c>
      <c r="AC127" s="32">
        <v>11525540.601956299</v>
      </c>
      <c r="AD127" s="32">
        <v>11525540.601956299</v>
      </c>
      <c r="AE127" s="32">
        <v>11525540.601956299</v>
      </c>
      <c r="AF127" s="32">
        <v>11525540.601956299</v>
      </c>
      <c r="AG127"/>
      <c r="AH127" s="17" t="s">
        <v>279</v>
      </c>
    </row>
    <row r="128" spans="2:34" customFormat="1" outlineLevel="1" x14ac:dyDescent="0.25">
      <c r="B128" s="31" t="s">
        <v>244</v>
      </c>
      <c r="C128" s="32">
        <v>0</v>
      </c>
      <c r="D128" s="32">
        <v>0</v>
      </c>
      <c r="E128" s="32">
        <v>0</v>
      </c>
      <c r="F128" s="32">
        <v>0</v>
      </c>
      <c r="G128" s="32">
        <v>0</v>
      </c>
      <c r="H128" s="32">
        <v>4717161.5</v>
      </c>
      <c r="I128" s="32">
        <v>4717161.5</v>
      </c>
      <c r="J128" s="32">
        <v>4717161.5</v>
      </c>
      <c r="K128" s="32">
        <v>4717161.5</v>
      </c>
      <c r="L128" s="32">
        <v>4717161.5</v>
      </c>
      <c r="M128" s="32">
        <v>4717161.5</v>
      </c>
      <c r="N128" s="32">
        <v>4398059.3985294122</v>
      </c>
      <c r="O128" s="32">
        <v>4398059.3985294122</v>
      </c>
      <c r="P128" s="32">
        <v>4398059.3985294122</v>
      </c>
      <c r="Q128" s="32">
        <v>28875000.884313725</v>
      </c>
      <c r="R128" s="32">
        <v>28875000.884313725</v>
      </c>
      <c r="S128" s="32">
        <v>28875000.884313725</v>
      </c>
      <c r="T128" s="32">
        <v>28875000.884313725</v>
      </c>
      <c r="U128" s="32">
        <v>28875000.884313725</v>
      </c>
      <c r="V128" s="32">
        <v>28875000.884313725</v>
      </c>
      <c r="W128" s="32">
        <v>28875000.884313725</v>
      </c>
      <c r="X128" s="32">
        <v>28875000.884313725</v>
      </c>
      <c r="Y128" s="32">
        <v>28875000.884313725</v>
      </c>
      <c r="Z128" s="32">
        <v>28875000.884313725</v>
      </c>
      <c r="AA128" s="32">
        <v>28875000.884313725</v>
      </c>
      <c r="AB128" s="32">
        <v>28875000.884313725</v>
      </c>
      <c r="AC128" s="32">
        <v>28875000.884313725</v>
      </c>
      <c r="AD128" s="32">
        <v>28875000.884313725</v>
      </c>
      <c r="AE128" s="32">
        <v>28875000.884313725</v>
      </c>
      <c r="AF128" s="32">
        <v>28875000.884313725</v>
      </c>
      <c r="AH128" s="17" t="s">
        <v>279</v>
      </c>
    </row>
    <row r="129" spans="2:35" outlineLevel="1" x14ac:dyDescent="0.25">
      <c r="B129" s="31" t="s">
        <v>147</v>
      </c>
      <c r="C129" s="32">
        <v>0</v>
      </c>
      <c r="D129" s="32">
        <v>0</v>
      </c>
      <c r="E129" s="32">
        <v>0</v>
      </c>
      <c r="F129" s="32">
        <v>0</v>
      </c>
      <c r="G129" s="32">
        <v>0</v>
      </c>
      <c r="H129" s="32">
        <v>0</v>
      </c>
      <c r="I129" s="32">
        <v>0</v>
      </c>
      <c r="J129" s="32">
        <v>0</v>
      </c>
      <c r="K129" s="32">
        <v>0</v>
      </c>
      <c r="L129" s="32">
        <v>0</v>
      </c>
      <c r="M129" s="32">
        <v>0</v>
      </c>
      <c r="N129" s="32">
        <v>0</v>
      </c>
      <c r="O129" s="32">
        <v>0</v>
      </c>
      <c r="P129" s="32">
        <v>0</v>
      </c>
      <c r="Q129" s="32">
        <v>0</v>
      </c>
      <c r="R129" s="32">
        <v>0</v>
      </c>
      <c r="S129" s="32">
        <v>0</v>
      </c>
      <c r="T129" s="32">
        <v>0</v>
      </c>
      <c r="U129" s="32">
        <v>0</v>
      </c>
      <c r="V129" s="32">
        <v>0</v>
      </c>
      <c r="W129" s="32">
        <v>0</v>
      </c>
      <c r="X129" s="32">
        <v>0</v>
      </c>
      <c r="Y129" s="32">
        <v>0</v>
      </c>
      <c r="Z129" s="32">
        <v>0</v>
      </c>
      <c r="AA129" s="32">
        <v>0</v>
      </c>
      <c r="AB129" s="32">
        <v>0</v>
      </c>
      <c r="AC129" s="32">
        <v>0</v>
      </c>
      <c r="AD129" s="32">
        <v>0</v>
      </c>
      <c r="AE129" s="32">
        <v>0</v>
      </c>
      <c r="AF129" s="32">
        <v>0</v>
      </c>
      <c r="AG129"/>
      <c r="AH129" s="17" t="s">
        <v>279</v>
      </c>
    </row>
    <row r="130" spans="2:35" outlineLevel="1" x14ac:dyDescent="0.25">
      <c r="B130" s="31" t="s">
        <v>245</v>
      </c>
      <c r="C130" s="32">
        <v>0</v>
      </c>
      <c r="D130" s="32">
        <v>0</v>
      </c>
      <c r="E130" s="32">
        <v>0</v>
      </c>
      <c r="F130" s="32">
        <v>0</v>
      </c>
      <c r="G130" s="32">
        <v>0</v>
      </c>
      <c r="H130" s="32">
        <v>0</v>
      </c>
      <c r="I130" s="32">
        <v>0</v>
      </c>
      <c r="J130" s="32">
        <v>0</v>
      </c>
      <c r="K130" s="32">
        <v>0</v>
      </c>
      <c r="L130" s="32">
        <v>0</v>
      </c>
      <c r="M130" s="32">
        <v>0</v>
      </c>
      <c r="N130" s="32">
        <v>0</v>
      </c>
      <c r="O130" s="32">
        <v>0</v>
      </c>
      <c r="P130" s="32">
        <v>0</v>
      </c>
      <c r="Q130" s="32">
        <v>0</v>
      </c>
      <c r="R130" s="32">
        <v>4623100.2231905619</v>
      </c>
      <c r="S130" s="32">
        <v>4623100.2231905619</v>
      </c>
      <c r="T130" s="32">
        <v>4623100.2231905619</v>
      </c>
      <c r="U130" s="32">
        <v>4623100.2231905619</v>
      </c>
      <c r="V130" s="32">
        <v>4623100.2231905619</v>
      </c>
      <c r="W130" s="32">
        <v>4623100.2231905619</v>
      </c>
      <c r="X130" s="32">
        <v>4623100.2231905619</v>
      </c>
      <c r="Y130" s="32">
        <v>4623100.2231905619</v>
      </c>
      <c r="Z130" s="32">
        <v>4623100.2231905619</v>
      </c>
      <c r="AA130" s="32">
        <v>4623100.2231905619</v>
      </c>
      <c r="AB130" s="32">
        <v>4623100.2231905619</v>
      </c>
      <c r="AC130" s="32">
        <v>4623100.2231905619</v>
      </c>
      <c r="AD130" s="32">
        <v>4623100.2231905619</v>
      </c>
      <c r="AE130" s="32">
        <v>4623100.2231905619</v>
      </c>
      <c r="AF130" s="32">
        <v>4623100.2231905619</v>
      </c>
      <c r="AG130"/>
      <c r="AH130" s="17" t="s">
        <v>279</v>
      </c>
    </row>
    <row r="131" spans="2:35" outlineLevel="1" x14ac:dyDescent="0.25">
      <c r="B131" s="31" t="s">
        <v>149</v>
      </c>
      <c r="C131" s="32">
        <v>17398088.411448572</v>
      </c>
      <c r="D131" s="32">
        <v>17398088.411448572</v>
      </c>
      <c r="E131" s="32">
        <v>17398088.411448572</v>
      </c>
      <c r="F131" s="32">
        <v>17398088.411448572</v>
      </c>
      <c r="G131" s="32">
        <v>17398088.411448572</v>
      </c>
      <c r="H131" s="32">
        <v>55751309.879142225</v>
      </c>
      <c r="I131" s="32">
        <v>55751309.879142225</v>
      </c>
      <c r="J131" s="32">
        <v>55751309.879142225</v>
      </c>
      <c r="K131" s="32">
        <v>55751309.879142225</v>
      </c>
      <c r="L131" s="32">
        <v>55751309.879142225</v>
      </c>
      <c r="M131" s="32">
        <v>64983345.116392642</v>
      </c>
      <c r="N131" s="32">
        <v>64664243.014922053</v>
      </c>
      <c r="O131" s="32">
        <v>64664243.014922053</v>
      </c>
      <c r="P131" s="32">
        <v>64664243.014922053</v>
      </c>
      <c r="Q131" s="32">
        <v>130364547.97689685</v>
      </c>
      <c r="R131" s="32">
        <v>134987648.20008743</v>
      </c>
      <c r="S131" s="32">
        <v>134987648.20008743</v>
      </c>
      <c r="T131" s="32">
        <v>134628800.42193615</v>
      </c>
      <c r="U131" s="32">
        <v>134628800.42193615</v>
      </c>
      <c r="V131" s="32">
        <v>134628800.42193615</v>
      </c>
      <c r="W131" s="32">
        <v>134628800.42193615</v>
      </c>
      <c r="X131" s="32">
        <v>134628800.42193615</v>
      </c>
      <c r="Y131" s="32">
        <v>134628800.42193615</v>
      </c>
      <c r="Z131" s="32">
        <v>134628800.42193615</v>
      </c>
      <c r="AA131" s="32">
        <v>134628800.42193615</v>
      </c>
      <c r="AB131" s="32">
        <v>134628800.42193615</v>
      </c>
      <c r="AC131" s="32">
        <v>134628800.42193615</v>
      </c>
      <c r="AD131" s="32">
        <v>134628800.42193615</v>
      </c>
      <c r="AE131" s="32">
        <v>134628800.42193615</v>
      </c>
      <c r="AF131" s="32">
        <v>134628800.42193615</v>
      </c>
      <c r="AG131"/>
      <c r="AH131" s="17" t="s">
        <v>279</v>
      </c>
    </row>
    <row r="132" spans="2:35" outlineLevel="1" x14ac:dyDescent="0.25">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c r="AH132"/>
    </row>
    <row r="133" spans="2:35" outlineLevel="1" x14ac:dyDescent="0.25">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c r="AH133"/>
    </row>
    <row r="134" spans="2:35" ht="17.25" outlineLevel="1" thickBot="1" x14ac:dyDescent="0.3">
      <c r="B134" s="26" t="s">
        <v>282</v>
      </c>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row>
    <row r="135" spans="2:35" ht="16.5" outlineLevel="1" thickTop="1" thickBot="1" x14ac:dyDescent="0.3">
      <c r="B135" s="28" t="s">
        <v>278</v>
      </c>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0"/>
      <c r="AH135" s="20" t="s">
        <v>15</v>
      </c>
    </row>
    <row r="136" spans="2:35" customFormat="1" outlineLevel="1" x14ac:dyDescent="0.25">
      <c r="B136" s="30"/>
      <c r="C136" s="17">
        <v>2025</v>
      </c>
      <c r="D136" s="44">
        <v>2026</v>
      </c>
      <c r="E136" s="44">
        <v>2027</v>
      </c>
      <c r="F136" s="44">
        <v>2028</v>
      </c>
      <c r="G136" s="44">
        <v>2029</v>
      </c>
      <c r="H136" s="44">
        <v>2030</v>
      </c>
      <c r="I136" s="44">
        <v>2031</v>
      </c>
      <c r="J136" s="44">
        <v>2032</v>
      </c>
      <c r="K136" s="44">
        <v>2033</v>
      </c>
      <c r="L136" s="44">
        <v>2034</v>
      </c>
      <c r="M136" s="44">
        <v>2035</v>
      </c>
      <c r="N136" s="44">
        <v>2036</v>
      </c>
      <c r="O136" s="44">
        <v>2037</v>
      </c>
      <c r="P136" s="44">
        <v>2038</v>
      </c>
      <c r="Q136" s="44">
        <v>2039</v>
      </c>
      <c r="R136" s="44">
        <v>2040</v>
      </c>
      <c r="S136" s="44">
        <v>2041</v>
      </c>
      <c r="T136" s="44">
        <v>2042</v>
      </c>
      <c r="U136" s="44">
        <v>2043</v>
      </c>
      <c r="V136" s="44">
        <v>2044</v>
      </c>
      <c r="W136" s="44">
        <v>2045</v>
      </c>
      <c r="X136" s="44">
        <v>2046</v>
      </c>
      <c r="Y136" s="44">
        <v>2047</v>
      </c>
      <c r="Z136" s="44">
        <v>2048</v>
      </c>
      <c r="AA136" s="44">
        <v>2049</v>
      </c>
      <c r="AB136" s="44">
        <v>2050</v>
      </c>
      <c r="AC136" s="44">
        <v>2051</v>
      </c>
      <c r="AD136" s="44">
        <v>2052</v>
      </c>
      <c r="AE136" s="44">
        <v>2053</v>
      </c>
      <c r="AF136" s="44">
        <v>2054</v>
      </c>
      <c r="AH136" s="1"/>
      <c r="AI136" s="1"/>
    </row>
    <row r="137" spans="2:35" outlineLevel="1" x14ac:dyDescent="0.25">
      <c r="B137" s="31" t="s">
        <v>144</v>
      </c>
      <c r="C137" s="32">
        <v>275637.6793395307</v>
      </c>
      <c r="D137" s="32">
        <v>275637.6793395307</v>
      </c>
      <c r="E137" s="32">
        <v>275637.6793395307</v>
      </c>
      <c r="F137" s="32">
        <v>246000.56255573398</v>
      </c>
      <c r="G137" s="32">
        <v>246000.56255573398</v>
      </c>
      <c r="H137" s="32">
        <v>123860.82894439333</v>
      </c>
      <c r="I137" s="32">
        <v>123860.82894439333</v>
      </c>
      <c r="J137" s="32">
        <v>117292.51387315</v>
      </c>
      <c r="K137" s="32">
        <v>117292.51387315</v>
      </c>
      <c r="L137" s="32">
        <v>117292.51387315</v>
      </c>
      <c r="M137" s="32">
        <v>117292.51387315</v>
      </c>
      <c r="N137" s="32">
        <v>117292.51387315</v>
      </c>
      <c r="O137" s="32">
        <v>117292.51387315</v>
      </c>
      <c r="P137" s="32">
        <v>117292.51387315</v>
      </c>
      <c r="Q137" s="32">
        <v>0</v>
      </c>
      <c r="R137" s="32">
        <v>0</v>
      </c>
      <c r="S137" s="32">
        <v>0</v>
      </c>
      <c r="T137" s="32">
        <v>0</v>
      </c>
      <c r="U137" s="32">
        <v>0</v>
      </c>
      <c r="V137" s="32">
        <v>0</v>
      </c>
      <c r="W137" s="32">
        <v>0</v>
      </c>
      <c r="X137" s="32">
        <v>0</v>
      </c>
      <c r="Y137" s="32">
        <v>0</v>
      </c>
      <c r="Z137" s="32">
        <v>0</v>
      </c>
      <c r="AA137" s="32">
        <v>0</v>
      </c>
      <c r="AB137" s="32">
        <v>0</v>
      </c>
      <c r="AC137" s="32">
        <v>0</v>
      </c>
      <c r="AD137" s="32">
        <v>0</v>
      </c>
      <c r="AE137" s="32">
        <v>0</v>
      </c>
      <c r="AF137" s="32">
        <v>0</v>
      </c>
      <c r="AG137"/>
      <c r="AH137" s="17" t="s">
        <v>279</v>
      </c>
    </row>
    <row r="138" spans="2:35" customFormat="1" outlineLevel="1" x14ac:dyDescent="0.25">
      <c r="B138" s="31" t="s">
        <v>145</v>
      </c>
      <c r="C138" s="32">
        <v>98109.353104549853</v>
      </c>
      <c r="D138" s="32">
        <v>98109.353104549853</v>
      </c>
      <c r="E138" s="32">
        <v>98109.353104549853</v>
      </c>
      <c r="F138" s="32">
        <v>98109.353104549853</v>
      </c>
      <c r="G138" s="32">
        <v>98109.353104549853</v>
      </c>
      <c r="H138" s="32">
        <v>98109.353104549853</v>
      </c>
      <c r="I138" s="32">
        <v>98109.353104549853</v>
      </c>
      <c r="J138" s="32">
        <v>98109.353104549853</v>
      </c>
      <c r="K138" s="32">
        <v>98109.353104549853</v>
      </c>
      <c r="L138" s="32">
        <v>87477.430959262143</v>
      </c>
      <c r="M138" s="32">
        <v>27483.61568437548</v>
      </c>
      <c r="N138" s="32">
        <v>27483.61568437548</v>
      </c>
      <c r="O138" s="32">
        <v>27483.61568437548</v>
      </c>
      <c r="P138" s="32">
        <v>27483.61568437548</v>
      </c>
      <c r="Q138" s="32">
        <v>0</v>
      </c>
      <c r="R138" s="32">
        <v>0</v>
      </c>
      <c r="S138" s="32">
        <v>0</v>
      </c>
      <c r="T138" s="32">
        <v>0</v>
      </c>
      <c r="U138" s="32">
        <v>0</v>
      </c>
      <c r="V138" s="32">
        <v>0</v>
      </c>
      <c r="W138" s="32">
        <v>0</v>
      </c>
      <c r="X138" s="32">
        <v>0</v>
      </c>
      <c r="Y138" s="32">
        <v>0</v>
      </c>
      <c r="Z138" s="32">
        <v>0</v>
      </c>
      <c r="AA138" s="32">
        <v>0</v>
      </c>
      <c r="AB138" s="32">
        <v>0</v>
      </c>
      <c r="AC138" s="32">
        <v>0</v>
      </c>
      <c r="AD138" s="32">
        <v>0</v>
      </c>
      <c r="AE138" s="32">
        <v>0</v>
      </c>
      <c r="AF138" s="32">
        <v>0</v>
      </c>
      <c r="AH138" s="17" t="s">
        <v>279</v>
      </c>
    </row>
    <row r="139" spans="2:35" outlineLevel="1" x14ac:dyDescent="0.25">
      <c r="B139" s="31" t="s">
        <v>244</v>
      </c>
      <c r="C139" s="32">
        <v>249408.4642786741</v>
      </c>
      <c r="D139" s="32">
        <v>249408.4642786741</v>
      </c>
      <c r="E139" s="32">
        <v>249408.4642786741</v>
      </c>
      <c r="F139" s="32">
        <v>271089.76978868787</v>
      </c>
      <c r="G139" s="32">
        <v>271089.76978868787</v>
      </c>
      <c r="H139" s="32">
        <v>187952.94349475898</v>
      </c>
      <c r="I139" s="32">
        <v>187952.94349475898</v>
      </c>
      <c r="J139" s="32">
        <v>171672.21498687367</v>
      </c>
      <c r="K139" s="32">
        <v>171672.21498687367</v>
      </c>
      <c r="L139" s="32">
        <v>171672.21498687367</v>
      </c>
      <c r="M139" s="32">
        <v>113062.31570500447</v>
      </c>
      <c r="N139" s="32">
        <v>104812.76242806211</v>
      </c>
      <c r="O139" s="32">
        <v>104812.76242806211</v>
      </c>
      <c r="P139" s="32">
        <v>102917.31749667216</v>
      </c>
      <c r="Q139" s="32">
        <v>0</v>
      </c>
      <c r="R139" s="32">
        <v>0</v>
      </c>
      <c r="S139" s="32">
        <v>0</v>
      </c>
      <c r="T139" s="32">
        <v>0</v>
      </c>
      <c r="U139" s="32">
        <v>0</v>
      </c>
      <c r="V139" s="32">
        <v>0</v>
      </c>
      <c r="W139" s="32">
        <v>0</v>
      </c>
      <c r="X139" s="32">
        <v>0</v>
      </c>
      <c r="Y139" s="32">
        <v>0</v>
      </c>
      <c r="Z139" s="32">
        <v>0</v>
      </c>
      <c r="AA139" s="32">
        <v>0</v>
      </c>
      <c r="AB139" s="32">
        <v>0</v>
      </c>
      <c r="AC139" s="32">
        <v>0</v>
      </c>
      <c r="AD139" s="32">
        <v>0</v>
      </c>
      <c r="AE139" s="32">
        <v>0</v>
      </c>
      <c r="AF139" s="32">
        <v>0</v>
      </c>
      <c r="AG139"/>
      <c r="AH139" s="17" t="s">
        <v>279</v>
      </c>
    </row>
    <row r="140" spans="2:35" outlineLevel="1" x14ac:dyDescent="0.25">
      <c r="B140" s="31" t="s">
        <v>147</v>
      </c>
      <c r="C140" s="32">
        <v>0</v>
      </c>
      <c r="D140" s="32">
        <v>0</v>
      </c>
      <c r="E140" s="32">
        <v>0</v>
      </c>
      <c r="F140" s="32">
        <v>0</v>
      </c>
      <c r="G140" s="32">
        <v>0</v>
      </c>
      <c r="H140" s="32">
        <v>0</v>
      </c>
      <c r="I140" s="32">
        <v>0</v>
      </c>
      <c r="J140" s="32">
        <v>0</v>
      </c>
      <c r="K140" s="32">
        <v>0</v>
      </c>
      <c r="L140" s="32">
        <v>0</v>
      </c>
      <c r="M140" s="32">
        <v>0</v>
      </c>
      <c r="N140" s="32">
        <v>0</v>
      </c>
      <c r="O140" s="32">
        <v>0</v>
      </c>
      <c r="P140" s="32">
        <v>0</v>
      </c>
      <c r="Q140" s="32">
        <v>0</v>
      </c>
      <c r="R140" s="32">
        <v>0</v>
      </c>
      <c r="S140" s="32">
        <v>0</v>
      </c>
      <c r="T140" s="32">
        <v>0</v>
      </c>
      <c r="U140" s="32">
        <v>0</v>
      </c>
      <c r="V140" s="32">
        <v>0</v>
      </c>
      <c r="W140" s="32">
        <v>0</v>
      </c>
      <c r="X140" s="32">
        <v>0</v>
      </c>
      <c r="Y140" s="32">
        <v>0</v>
      </c>
      <c r="Z140" s="32">
        <v>0</v>
      </c>
      <c r="AA140" s="32">
        <v>0</v>
      </c>
      <c r="AB140" s="32">
        <v>0</v>
      </c>
      <c r="AC140" s="32">
        <v>0</v>
      </c>
      <c r="AD140" s="32">
        <v>0</v>
      </c>
      <c r="AE140" s="32">
        <v>0</v>
      </c>
      <c r="AF140" s="32">
        <v>0</v>
      </c>
      <c r="AG140"/>
      <c r="AH140" s="17" t="s">
        <v>279</v>
      </c>
    </row>
    <row r="141" spans="2:35" outlineLevel="1" x14ac:dyDescent="0.25">
      <c r="B141" s="31" t="s">
        <v>245</v>
      </c>
      <c r="C141" s="32">
        <v>15010.998282483361</v>
      </c>
      <c r="D141" s="32">
        <v>15010.998282483361</v>
      </c>
      <c r="E141" s="32">
        <v>15010.998282483361</v>
      </c>
      <c r="F141" s="32">
        <v>15010.998282483361</v>
      </c>
      <c r="G141" s="32">
        <v>15010.998282483361</v>
      </c>
      <c r="H141" s="32">
        <v>15010.998282483361</v>
      </c>
      <c r="I141" s="32">
        <v>15010.998282483361</v>
      </c>
      <c r="J141" s="32">
        <v>15010.998282483361</v>
      </c>
      <c r="K141" s="32">
        <v>15010.998282483361</v>
      </c>
      <c r="L141" s="32">
        <v>15010.998282483361</v>
      </c>
      <c r="M141" s="32">
        <v>15010.998282483361</v>
      </c>
      <c r="N141" s="32">
        <v>13436.692112233934</v>
      </c>
      <c r="O141" s="32">
        <v>13436.692112233934</v>
      </c>
      <c r="P141" s="32">
        <v>13436.692112233934</v>
      </c>
      <c r="Q141" s="32">
        <v>0</v>
      </c>
      <c r="R141" s="32">
        <v>0</v>
      </c>
      <c r="S141" s="32">
        <v>0</v>
      </c>
      <c r="T141" s="32">
        <v>0</v>
      </c>
      <c r="U141" s="32">
        <v>0</v>
      </c>
      <c r="V141" s="32">
        <v>0</v>
      </c>
      <c r="W141" s="32">
        <v>0</v>
      </c>
      <c r="X141" s="32">
        <v>0</v>
      </c>
      <c r="Y141" s="32">
        <v>0</v>
      </c>
      <c r="Z141" s="32">
        <v>0</v>
      </c>
      <c r="AA141" s="32">
        <v>0</v>
      </c>
      <c r="AB141" s="32">
        <v>0</v>
      </c>
      <c r="AC141" s="32">
        <v>0</v>
      </c>
      <c r="AD141" s="32">
        <v>0</v>
      </c>
      <c r="AE141" s="32">
        <v>0</v>
      </c>
      <c r="AF141" s="32">
        <v>0</v>
      </c>
      <c r="AG141"/>
      <c r="AH141" s="17" t="s">
        <v>279</v>
      </c>
    </row>
    <row r="142" spans="2:35" outlineLevel="1" x14ac:dyDescent="0.25">
      <c r="B142" s="31" t="s">
        <v>149</v>
      </c>
      <c r="C142" s="32">
        <v>638166.49500523799</v>
      </c>
      <c r="D142" s="32">
        <v>638166.49500523799</v>
      </c>
      <c r="E142" s="32">
        <v>638166.49500523799</v>
      </c>
      <c r="F142" s="32">
        <v>630210.68373145501</v>
      </c>
      <c r="G142" s="32">
        <v>630210.68373145501</v>
      </c>
      <c r="H142" s="32">
        <v>424934.12382618553</v>
      </c>
      <c r="I142" s="32">
        <v>424934.12382618553</v>
      </c>
      <c r="J142" s="32">
        <v>402085.0802470569</v>
      </c>
      <c r="K142" s="32">
        <v>402085.0802470569</v>
      </c>
      <c r="L142" s="32">
        <v>391453.15810176922</v>
      </c>
      <c r="M142" s="32">
        <v>272849.44354501332</v>
      </c>
      <c r="N142" s="32">
        <v>263025.58409782156</v>
      </c>
      <c r="O142" s="32">
        <v>263025.58409782156</v>
      </c>
      <c r="P142" s="32">
        <v>261130.13916643156</v>
      </c>
      <c r="Q142" s="32">
        <v>0</v>
      </c>
      <c r="R142" s="32">
        <v>0</v>
      </c>
      <c r="S142" s="32">
        <v>0</v>
      </c>
      <c r="T142" s="32">
        <v>0</v>
      </c>
      <c r="U142" s="32">
        <v>0</v>
      </c>
      <c r="V142" s="32">
        <v>0</v>
      </c>
      <c r="W142" s="32">
        <v>0</v>
      </c>
      <c r="X142" s="32">
        <v>0</v>
      </c>
      <c r="Y142" s="32">
        <v>0</v>
      </c>
      <c r="Z142" s="32">
        <v>0</v>
      </c>
      <c r="AA142" s="32">
        <v>0</v>
      </c>
      <c r="AB142" s="32">
        <v>0</v>
      </c>
      <c r="AC142" s="32">
        <v>0</v>
      </c>
      <c r="AD142" s="32">
        <v>0</v>
      </c>
      <c r="AE142" s="32">
        <v>0</v>
      </c>
      <c r="AF142" s="32">
        <v>0</v>
      </c>
      <c r="AG142"/>
      <c r="AH142" s="17" t="s">
        <v>279</v>
      </c>
    </row>
    <row r="143" spans="2:35" outlineLevel="1" x14ac:dyDescent="0.25">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row>
    <row r="144" spans="2:35" ht="15.75" outlineLevel="1" thickBot="1" x14ac:dyDescent="0.3">
      <c r="B144" s="28" t="s">
        <v>280</v>
      </c>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0"/>
      <c r="AH144" s="20" t="s">
        <v>15</v>
      </c>
    </row>
    <row r="145" spans="2:34" customFormat="1" outlineLevel="1" x14ac:dyDescent="0.25">
      <c r="B145" s="30"/>
      <c r="C145" s="17">
        <v>2025</v>
      </c>
      <c r="D145" s="44">
        <v>2026</v>
      </c>
      <c r="E145" s="44">
        <v>2027</v>
      </c>
      <c r="F145" s="44">
        <v>2028</v>
      </c>
      <c r="G145" s="44">
        <v>2029</v>
      </c>
      <c r="H145" s="44">
        <v>2030</v>
      </c>
      <c r="I145" s="44">
        <v>2031</v>
      </c>
      <c r="J145" s="44">
        <v>2032</v>
      </c>
      <c r="K145" s="44">
        <v>2033</v>
      </c>
      <c r="L145" s="44">
        <v>2034</v>
      </c>
      <c r="M145" s="44">
        <v>2035</v>
      </c>
      <c r="N145" s="44">
        <v>2036</v>
      </c>
      <c r="O145" s="44">
        <v>2037</v>
      </c>
      <c r="P145" s="44">
        <v>2038</v>
      </c>
      <c r="Q145" s="44">
        <v>2039</v>
      </c>
      <c r="R145" s="44">
        <v>2040</v>
      </c>
      <c r="S145" s="44">
        <v>2041</v>
      </c>
      <c r="T145" s="44">
        <v>2042</v>
      </c>
      <c r="U145" s="44">
        <v>2043</v>
      </c>
      <c r="V145" s="44">
        <v>2044</v>
      </c>
      <c r="W145" s="44">
        <v>2045</v>
      </c>
      <c r="X145" s="44">
        <v>2046</v>
      </c>
      <c r="Y145" s="44">
        <v>2047</v>
      </c>
      <c r="Z145" s="44">
        <v>2048</v>
      </c>
      <c r="AA145" s="44">
        <v>2049</v>
      </c>
      <c r="AB145" s="44">
        <v>2050</v>
      </c>
      <c r="AC145" s="44">
        <v>2051</v>
      </c>
      <c r="AD145" s="44">
        <v>2052</v>
      </c>
      <c r="AE145" s="44">
        <v>2053</v>
      </c>
      <c r="AF145" s="44">
        <v>2054</v>
      </c>
      <c r="AH145" s="1"/>
    </row>
    <row r="146" spans="2:34" outlineLevel="1" x14ac:dyDescent="0.25">
      <c r="B146" s="31" t="s">
        <v>144</v>
      </c>
      <c r="C146" s="32">
        <v>66604.971681256866</v>
      </c>
      <c r="D146" s="32">
        <v>66604.971681256866</v>
      </c>
      <c r="E146" s="32">
        <v>66604.971681256866</v>
      </c>
      <c r="F146" s="32">
        <v>59602.739540276838</v>
      </c>
      <c r="G146" s="32">
        <v>59602.739540276838</v>
      </c>
      <c r="H146" s="32">
        <v>177346.97958495078</v>
      </c>
      <c r="I146" s="32">
        <v>177346.97958495078</v>
      </c>
      <c r="J146" s="32">
        <v>174653.14817234574</v>
      </c>
      <c r="K146" s="32">
        <v>174653.14817234574</v>
      </c>
      <c r="L146" s="32">
        <v>174653.14817234574</v>
      </c>
      <c r="M146" s="32">
        <v>174653.14817234574</v>
      </c>
      <c r="N146" s="32">
        <v>174653.14817234574</v>
      </c>
      <c r="O146" s="32">
        <v>174653.14817234574</v>
      </c>
      <c r="P146" s="32">
        <v>174653.14817234574</v>
      </c>
      <c r="Q146" s="32">
        <v>291945.6620454957</v>
      </c>
      <c r="R146" s="32">
        <v>291945.6620454957</v>
      </c>
      <c r="S146" s="32">
        <v>291945.6620454957</v>
      </c>
      <c r="T146" s="32">
        <v>291945.6620454957</v>
      </c>
      <c r="U146" s="32">
        <v>291945.6620454957</v>
      </c>
      <c r="V146" s="32">
        <v>291945.6620454957</v>
      </c>
      <c r="W146" s="32">
        <v>291945.6620454957</v>
      </c>
      <c r="X146" s="32">
        <v>291945.6620454957</v>
      </c>
      <c r="Y146" s="32">
        <v>291945.6620454957</v>
      </c>
      <c r="Z146" s="32">
        <v>291945.6620454957</v>
      </c>
      <c r="AA146" s="32">
        <v>291945.6620454957</v>
      </c>
      <c r="AB146" s="32">
        <v>291945.6620454957</v>
      </c>
      <c r="AC146" s="32">
        <v>291945.6620454957</v>
      </c>
      <c r="AD146" s="32">
        <v>291945.6620454957</v>
      </c>
      <c r="AE146" s="32">
        <v>291945.6620454957</v>
      </c>
      <c r="AF146" s="32">
        <v>291945.6620454957</v>
      </c>
      <c r="AG146"/>
      <c r="AH146" s="17" t="s">
        <v>279</v>
      </c>
    </row>
    <row r="147" spans="2:34" outlineLevel="1" x14ac:dyDescent="0.25">
      <c r="B147" s="31" t="s">
        <v>145</v>
      </c>
      <c r="C147" s="32">
        <v>0</v>
      </c>
      <c r="D147" s="32">
        <v>0</v>
      </c>
      <c r="E147" s="32">
        <v>0</v>
      </c>
      <c r="F147" s="32">
        <v>0</v>
      </c>
      <c r="G147" s="32">
        <v>0</v>
      </c>
      <c r="H147" s="32">
        <v>0</v>
      </c>
      <c r="I147" s="32">
        <v>0</v>
      </c>
      <c r="J147" s="32">
        <v>0</v>
      </c>
      <c r="K147" s="32">
        <v>0</v>
      </c>
      <c r="L147" s="32">
        <v>0</v>
      </c>
      <c r="M147" s="32">
        <v>59993.815274886685</v>
      </c>
      <c r="N147" s="32">
        <v>59993.815274886685</v>
      </c>
      <c r="O147" s="32">
        <v>59993.815274886685</v>
      </c>
      <c r="P147" s="32">
        <v>59803.901914851333</v>
      </c>
      <c r="Q147" s="32">
        <v>87287.517599226805</v>
      </c>
      <c r="R147" s="32">
        <v>86872.013217632499</v>
      </c>
      <c r="S147" s="32">
        <v>86872.013217632499</v>
      </c>
      <c r="T147" s="32">
        <v>85195.012122318236</v>
      </c>
      <c r="U147" s="32">
        <v>85195.012122318236</v>
      </c>
      <c r="V147" s="32">
        <v>85195.012122318236</v>
      </c>
      <c r="W147" s="32">
        <v>85195.012122318236</v>
      </c>
      <c r="X147" s="32">
        <v>85195.012122318236</v>
      </c>
      <c r="Y147" s="32">
        <v>85195.012122318236</v>
      </c>
      <c r="Z147" s="32">
        <v>85195.012122318236</v>
      </c>
      <c r="AA147" s="32">
        <v>85195.012122318236</v>
      </c>
      <c r="AB147" s="32">
        <v>83077.009532805183</v>
      </c>
      <c r="AC147" s="32">
        <v>83077.009532805183</v>
      </c>
      <c r="AD147" s="32">
        <v>83077.009532805183</v>
      </c>
      <c r="AE147" s="32">
        <v>83077.009532805183</v>
      </c>
      <c r="AF147" s="32">
        <v>83077.009532805183</v>
      </c>
      <c r="AG147"/>
      <c r="AH147" s="17" t="s">
        <v>279</v>
      </c>
    </row>
    <row r="148" spans="2:34" outlineLevel="1" x14ac:dyDescent="0.25">
      <c r="B148" s="31" t="s">
        <v>244</v>
      </c>
      <c r="C148" s="32">
        <v>0</v>
      </c>
      <c r="D148" s="32">
        <v>0</v>
      </c>
      <c r="E148" s="32">
        <v>0</v>
      </c>
      <c r="F148" s="32">
        <v>0</v>
      </c>
      <c r="G148" s="32">
        <v>0</v>
      </c>
      <c r="H148" s="32">
        <v>76610.496577850339</v>
      </c>
      <c r="I148" s="32">
        <v>76610.496577850339</v>
      </c>
      <c r="J148" s="32">
        <v>69797.309779475749</v>
      </c>
      <c r="K148" s="32">
        <v>69797.309779475749</v>
      </c>
      <c r="L148" s="32">
        <v>69797.309779475749</v>
      </c>
      <c r="M148" s="32">
        <v>128407.20906134494</v>
      </c>
      <c r="N148" s="32">
        <v>123348.12789020545</v>
      </c>
      <c r="O148" s="32">
        <v>123348.12789020545</v>
      </c>
      <c r="P148" s="32">
        <v>122177.33848223498</v>
      </c>
      <c r="Q148" s="32">
        <v>225094.6559789071</v>
      </c>
      <c r="R148" s="32">
        <v>231209.69947117515</v>
      </c>
      <c r="S148" s="32">
        <v>231209.69947117515</v>
      </c>
      <c r="T148" s="32">
        <v>231209.69947117515</v>
      </c>
      <c r="U148" s="32">
        <v>231209.69947117515</v>
      </c>
      <c r="V148" s="32">
        <v>229096.82281032932</v>
      </c>
      <c r="W148" s="32">
        <v>229096.82281032932</v>
      </c>
      <c r="X148" s="32">
        <v>229096.82281032932</v>
      </c>
      <c r="Y148" s="32">
        <v>229096.82281032932</v>
      </c>
      <c r="Z148" s="32">
        <v>229096.82281032932</v>
      </c>
      <c r="AA148" s="32">
        <v>229096.82281032932</v>
      </c>
      <c r="AB148" s="32">
        <v>229096.82281032932</v>
      </c>
      <c r="AC148" s="32">
        <v>229096.82281032932</v>
      </c>
      <c r="AD148" s="32">
        <v>229096.82281032932</v>
      </c>
      <c r="AE148" s="32">
        <v>229096.82281032932</v>
      </c>
      <c r="AF148" s="32">
        <v>229096.82281032932</v>
      </c>
      <c r="AG148"/>
      <c r="AH148" s="17" t="s">
        <v>279</v>
      </c>
    </row>
    <row r="149" spans="2:34" outlineLevel="1" x14ac:dyDescent="0.25">
      <c r="B149" s="31" t="s">
        <v>147</v>
      </c>
      <c r="C149" s="32">
        <v>0</v>
      </c>
      <c r="D149" s="32">
        <v>0</v>
      </c>
      <c r="E149" s="32">
        <v>0</v>
      </c>
      <c r="F149" s="32">
        <v>0</v>
      </c>
      <c r="G149" s="32">
        <v>0</v>
      </c>
      <c r="H149" s="32">
        <v>0</v>
      </c>
      <c r="I149" s="32">
        <v>0</v>
      </c>
      <c r="J149" s="32">
        <v>0</v>
      </c>
      <c r="K149" s="32">
        <v>0</v>
      </c>
      <c r="L149" s="32">
        <v>0</v>
      </c>
      <c r="M149" s="32">
        <v>0</v>
      </c>
      <c r="N149" s="32">
        <v>0</v>
      </c>
      <c r="O149" s="32">
        <v>0</v>
      </c>
      <c r="P149" s="32">
        <v>0</v>
      </c>
      <c r="Q149" s="32">
        <v>0</v>
      </c>
      <c r="R149" s="32">
        <v>0</v>
      </c>
      <c r="S149" s="32">
        <v>0</v>
      </c>
      <c r="T149" s="32">
        <v>0</v>
      </c>
      <c r="U149" s="32">
        <v>0</v>
      </c>
      <c r="V149" s="32">
        <v>0</v>
      </c>
      <c r="W149" s="32">
        <v>0</v>
      </c>
      <c r="X149" s="32">
        <v>0</v>
      </c>
      <c r="Y149" s="32">
        <v>0</v>
      </c>
      <c r="Z149" s="32">
        <v>0</v>
      </c>
      <c r="AA149" s="32">
        <v>0</v>
      </c>
      <c r="AB149" s="32">
        <v>0</v>
      </c>
      <c r="AC149" s="32">
        <v>0</v>
      </c>
      <c r="AD149" s="32">
        <v>0</v>
      </c>
      <c r="AE149" s="32">
        <v>0</v>
      </c>
      <c r="AF149" s="32">
        <v>0</v>
      </c>
      <c r="AG149"/>
      <c r="AH149" s="17" t="s">
        <v>279</v>
      </c>
    </row>
    <row r="150" spans="2:34" outlineLevel="1" x14ac:dyDescent="0.25">
      <c r="B150" s="31" t="s">
        <v>245</v>
      </c>
      <c r="C150" s="32">
        <v>0</v>
      </c>
      <c r="D150" s="32">
        <v>0</v>
      </c>
      <c r="E150" s="32">
        <v>0</v>
      </c>
      <c r="F150" s="32">
        <v>0</v>
      </c>
      <c r="G150" s="32">
        <v>0</v>
      </c>
      <c r="H150" s="32">
        <v>0</v>
      </c>
      <c r="I150" s="32">
        <v>0</v>
      </c>
      <c r="J150" s="32">
        <v>0</v>
      </c>
      <c r="K150" s="32">
        <v>0</v>
      </c>
      <c r="L150" s="32">
        <v>0</v>
      </c>
      <c r="M150" s="32">
        <v>0</v>
      </c>
      <c r="N150" s="32">
        <v>0</v>
      </c>
      <c r="O150" s="32">
        <v>0</v>
      </c>
      <c r="P150" s="32">
        <v>0</v>
      </c>
      <c r="Q150" s="32">
        <v>13436.692112233934</v>
      </c>
      <c r="R150" s="32">
        <v>51778.373813264858</v>
      </c>
      <c r="S150" s="32">
        <v>51778.373813264858</v>
      </c>
      <c r="T150" s="32">
        <v>51778.373813264858</v>
      </c>
      <c r="U150" s="32">
        <v>51778.373813264858</v>
      </c>
      <c r="V150" s="32">
        <v>51778.373813264858</v>
      </c>
      <c r="W150" s="32">
        <v>51778.373813264858</v>
      </c>
      <c r="X150" s="32">
        <v>51778.373813264858</v>
      </c>
      <c r="Y150" s="32">
        <v>51778.373813264858</v>
      </c>
      <c r="Z150" s="32">
        <v>51778.373813264858</v>
      </c>
      <c r="AA150" s="32">
        <v>51778.373813264858</v>
      </c>
      <c r="AB150" s="32">
        <v>51778.373813264858</v>
      </c>
      <c r="AC150" s="32">
        <v>51778.373813264858</v>
      </c>
      <c r="AD150" s="32">
        <v>51778.373813264858</v>
      </c>
      <c r="AE150" s="32">
        <v>51778.373813264858</v>
      </c>
      <c r="AF150" s="32">
        <v>51778.373813264858</v>
      </c>
      <c r="AG150"/>
      <c r="AH150" s="17" t="s">
        <v>279</v>
      </c>
    </row>
    <row r="151" spans="2:34" outlineLevel="1" x14ac:dyDescent="0.25">
      <c r="B151" s="31" t="s">
        <v>149</v>
      </c>
      <c r="C151" s="32">
        <v>66604.971681256866</v>
      </c>
      <c r="D151" s="32">
        <v>66604.971681256866</v>
      </c>
      <c r="E151" s="32">
        <v>66604.971681256866</v>
      </c>
      <c r="F151" s="32">
        <v>59602.739540276838</v>
      </c>
      <c r="G151" s="32">
        <v>59602.739540276838</v>
      </c>
      <c r="H151" s="32">
        <v>253957.47616280112</v>
      </c>
      <c r="I151" s="32">
        <v>253957.47616280112</v>
      </c>
      <c r="J151" s="32">
        <v>244450.4579518215</v>
      </c>
      <c r="K151" s="32">
        <v>244450.4579518215</v>
      </c>
      <c r="L151" s="32">
        <v>244450.4579518215</v>
      </c>
      <c r="M151" s="32">
        <v>363054.17250857735</v>
      </c>
      <c r="N151" s="32">
        <v>357995.09133743786</v>
      </c>
      <c r="O151" s="32">
        <v>357995.09133743786</v>
      </c>
      <c r="P151" s="32">
        <v>356634.38856943208</v>
      </c>
      <c r="Q151" s="32">
        <v>617764.52773586358</v>
      </c>
      <c r="R151" s="32">
        <v>661805.74854756822</v>
      </c>
      <c r="S151" s="32">
        <v>661805.74854756822</v>
      </c>
      <c r="T151" s="32">
        <v>660128.74745225406</v>
      </c>
      <c r="U151" s="32">
        <v>660128.74745225406</v>
      </c>
      <c r="V151" s="32">
        <v>658015.87079140812</v>
      </c>
      <c r="W151" s="32">
        <v>658015.87079140812</v>
      </c>
      <c r="X151" s="32">
        <v>658015.87079140812</v>
      </c>
      <c r="Y151" s="32">
        <v>658015.87079140812</v>
      </c>
      <c r="Z151" s="32">
        <v>658015.87079140812</v>
      </c>
      <c r="AA151" s="32">
        <v>658015.87079140812</v>
      </c>
      <c r="AB151" s="32">
        <v>655897.86820189503</v>
      </c>
      <c r="AC151" s="32">
        <v>655897.86820189503</v>
      </c>
      <c r="AD151" s="32">
        <v>655897.86820189503</v>
      </c>
      <c r="AE151" s="32">
        <v>655897.86820189503</v>
      </c>
      <c r="AF151" s="32">
        <v>655897.86820189503</v>
      </c>
      <c r="AG151"/>
      <c r="AH151" s="17" t="s">
        <v>279</v>
      </c>
    </row>
    <row r="152" spans="2:34" outlineLevel="1" x14ac:dyDescent="0.25">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row>
    <row r="153" spans="2:34" outlineLevel="1" x14ac:dyDescent="0.25">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row>
    <row r="154" spans="2:34" ht="17.25" outlineLevel="1" thickBot="1" x14ac:dyDescent="0.3">
      <c r="B154" s="26" t="s">
        <v>283</v>
      </c>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row>
    <row r="155" spans="2:34" ht="16.5" outlineLevel="1" thickTop="1" thickBot="1" x14ac:dyDescent="0.3">
      <c r="B155" s="28" t="s">
        <v>278</v>
      </c>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0"/>
      <c r="AH155" s="20" t="s">
        <v>15</v>
      </c>
    </row>
    <row r="156" spans="2:34" customFormat="1" outlineLevel="1" x14ac:dyDescent="0.25">
      <c r="B156" s="30"/>
      <c r="C156" s="17">
        <v>2025</v>
      </c>
      <c r="D156" s="44">
        <v>2026</v>
      </c>
      <c r="E156" s="44">
        <v>2027</v>
      </c>
      <c r="F156" s="44">
        <v>2028</v>
      </c>
      <c r="G156" s="44">
        <v>2029</v>
      </c>
      <c r="H156" s="44">
        <v>2030</v>
      </c>
      <c r="I156" s="44">
        <v>2031</v>
      </c>
      <c r="J156" s="44">
        <v>2032</v>
      </c>
      <c r="K156" s="44">
        <v>2033</v>
      </c>
      <c r="L156" s="44">
        <v>2034</v>
      </c>
      <c r="M156" s="44">
        <v>2035</v>
      </c>
      <c r="N156" s="44">
        <v>2036</v>
      </c>
      <c r="O156" s="44">
        <v>2037</v>
      </c>
      <c r="P156" s="44">
        <v>2038</v>
      </c>
      <c r="Q156" s="44">
        <v>2039</v>
      </c>
      <c r="R156" s="44">
        <v>2040</v>
      </c>
      <c r="S156" s="44">
        <v>2041</v>
      </c>
      <c r="T156" s="44">
        <v>2042</v>
      </c>
      <c r="U156" s="44">
        <v>2043</v>
      </c>
      <c r="V156" s="44">
        <v>2044</v>
      </c>
      <c r="W156" s="44">
        <v>2045</v>
      </c>
      <c r="X156" s="44">
        <v>2046</v>
      </c>
      <c r="Y156" s="44">
        <v>2047</v>
      </c>
      <c r="Z156" s="44">
        <v>2048</v>
      </c>
      <c r="AA156" s="44">
        <v>2049</v>
      </c>
      <c r="AB156" s="44">
        <v>2050</v>
      </c>
      <c r="AC156" s="44">
        <v>2051</v>
      </c>
      <c r="AD156" s="44">
        <v>2052</v>
      </c>
      <c r="AE156" s="44">
        <v>2053</v>
      </c>
      <c r="AF156" s="44">
        <v>2054</v>
      </c>
      <c r="AH156" s="1"/>
    </row>
    <row r="157" spans="2:34" outlineLevel="1" x14ac:dyDescent="0.25">
      <c r="B157" s="31" t="s">
        <v>144</v>
      </c>
      <c r="C157" s="32">
        <v>5955361.6783548798</v>
      </c>
      <c r="D157" s="32">
        <v>5955361.6783548798</v>
      </c>
      <c r="E157" s="32">
        <v>5955361.6783548798</v>
      </c>
      <c r="F157" s="32">
        <v>5650188.717437136</v>
      </c>
      <c r="G157" s="32">
        <v>5650188.717437136</v>
      </c>
      <c r="H157" s="32">
        <v>2894303.6799999997</v>
      </c>
      <c r="I157" s="32">
        <v>2894303.6799999997</v>
      </c>
      <c r="J157" s="32">
        <v>2562022.0799999996</v>
      </c>
      <c r="K157" s="32">
        <v>2562022.0799999996</v>
      </c>
      <c r="L157" s="32">
        <v>2562022.0799999996</v>
      </c>
      <c r="M157" s="32">
        <v>2562022.0799999996</v>
      </c>
      <c r="N157" s="32">
        <v>2562022.0799999996</v>
      </c>
      <c r="O157" s="32">
        <v>2562022.0799999996</v>
      </c>
      <c r="P157" s="32">
        <v>2562022.0799999996</v>
      </c>
      <c r="Q157" s="32">
        <v>0</v>
      </c>
      <c r="R157" s="32">
        <v>0</v>
      </c>
      <c r="S157" s="32">
        <v>0</v>
      </c>
      <c r="T157" s="32">
        <v>0</v>
      </c>
      <c r="U157" s="32">
        <v>0</v>
      </c>
      <c r="V157" s="32">
        <v>0</v>
      </c>
      <c r="W157" s="32">
        <v>0</v>
      </c>
      <c r="X157" s="32">
        <v>0</v>
      </c>
      <c r="Y157" s="32">
        <v>0</v>
      </c>
      <c r="Z157" s="32">
        <v>0</v>
      </c>
      <c r="AA157" s="32">
        <v>0</v>
      </c>
      <c r="AB157" s="32">
        <v>0</v>
      </c>
      <c r="AC157" s="32">
        <v>0</v>
      </c>
      <c r="AD157" s="32">
        <v>0</v>
      </c>
      <c r="AE157" s="32">
        <v>0</v>
      </c>
      <c r="AF157" s="32">
        <v>0</v>
      </c>
      <c r="AG157"/>
      <c r="AH157" s="17" t="s">
        <v>279</v>
      </c>
    </row>
    <row r="158" spans="2:34" outlineLevel="1" x14ac:dyDescent="0.25">
      <c r="B158" s="31" t="s">
        <v>145</v>
      </c>
      <c r="C158" s="32">
        <v>3544817.3883669907</v>
      </c>
      <c r="D158" s="32">
        <v>7148037.0083669899</v>
      </c>
      <c r="E158" s="32">
        <v>7148037.0083669899</v>
      </c>
      <c r="F158" s="32">
        <v>7148037.0083669899</v>
      </c>
      <c r="G158" s="32">
        <v>7148037.0083669899</v>
      </c>
      <c r="H158" s="32">
        <v>7234294.6083669895</v>
      </c>
      <c r="I158" s="32">
        <v>7234294.6083669895</v>
      </c>
      <c r="J158" s="32">
        <v>7234294.6083669895</v>
      </c>
      <c r="K158" s="32">
        <v>7234294.6083669895</v>
      </c>
      <c r="L158" s="32">
        <v>7082106.2166567408</v>
      </c>
      <c r="M158" s="32">
        <v>3093628.5364103382</v>
      </c>
      <c r="N158" s="32">
        <v>3093628.5364103382</v>
      </c>
      <c r="O158" s="32">
        <v>3093628.5364103382</v>
      </c>
      <c r="P158" s="32">
        <v>3093628.5364103382</v>
      </c>
      <c r="Q158" s="32">
        <v>0</v>
      </c>
      <c r="R158" s="32">
        <v>0</v>
      </c>
      <c r="S158" s="32">
        <v>0</v>
      </c>
      <c r="T158" s="32">
        <v>0</v>
      </c>
      <c r="U158" s="32">
        <v>0</v>
      </c>
      <c r="V158" s="32">
        <v>0</v>
      </c>
      <c r="W158" s="32">
        <v>0</v>
      </c>
      <c r="X158" s="32">
        <v>0</v>
      </c>
      <c r="Y158" s="32">
        <v>0</v>
      </c>
      <c r="Z158" s="32">
        <v>0</v>
      </c>
      <c r="AA158" s="32">
        <v>0</v>
      </c>
      <c r="AB158" s="32">
        <v>0</v>
      </c>
      <c r="AC158" s="32">
        <v>0</v>
      </c>
      <c r="AD158" s="32">
        <v>0</v>
      </c>
      <c r="AE158" s="32">
        <v>0</v>
      </c>
      <c r="AF158" s="32">
        <v>0</v>
      </c>
      <c r="AG158"/>
      <c r="AH158" s="17" t="s">
        <v>279</v>
      </c>
    </row>
    <row r="159" spans="2:34" outlineLevel="1" x14ac:dyDescent="0.25">
      <c r="B159" s="31" t="s">
        <v>244</v>
      </c>
      <c r="C159" s="32">
        <v>10424562.72955735</v>
      </c>
      <c r="D159" s="32">
        <v>10424562.72955735</v>
      </c>
      <c r="E159" s="32">
        <v>10424562.72955735</v>
      </c>
      <c r="F159" s="32">
        <v>14928448.609557347</v>
      </c>
      <c r="G159" s="32">
        <v>14928448.609557347</v>
      </c>
      <c r="H159" s="32">
        <v>10989101.553480238</v>
      </c>
      <c r="I159" s="32">
        <v>10989101.553480238</v>
      </c>
      <c r="J159" s="32">
        <v>10513209.242070081</v>
      </c>
      <c r="K159" s="32">
        <v>10513209.242070081</v>
      </c>
      <c r="L159" s="32">
        <v>10513209.242070081</v>
      </c>
      <c r="M159" s="32">
        <v>5578510.6349019874</v>
      </c>
      <c r="N159" s="32">
        <v>5445696.5658694422</v>
      </c>
      <c r="O159" s="32">
        <v>5445696.5658694422</v>
      </c>
      <c r="P159" s="32">
        <v>5417057.1077236086</v>
      </c>
      <c r="Q159" s="32">
        <v>0</v>
      </c>
      <c r="R159" s="32">
        <v>0</v>
      </c>
      <c r="S159" s="32">
        <v>0</v>
      </c>
      <c r="T159" s="32">
        <v>0</v>
      </c>
      <c r="U159" s="32">
        <v>0</v>
      </c>
      <c r="V159" s="32">
        <v>0</v>
      </c>
      <c r="W159" s="32">
        <v>0</v>
      </c>
      <c r="X159" s="32">
        <v>0</v>
      </c>
      <c r="Y159" s="32">
        <v>0</v>
      </c>
      <c r="Z159" s="32">
        <v>0</v>
      </c>
      <c r="AA159" s="32">
        <v>0</v>
      </c>
      <c r="AB159" s="32">
        <v>0</v>
      </c>
      <c r="AC159" s="32">
        <v>0</v>
      </c>
      <c r="AD159" s="32">
        <v>0</v>
      </c>
      <c r="AE159" s="32">
        <v>0</v>
      </c>
      <c r="AF159" s="32">
        <v>0</v>
      </c>
      <c r="AG159"/>
      <c r="AH159" s="17" t="s">
        <v>279</v>
      </c>
    </row>
    <row r="160" spans="2:34" outlineLevel="1" x14ac:dyDescent="0.25">
      <c r="B160" s="31" t="s">
        <v>147</v>
      </c>
      <c r="C160" s="32">
        <v>0</v>
      </c>
      <c r="D160" s="32">
        <v>0</v>
      </c>
      <c r="E160" s="32">
        <v>0</v>
      </c>
      <c r="F160" s="32">
        <v>0</v>
      </c>
      <c r="G160" s="32">
        <v>0</v>
      </c>
      <c r="H160" s="32">
        <v>0</v>
      </c>
      <c r="I160" s="32">
        <v>0</v>
      </c>
      <c r="J160" s="32">
        <v>0</v>
      </c>
      <c r="K160" s="32">
        <v>0</v>
      </c>
      <c r="L160" s="32">
        <v>0</v>
      </c>
      <c r="M160" s="32">
        <v>0</v>
      </c>
      <c r="N160" s="32">
        <v>0</v>
      </c>
      <c r="O160" s="32">
        <v>0</v>
      </c>
      <c r="P160" s="32">
        <v>0</v>
      </c>
      <c r="Q160" s="32">
        <v>0</v>
      </c>
      <c r="R160" s="32">
        <v>0</v>
      </c>
      <c r="S160" s="32">
        <v>0</v>
      </c>
      <c r="T160" s="32">
        <v>0</v>
      </c>
      <c r="U160" s="32">
        <v>0</v>
      </c>
      <c r="V160" s="32">
        <v>0</v>
      </c>
      <c r="W160" s="32">
        <v>0</v>
      </c>
      <c r="X160" s="32">
        <v>0</v>
      </c>
      <c r="Y160" s="32">
        <v>0</v>
      </c>
      <c r="Z160" s="32">
        <v>0</v>
      </c>
      <c r="AA160" s="32">
        <v>0</v>
      </c>
      <c r="AB160" s="32">
        <v>0</v>
      </c>
      <c r="AC160" s="32">
        <v>0</v>
      </c>
      <c r="AD160" s="32">
        <v>0</v>
      </c>
      <c r="AE160" s="32">
        <v>0</v>
      </c>
      <c r="AF160" s="32">
        <v>0</v>
      </c>
      <c r="AG160"/>
      <c r="AH160" s="17" t="s">
        <v>279</v>
      </c>
    </row>
    <row r="161" spans="2:34" outlineLevel="1" x14ac:dyDescent="0.25">
      <c r="B161" s="31" t="s">
        <v>245</v>
      </c>
      <c r="C161" s="32">
        <v>1207501.7119999998</v>
      </c>
      <c r="D161" s="32">
        <v>1207501.7119999998</v>
      </c>
      <c r="E161" s="32">
        <v>1207501.7119999998</v>
      </c>
      <c r="F161" s="32">
        <v>1207501.7119999998</v>
      </c>
      <c r="G161" s="32">
        <v>1207501.7119999998</v>
      </c>
      <c r="H161" s="32">
        <v>3455696.2320000003</v>
      </c>
      <c r="I161" s="32">
        <v>3455696.2320000003</v>
      </c>
      <c r="J161" s="32">
        <v>3455696.2320000003</v>
      </c>
      <c r="K161" s="32">
        <v>3455696.2320000003</v>
      </c>
      <c r="L161" s="32">
        <v>3455696.2320000003</v>
      </c>
      <c r="M161" s="32">
        <v>3455696.2320000003</v>
      </c>
      <c r="N161" s="32">
        <v>3395321.1464</v>
      </c>
      <c r="O161" s="32">
        <v>3395321.1464</v>
      </c>
      <c r="P161" s="32">
        <v>3395321.1464</v>
      </c>
      <c r="Q161" s="32">
        <v>0</v>
      </c>
      <c r="R161" s="32">
        <v>0</v>
      </c>
      <c r="S161" s="32">
        <v>0</v>
      </c>
      <c r="T161" s="32">
        <v>0</v>
      </c>
      <c r="U161" s="32">
        <v>0</v>
      </c>
      <c r="V161" s="32">
        <v>0</v>
      </c>
      <c r="W161" s="32">
        <v>0</v>
      </c>
      <c r="X161" s="32">
        <v>0</v>
      </c>
      <c r="Y161" s="32">
        <v>0</v>
      </c>
      <c r="Z161" s="32">
        <v>0</v>
      </c>
      <c r="AA161" s="32">
        <v>0</v>
      </c>
      <c r="AB161" s="32">
        <v>0</v>
      </c>
      <c r="AC161" s="32">
        <v>0</v>
      </c>
      <c r="AD161" s="32">
        <v>0</v>
      </c>
      <c r="AE161" s="32">
        <v>0</v>
      </c>
      <c r="AF161" s="32">
        <v>0</v>
      </c>
      <c r="AG161"/>
      <c r="AH161" s="17" t="s">
        <v>279</v>
      </c>
    </row>
    <row r="162" spans="2:34" outlineLevel="1" x14ac:dyDescent="0.25">
      <c r="B162" s="31" t="s">
        <v>149</v>
      </c>
      <c r="C162" s="32">
        <v>21132243.508279223</v>
      </c>
      <c r="D162" s="32">
        <v>24735463.12827922</v>
      </c>
      <c r="E162" s="32">
        <v>24735463.12827922</v>
      </c>
      <c r="F162" s="32">
        <v>28934176.047361474</v>
      </c>
      <c r="G162" s="32">
        <v>28934176.047361474</v>
      </c>
      <c r="H162" s="32">
        <v>24573396.073847227</v>
      </c>
      <c r="I162" s="32">
        <v>24573396.073847227</v>
      </c>
      <c r="J162" s="32">
        <v>23765222.16243707</v>
      </c>
      <c r="K162" s="32">
        <v>23765222.16243707</v>
      </c>
      <c r="L162" s="32">
        <v>23613033.770726822</v>
      </c>
      <c r="M162" s="32">
        <v>14689857.483312326</v>
      </c>
      <c r="N162" s="32">
        <v>14496668.328679781</v>
      </c>
      <c r="O162" s="32">
        <v>14496668.328679781</v>
      </c>
      <c r="P162" s="32">
        <v>14468028.870533947</v>
      </c>
      <c r="Q162" s="32">
        <v>0</v>
      </c>
      <c r="R162" s="32">
        <v>0</v>
      </c>
      <c r="S162" s="32">
        <v>0</v>
      </c>
      <c r="T162" s="32">
        <v>0</v>
      </c>
      <c r="U162" s="32">
        <v>0</v>
      </c>
      <c r="V162" s="32">
        <v>0</v>
      </c>
      <c r="W162" s="32">
        <v>0</v>
      </c>
      <c r="X162" s="32">
        <v>0</v>
      </c>
      <c r="Y162" s="32">
        <v>0</v>
      </c>
      <c r="Z162" s="32">
        <v>0</v>
      </c>
      <c r="AA162" s="32">
        <v>0</v>
      </c>
      <c r="AB162" s="32">
        <v>0</v>
      </c>
      <c r="AC162" s="32">
        <v>0</v>
      </c>
      <c r="AD162" s="32">
        <v>0</v>
      </c>
      <c r="AE162" s="32">
        <v>0</v>
      </c>
      <c r="AF162" s="32">
        <v>0</v>
      </c>
      <c r="AG162"/>
      <c r="AH162" s="17" t="s">
        <v>279</v>
      </c>
    </row>
    <row r="163" spans="2:34" outlineLevel="1" x14ac:dyDescent="0.25">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row>
    <row r="164" spans="2:34" ht="15.75" outlineLevel="1" thickBot="1" x14ac:dyDescent="0.3">
      <c r="B164" s="28" t="s">
        <v>280</v>
      </c>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0"/>
      <c r="AH164" s="20" t="s">
        <v>15</v>
      </c>
    </row>
    <row r="165" spans="2:34" customFormat="1" outlineLevel="1" x14ac:dyDescent="0.25">
      <c r="B165" s="30"/>
      <c r="C165" s="17">
        <v>2025</v>
      </c>
      <c r="D165" s="44">
        <v>2026</v>
      </c>
      <c r="E165" s="44">
        <v>2027</v>
      </c>
      <c r="F165" s="44">
        <v>2028</v>
      </c>
      <c r="G165" s="44">
        <v>2029</v>
      </c>
      <c r="H165" s="44">
        <v>2030</v>
      </c>
      <c r="I165" s="44">
        <v>2031</v>
      </c>
      <c r="J165" s="44">
        <v>2032</v>
      </c>
      <c r="K165" s="44">
        <v>2033</v>
      </c>
      <c r="L165" s="44">
        <v>2034</v>
      </c>
      <c r="M165" s="44">
        <v>2035</v>
      </c>
      <c r="N165" s="44">
        <v>2036</v>
      </c>
      <c r="O165" s="44">
        <v>2037</v>
      </c>
      <c r="P165" s="44">
        <v>2038</v>
      </c>
      <c r="Q165" s="44">
        <v>2039</v>
      </c>
      <c r="R165" s="44">
        <v>2040</v>
      </c>
      <c r="S165" s="44">
        <v>2041</v>
      </c>
      <c r="T165" s="44">
        <v>2042</v>
      </c>
      <c r="U165" s="44">
        <v>2043</v>
      </c>
      <c r="V165" s="44">
        <v>2044</v>
      </c>
      <c r="W165" s="44">
        <v>2045</v>
      </c>
      <c r="X165" s="44">
        <v>2046</v>
      </c>
      <c r="Y165" s="44">
        <v>2047</v>
      </c>
      <c r="Z165" s="44">
        <v>2048</v>
      </c>
      <c r="AA165" s="44">
        <v>2049</v>
      </c>
      <c r="AB165" s="44">
        <v>2050</v>
      </c>
      <c r="AC165" s="44">
        <v>2051</v>
      </c>
      <c r="AD165" s="44">
        <v>2052</v>
      </c>
      <c r="AE165" s="44">
        <v>2053</v>
      </c>
      <c r="AF165" s="44">
        <v>2054</v>
      </c>
      <c r="AH165" s="1"/>
    </row>
    <row r="166" spans="2:34" outlineLevel="1" x14ac:dyDescent="0.25">
      <c r="B166" s="31" t="s">
        <v>144</v>
      </c>
      <c r="C166" s="32">
        <v>2722778.4479999994</v>
      </c>
      <c r="D166" s="32">
        <v>2722778.4479999994</v>
      </c>
      <c r="E166" s="32">
        <v>2722778.4479999994</v>
      </c>
      <c r="F166" s="32">
        <v>2587422.6519999998</v>
      </c>
      <c r="G166" s="32">
        <v>2587422.6519999998</v>
      </c>
      <c r="H166" s="32">
        <v>6118430.609437136</v>
      </c>
      <c r="I166" s="32">
        <v>6118430.609437136</v>
      </c>
      <c r="J166" s="32">
        <v>5990595.6162371365</v>
      </c>
      <c r="K166" s="32">
        <v>5990595.6162371365</v>
      </c>
      <c r="L166" s="32">
        <v>6618617.2962371362</v>
      </c>
      <c r="M166" s="32">
        <v>6618617.2962371362</v>
      </c>
      <c r="N166" s="32">
        <v>6618617.2962371362</v>
      </c>
      <c r="O166" s="32">
        <v>6618617.2962371362</v>
      </c>
      <c r="P166" s="32">
        <v>6618617.2962371362</v>
      </c>
      <c r="Q166" s="32">
        <v>9180639.3762371354</v>
      </c>
      <c r="R166" s="32">
        <v>9180639.3762371354</v>
      </c>
      <c r="S166" s="32">
        <v>9180639.3762371354</v>
      </c>
      <c r="T166" s="32">
        <v>9180639.3762371354</v>
      </c>
      <c r="U166" s="32">
        <v>9180639.3762371354</v>
      </c>
      <c r="V166" s="32">
        <v>9180639.3762371354</v>
      </c>
      <c r="W166" s="32">
        <v>9180639.3762371354</v>
      </c>
      <c r="X166" s="32">
        <v>9180639.3762371354</v>
      </c>
      <c r="Y166" s="32">
        <v>9180639.3762371354</v>
      </c>
      <c r="Z166" s="32">
        <v>9180639.3762371354</v>
      </c>
      <c r="AA166" s="32">
        <v>9180639.3762371354</v>
      </c>
      <c r="AB166" s="32">
        <v>9180639.3762371354</v>
      </c>
      <c r="AC166" s="32">
        <v>9180639.3762371354</v>
      </c>
      <c r="AD166" s="32">
        <v>9180639.3762371354</v>
      </c>
      <c r="AE166" s="32">
        <v>9180639.3762371354</v>
      </c>
      <c r="AF166" s="32">
        <v>9180639.3762371354</v>
      </c>
      <c r="AG166"/>
      <c r="AH166" s="17" t="s">
        <v>279</v>
      </c>
    </row>
    <row r="167" spans="2:34" outlineLevel="1" x14ac:dyDescent="0.25">
      <c r="B167" s="31" t="s">
        <v>145</v>
      </c>
      <c r="C167" s="32">
        <v>0</v>
      </c>
      <c r="D167" s="32">
        <v>0</v>
      </c>
      <c r="E167" s="32">
        <v>0</v>
      </c>
      <c r="F167" s="32">
        <v>0</v>
      </c>
      <c r="G167" s="32">
        <v>0</v>
      </c>
      <c r="H167" s="32">
        <v>0</v>
      </c>
      <c r="I167" s="32">
        <v>0</v>
      </c>
      <c r="J167" s="32">
        <v>0</v>
      </c>
      <c r="K167" s="32">
        <v>0</v>
      </c>
      <c r="L167" s="32">
        <v>0</v>
      </c>
      <c r="M167" s="32">
        <v>3988477.6802464039</v>
      </c>
      <c r="N167" s="32">
        <v>3988477.6802464039</v>
      </c>
      <c r="O167" s="32">
        <v>3988477.6802464039</v>
      </c>
      <c r="P167" s="32">
        <v>3977367.4502464039</v>
      </c>
      <c r="Q167" s="32">
        <v>7070995.9866567403</v>
      </c>
      <c r="R167" s="32">
        <v>7414629.3906567395</v>
      </c>
      <c r="S167" s="32">
        <v>7414629.3906567395</v>
      </c>
      <c r="T167" s="32">
        <v>7414629.3906567395</v>
      </c>
      <c r="U167" s="32">
        <v>7414629.3906567395</v>
      </c>
      <c r="V167" s="32">
        <v>7414629.3906567395</v>
      </c>
      <c r="W167" s="32">
        <v>7414629.3906567395</v>
      </c>
      <c r="X167" s="32">
        <v>7414629.3906567395</v>
      </c>
      <c r="Y167" s="32">
        <v>7414629.3906567395</v>
      </c>
      <c r="Z167" s="32">
        <v>7414629.3906567395</v>
      </c>
      <c r="AA167" s="32">
        <v>7414629.3906567395</v>
      </c>
      <c r="AB167" s="32">
        <v>7275034.2137464946</v>
      </c>
      <c r="AC167" s="32">
        <v>7275034.2137464946</v>
      </c>
      <c r="AD167" s="32">
        <v>7275034.2137464946</v>
      </c>
      <c r="AE167" s="32">
        <v>7275034.2137464946</v>
      </c>
      <c r="AF167" s="32">
        <v>7275034.2137464946</v>
      </c>
      <c r="AG167"/>
      <c r="AH167" s="17" t="s">
        <v>279</v>
      </c>
    </row>
    <row r="168" spans="2:34" outlineLevel="1" x14ac:dyDescent="0.25">
      <c r="B168" s="31" t="s">
        <v>244</v>
      </c>
      <c r="C168" s="32">
        <v>0</v>
      </c>
      <c r="D168" s="32">
        <v>0</v>
      </c>
      <c r="E168" s="32">
        <v>0</v>
      </c>
      <c r="F168" s="32">
        <v>0</v>
      </c>
      <c r="G168" s="32">
        <v>0</v>
      </c>
      <c r="H168" s="32">
        <v>5014603.7141419491</v>
      </c>
      <c r="I168" s="32">
        <v>5014603.7141419491</v>
      </c>
      <c r="J168" s="32">
        <v>4734745.5423240056</v>
      </c>
      <c r="K168" s="32">
        <v>4734745.5423240056</v>
      </c>
      <c r="L168" s="32">
        <v>4734745.5423240056</v>
      </c>
      <c r="M168" s="32">
        <v>9669444.149492098</v>
      </c>
      <c r="N168" s="32">
        <v>9587920.6716735698</v>
      </c>
      <c r="O168" s="32">
        <v>9587920.6716735698</v>
      </c>
      <c r="P168" s="32">
        <v>9580137.905149078</v>
      </c>
      <c r="Q168" s="32">
        <v>14997195.012872687</v>
      </c>
      <c r="R168" s="32">
        <v>15766985.012872687</v>
      </c>
      <c r="S168" s="32">
        <v>15766985.012872687</v>
      </c>
      <c r="T168" s="32">
        <v>15766985.012872687</v>
      </c>
      <c r="U168" s="32">
        <v>15766985.012872687</v>
      </c>
      <c r="V168" s="32">
        <v>15661982.603749251</v>
      </c>
      <c r="W168" s="32">
        <v>15661982.603749251</v>
      </c>
      <c r="X168" s="32">
        <v>15661982.603749251</v>
      </c>
      <c r="Y168" s="32">
        <v>15661982.603749251</v>
      </c>
      <c r="Z168" s="32">
        <v>15661982.603749251</v>
      </c>
      <c r="AA168" s="32">
        <v>15661982.603749251</v>
      </c>
      <c r="AB168" s="32">
        <v>15661982.603749251</v>
      </c>
      <c r="AC168" s="32">
        <v>15661982.603749251</v>
      </c>
      <c r="AD168" s="32">
        <v>15661982.603749251</v>
      </c>
      <c r="AE168" s="32">
        <v>15661982.603749251</v>
      </c>
      <c r="AF168" s="32">
        <v>15661982.603749251</v>
      </c>
      <c r="AG168"/>
      <c r="AH168" s="17" t="s">
        <v>279</v>
      </c>
    </row>
    <row r="169" spans="2:34" outlineLevel="1" x14ac:dyDescent="0.25">
      <c r="B169" s="31" t="s">
        <v>147</v>
      </c>
      <c r="C169" s="32">
        <v>0</v>
      </c>
      <c r="D169" s="32">
        <v>0</v>
      </c>
      <c r="E169" s="32">
        <v>0</v>
      </c>
      <c r="F169" s="32">
        <v>0</v>
      </c>
      <c r="G169" s="32">
        <v>0</v>
      </c>
      <c r="H169" s="32">
        <v>0</v>
      </c>
      <c r="I169" s="32">
        <v>0</v>
      </c>
      <c r="J169" s="32">
        <v>0</v>
      </c>
      <c r="K169" s="32">
        <v>0</v>
      </c>
      <c r="L169" s="32">
        <v>0</v>
      </c>
      <c r="M169" s="32">
        <v>0</v>
      </c>
      <c r="N169" s="32">
        <v>0</v>
      </c>
      <c r="O169" s="32">
        <v>0</v>
      </c>
      <c r="P169" s="32">
        <v>0</v>
      </c>
      <c r="Q169" s="32">
        <v>0</v>
      </c>
      <c r="R169" s="32">
        <v>0</v>
      </c>
      <c r="S169" s="32">
        <v>0</v>
      </c>
      <c r="T169" s="32">
        <v>0</v>
      </c>
      <c r="U169" s="32">
        <v>0</v>
      </c>
      <c r="V169" s="32">
        <v>0</v>
      </c>
      <c r="W169" s="32">
        <v>0</v>
      </c>
      <c r="X169" s="32">
        <v>0</v>
      </c>
      <c r="Y169" s="32">
        <v>0</v>
      </c>
      <c r="Z169" s="32">
        <v>0</v>
      </c>
      <c r="AA169" s="32">
        <v>0</v>
      </c>
      <c r="AB169" s="32">
        <v>0</v>
      </c>
      <c r="AC169" s="32">
        <v>0</v>
      </c>
      <c r="AD169" s="32">
        <v>0</v>
      </c>
      <c r="AE169" s="32">
        <v>0</v>
      </c>
      <c r="AF169" s="32">
        <v>0</v>
      </c>
      <c r="AG169"/>
      <c r="AH169" s="17" t="s">
        <v>279</v>
      </c>
    </row>
    <row r="170" spans="2:34" outlineLevel="1" x14ac:dyDescent="0.25">
      <c r="B170" s="31" t="s">
        <v>245</v>
      </c>
      <c r="C170" s="32">
        <v>0</v>
      </c>
      <c r="D170" s="32">
        <v>0</v>
      </c>
      <c r="E170" s="32">
        <v>0</v>
      </c>
      <c r="F170" s="32">
        <v>0</v>
      </c>
      <c r="G170" s="32">
        <v>0</v>
      </c>
      <c r="H170" s="32">
        <v>0</v>
      </c>
      <c r="I170" s="32">
        <v>0</v>
      </c>
      <c r="J170" s="32">
        <v>0</v>
      </c>
      <c r="K170" s="32">
        <v>0</v>
      </c>
      <c r="L170" s="32">
        <v>0</v>
      </c>
      <c r="M170" s="32">
        <v>0</v>
      </c>
      <c r="N170" s="32">
        <v>0</v>
      </c>
      <c r="O170" s="32">
        <v>0</v>
      </c>
      <c r="P170" s="32">
        <v>0</v>
      </c>
      <c r="Q170" s="32">
        <v>3395321.1464</v>
      </c>
      <c r="R170" s="32">
        <v>8011631.8983999994</v>
      </c>
      <c r="S170" s="32">
        <v>8011631.8983999994</v>
      </c>
      <c r="T170" s="32">
        <v>8011631.8983999994</v>
      </c>
      <c r="U170" s="32">
        <v>8011631.8983999994</v>
      </c>
      <c r="V170" s="32">
        <v>8011631.8983999994</v>
      </c>
      <c r="W170" s="32">
        <v>8011631.8983999994</v>
      </c>
      <c r="X170" s="32">
        <v>8011631.8983999994</v>
      </c>
      <c r="Y170" s="32">
        <v>8011631.8983999994</v>
      </c>
      <c r="Z170" s="32">
        <v>8011631.8983999994</v>
      </c>
      <c r="AA170" s="32">
        <v>8011631.8983999994</v>
      </c>
      <c r="AB170" s="32">
        <v>8011631.8983999994</v>
      </c>
      <c r="AC170" s="32">
        <v>8011631.8983999994</v>
      </c>
      <c r="AD170" s="32">
        <v>8011631.8983999994</v>
      </c>
      <c r="AE170" s="32">
        <v>8011631.8983999994</v>
      </c>
      <c r="AF170" s="32">
        <v>8011631.8983999994</v>
      </c>
      <c r="AG170"/>
      <c r="AH170" s="17" t="s">
        <v>279</v>
      </c>
    </row>
    <row r="171" spans="2:34" outlineLevel="1" x14ac:dyDescent="0.25">
      <c r="B171" s="31" t="s">
        <v>149</v>
      </c>
      <c r="C171" s="32">
        <v>2722778.4479999994</v>
      </c>
      <c r="D171" s="32">
        <v>2722778.4479999994</v>
      </c>
      <c r="E171" s="32">
        <v>2722778.4479999994</v>
      </c>
      <c r="F171" s="32">
        <v>2587422.6519999998</v>
      </c>
      <c r="G171" s="32">
        <v>2587422.6519999998</v>
      </c>
      <c r="H171" s="32">
        <v>11133034.323579084</v>
      </c>
      <c r="I171" s="32">
        <v>11133034.323579084</v>
      </c>
      <c r="J171" s="32">
        <v>10725341.158561142</v>
      </c>
      <c r="K171" s="32">
        <v>10725341.158561142</v>
      </c>
      <c r="L171" s="32">
        <v>11353362.838561142</v>
      </c>
      <c r="M171" s="32">
        <v>20276539.125975639</v>
      </c>
      <c r="N171" s="32">
        <v>20195015.648157112</v>
      </c>
      <c r="O171" s="32">
        <v>20195015.648157112</v>
      </c>
      <c r="P171" s="32">
        <v>20176122.651632618</v>
      </c>
      <c r="Q171" s="32">
        <v>34644151.522166558</v>
      </c>
      <c r="R171" s="32">
        <v>40373885.678166561</v>
      </c>
      <c r="S171" s="32">
        <v>40373885.678166561</v>
      </c>
      <c r="T171" s="32">
        <v>40373885.678166561</v>
      </c>
      <c r="U171" s="32">
        <v>40373885.678166561</v>
      </c>
      <c r="V171" s="32">
        <v>40268883.269043125</v>
      </c>
      <c r="W171" s="32">
        <v>40268883.269043125</v>
      </c>
      <c r="X171" s="32">
        <v>40268883.269043125</v>
      </c>
      <c r="Y171" s="32">
        <v>40268883.269043125</v>
      </c>
      <c r="Z171" s="32">
        <v>40268883.269043125</v>
      </c>
      <c r="AA171" s="32">
        <v>40268883.269043125</v>
      </c>
      <c r="AB171" s="32">
        <v>40129288.092132881</v>
      </c>
      <c r="AC171" s="32">
        <v>40129288.092132881</v>
      </c>
      <c r="AD171" s="32">
        <v>40129288.092132881</v>
      </c>
      <c r="AE171" s="32">
        <v>40129288.092132881</v>
      </c>
      <c r="AF171" s="32">
        <v>40129288.092132881</v>
      </c>
      <c r="AG171"/>
      <c r="AH171" s="17" t="s">
        <v>279</v>
      </c>
    </row>
    <row r="172" spans="2:34" outlineLevel="1" x14ac:dyDescent="0.25"/>
    <row r="173" spans="2:34" outlineLevel="1" x14ac:dyDescent="0.25"/>
    <row r="175" spans="2:34" ht="20.25" thickBot="1" x14ac:dyDescent="0.35">
      <c r="B175" s="18" t="s">
        <v>285</v>
      </c>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row>
    <row r="176" spans="2:34" ht="18" hidden="1" outlineLevel="1" thickTop="1" thickBot="1" x14ac:dyDescent="0.3">
      <c r="B176" s="26" t="s">
        <v>277</v>
      </c>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19"/>
      <c r="AH176" s="19"/>
    </row>
    <row r="177" spans="2:35" ht="16.5" hidden="1" outlineLevel="1" thickTop="1" thickBot="1" x14ac:dyDescent="0.3">
      <c r="B177" s="28" t="s">
        <v>278</v>
      </c>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0"/>
      <c r="AH177" s="20" t="s">
        <v>15</v>
      </c>
    </row>
    <row r="178" spans="2:35" customFormat="1" hidden="1" outlineLevel="1" x14ac:dyDescent="0.25">
      <c r="B178" s="30"/>
      <c r="C178" s="17">
        <v>2025</v>
      </c>
      <c r="D178" s="44">
        <v>2026</v>
      </c>
      <c r="E178" s="44">
        <v>2027</v>
      </c>
      <c r="F178" s="44">
        <v>2028</v>
      </c>
      <c r="G178" s="44">
        <v>2029</v>
      </c>
      <c r="H178" s="44">
        <v>2030</v>
      </c>
      <c r="I178" s="44">
        <v>2031</v>
      </c>
      <c r="J178" s="44">
        <v>2032</v>
      </c>
      <c r="K178" s="44">
        <v>2033</v>
      </c>
      <c r="L178" s="44">
        <v>2034</v>
      </c>
      <c r="M178" s="44">
        <v>2035</v>
      </c>
      <c r="N178" s="44">
        <v>2036</v>
      </c>
      <c r="O178" s="44">
        <v>2037</v>
      </c>
      <c r="P178" s="44">
        <v>2038</v>
      </c>
      <c r="Q178" s="44">
        <v>2039</v>
      </c>
      <c r="R178" s="44">
        <v>2040</v>
      </c>
      <c r="S178" s="44">
        <v>2041</v>
      </c>
      <c r="T178" s="44">
        <v>2042</v>
      </c>
      <c r="U178" s="44">
        <v>2043</v>
      </c>
      <c r="V178" s="44">
        <v>2044</v>
      </c>
      <c r="W178" s="44">
        <v>2045</v>
      </c>
      <c r="X178" s="44">
        <v>2046</v>
      </c>
      <c r="Y178" s="44">
        <v>2047</v>
      </c>
      <c r="Z178" s="44">
        <v>2048</v>
      </c>
      <c r="AA178" s="44">
        <v>2049</v>
      </c>
      <c r="AB178" s="44">
        <v>2050</v>
      </c>
      <c r="AC178" s="44">
        <v>2051</v>
      </c>
      <c r="AD178" s="44">
        <v>2052</v>
      </c>
      <c r="AE178" s="44">
        <v>2053</v>
      </c>
      <c r="AF178" s="44">
        <v>2054</v>
      </c>
    </row>
    <row r="179" spans="2:35" hidden="1" outlineLevel="1" x14ac:dyDescent="0.25">
      <c r="B179" s="31" t="s">
        <v>144</v>
      </c>
      <c r="C179" s="32">
        <v>41100367.759866863</v>
      </c>
      <c r="D179" s="32">
        <v>41100367.759866863</v>
      </c>
      <c r="E179" s="32">
        <v>0</v>
      </c>
      <c r="F179" s="32">
        <v>0</v>
      </c>
      <c r="G179" s="32">
        <v>0</v>
      </c>
      <c r="H179" s="32">
        <v>0</v>
      </c>
      <c r="I179" s="32">
        <v>0</v>
      </c>
      <c r="J179" s="32">
        <v>0</v>
      </c>
      <c r="K179" s="32">
        <v>0</v>
      </c>
      <c r="L179" s="32">
        <v>0</v>
      </c>
      <c r="M179" s="32">
        <v>0</v>
      </c>
      <c r="N179" s="32">
        <v>0</v>
      </c>
      <c r="O179" s="32">
        <v>0</v>
      </c>
      <c r="P179" s="32">
        <v>0</v>
      </c>
      <c r="Q179" s="32">
        <v>0</v>
      </c>
      <c r="R179" s="32">
        <v>0</v>
      </c>
      <c r="S179" s="32">
        <v>0</v>
      </c>
      <c r="T179" s="32">
        <v>0</v>
      </c>
      <c r="U179" s="32">
        <v>0</v>
      </c>
      <c r="V179" s="32">
        <v>0</v>
      </c>
      <c r="W179" s="32">
        <v>0</v>
      </c>
      <c r="X179" s="32">
        <v>0</v>
      </c>
      <c r="Y179" s="32">
        <v>0</v>
      </c>
      <c r="Z179" s="32">
        <v>0</v>
      </c>
      <c r="AA179" s="32">
        <v>0</v>
      </c>
      <c r="AB179" s="32">
        <v>0</v>
      </c>
      <c r="AC179" s="32">
        <v>0</v>
      </c>
      <c r="AD179" s="32">
        <v>0</v>
      </c>
      <c r="AE179" s="32">
        <v>0</v>
      </c>
      <c r="AF179" s="32">
        <v>0</v>
      </c>
      <c r="AG179"/>
      <c r="AH179" s="17" t="s">
        <v>279</v>
      </c>
    </row>
    <row r="180" spans="2:35" hidden="1" outlineLevel="1" x14ac:dyDescent="0.25">
      <c r="B180" s="31" t="s">
        <v>145</v>
      </c>
      <c r="C180" s="32">
        <v>15277743.907373067</v>
      </c>
      <c r="D180" s="32">
        <v>15770486.74488374</v>
      </c>
      <c r="E180" s="32">
        <v>0</v>
      </c>
      <c r="F180" s="32">
        <v>0</v>
      </c>
      <c r="G180" s="32">
        <v>0</v>
      </c>
      <c r="H180" s="32">
        <v>0</v>
      </c>
      <c r="I180" s="32">
        <v>0</v>
      </c>
      <c r="J180" s="32">
        <v>0</v>
      </c>
      <c r="K180" s="32">
        <v>0</v>
      </c>
      <c r="L180" s="32">
        <v>0</v>
      </c>
      <c r="M180" s="32">
        <v>0</v>
      </c>
      <c r="N180" s="32">
        <v>0</v>
      </c>
      <c r="O180" s="32">
        <v>0</v>
      </c>
      <c r="P180" s="32">
        <v>0</v>
      </c>
      <c r="Q180" s="32">
        <v>0</v>
      </c>
      <c r="R180" s="32">
        <v>0</v>
      </c>
      <c r="S180" s="32">
        <v>0</v>
      </c>
      <c r="T180" s="32">
        <v>0</v>
      </c>
      <c r="U180" s="32">
        <v>0</v>
      </c>
      <c r="V180" s="32">
        <v>0</v>
      </c>
      <c r="W180" s="32">
        <v>0</v>
      </c>
      <c r="X180" s="32">
        <v>0</v>
      </c>
      <c r="Y180" s="32">
        <v>0</v>
      </c>
      <c r="Z180" s="32">
        <v>0</v>
      </c>
      <c r="AA180" s="32">
        <v>0</v>
      </c>
      <c r="AB180" s="32">
        <v>0</v>
      </c>
      <c r="AC180" s="32">
        <v>0</v>
      </c>
      <c r="AD180" s="32">
        <v>0</v>
      </c>
      <c r="AE180" s="32">
        <v>0</v>
      </c>
      <c r="AF180" s="32">
        <v>0</v>
      </c>
      <c r="AG180"/>
      <c r="AH180" s="17" t="s">
        <v>279</v>
      </c>
    </row>
    <row r="181" spans="2:35" hidden="1" outlineLevel="1" x14ac:dyDescent="0.25">
      <c r="B181" s="31" t="s">
        <v>244</v>
      </c>
      <c r="C181" s="32">
        <v>74467327.643795222</v>
      </c>
      <c r="D181" s="32">
        <v>74467327.643795222</v>
      </c>
      <c r="E181" s="32">
        <v>0</v>
      </c>
      <c r="F181" s="32">
        <v>0</v>
      </c>
      <c r="G181" s="32">
        <v>0</v>
      </c>
      <c r="H181" s="32">
        <v>0</v>
      </c>
      <c r="I181" s="32">
        <v>0</v>
      </c>
      <c r="J181" s="32">
        <v>0</v>
      </c>
      <c r="K181" s="32">
        <v>0</v>
      </c>
      <c r="L181" s="32">
        <v>0</v>
      </c>
      <c r="M181" s="32">
        <v>0</v>
      </c>
      <c r="N181" s="32">
        <v>0</v>
      </c>
      <c r="O181" s="32">
        <v>0</v>
      </c>
      <c r="P181" s="32">
        <v>0</v>
      </c>
      <c r="Q181" s="32">
        <v>0</v>
      </c>
      <c r="R181" s="32">
        <v>0</v>
      </c>
      <c r="S181" s="32">
        <v>0</v>
      </c>
      <c r="T181" s="32">
        <v>0</v>
      </c>
      <c r="U181" s="32">
        <v>0</v>
      </c>
      <c r="V181" s="32">
        <v>0</v>
      </c>
      <c r="W181" s="32">
        <v>0</v>
      </c>
      <c r="X181" s="32">
        <v>0</v>
      </c>
      <c r="Y181" s="32">
        <v>0</v>
      </c>
      <c r="Z181" s="32">
        <v>0</v>
      </c>
      <c r="AA181" s="32">
        <v>0</v>
      </c>
      <c r="AB181" s="32">
        <v>0</v>
      </c>
      <c r="AC181" s="32">
        <v>0</v>
      </c>
      <c r="AD181" s="32">
        <v>0</v>
      </c>
      <c r="AE181" s="32">
        <v>0</v>
      </c>
      <c r="AF181" s="32">
        <v>0</v>
      </c>
      <c r="AG181"/>
      <c r="AH181" s="17" t="s">
        <v>279</v>
      </c>
    </row>
    <row r="182" spans="2:35" hidden="1" outlineLevel="1" x14ac:dyDescent="0.25">
      <c r="B182" s="31" t="s">
        <v>147</v>
      </c>
      <c r="C182" s="32">
        <v>0</v>
      </c>
      <c r="D182" s="32">
        <v>0</v>
      </c>
      <c r="E182" s="32">
        <v>0</v>
      </c>
      <c r="F182" s="32">
        <v>0</v>
      </c>
      <c r="G182" s="32">
        <v>0</v>
      </c>
      <c r="H182" s="32">
        <v>0</v>
      </c>
      <c r="I182" s="32">
        <v>0</v>
      </c>
      <c r="J182" s="32">
        <v>0</v>
      </c>
      <c r="K182" s="32">
        <v>0</v>
      </c>
      <c r="L182" s="32">
        <v>0</v>
      </c>
      <c r="M182" s="32">
        <v>0</v>
      </c>
      <c r="N182" s="32">
        <v>0</v>
      </c>
      <c r="O182" s="32">
        <v>0</v>
      </c>
      <c r="P182" s="32">
        <v>0</v>
      </c>
      <c r="Q182" s="32">
        <v>0</v>
      </c>
      <c r="R182" s="32">
        <v>0</v>
      </c>
      <c r="S182" s="32">
        <v>0</v>
      </c>
      <c r="T182" s="32">
        <v>0</v>
      </c>
      <c r="U182" s="32">
        <v>0</v>
      </c>
      <c r="V182" s="32">
        <v>0</v>
      </c>
      <c r="W182" s="32">
        <v>0</v>
      </c>
      <c r="X182" s="32">
        <v>0</v>
      </c>
      <c r="Y182" s="32">
        <v>0</v>
      </c>
      <c r="Z182" s="32">
        <v>0</v>
      </c>
      <c r="AA182" s="32">
        <v>0</v>
      </c>
      <c r="AB182" s="32">
        <v>0</v>
      </c>
      <c r="AC182" s="32">
        <v>0</v>
      </c>
      <c r="AD182" s="32">
        <v>0</v>
      </c>
      <c r="AE182" s="32">
        <v>0</v>
      </c>
      <c r="AF182" s="32">
        <v>0</v>
      </c>
      <c r="AG182"/>
      <c r="AH182" s="17" t="s">
        <v>279</v>
      </c>
    </row>
    <row r="183" spans="2:35" hidden="1" outlineLevel="1" x14ac:dyDescent="0.25">
      <c r="B183" s="31" t="s">
        <v>245</v>
      </c>
      <c r="C183" s="32">
        <v>5531260.8599999994</v>
      </c>
      <c r="D183" s="32">
        <v>5531260.8599999994</v>
      </c>
      <c r="E183" s="32">
        <v>0</v>
      </c>
      <c r="F183" s="32">
        <v>0</v>
      </c>
      <c r="G183" s="32">
        <v>0</v>
      </c>
      <c r="H183" s="32">
        <v>0</v>
      </c>
      <c r="I183" s="32">
        <v>0</v>
      </c>
      <c r="J183" s="32">
        <v>0</v>
      </c>
      <c r="K183" s="32">
        <v>0</v>
      </c>
      <c r="L183" s="32">
        <v>0</v>
      </c>
      <c r="M183" s="32">
        <v>0</v>
      </c>
      <c r="N183" s="32">
        <v>0</v>
      </c>
      <c r="O183" s="32">
        <v>0</v>
      </c>
      <c r="P183" s="32">
        <v>0</v>
      </c>
      <c r="Q183" s="32">
        <v>0</v>
      </c>
      <c r="R183" s="32">
        <v>0</v>
      </c>
      <c r="S183" s="32">
        <v>0</v>
      </c>
      <c r="T183" s="32">
        <v>0</v>
      </c>
      <c r="U183" s="32">
        <v>0</v>
      </c>
      <c r="V183" s="32">
        <v>0</v>
      </c>
      <c r="W183" s="32">
        <v>0</v>
      </c>
      <c r="X183" s="32">
        <v>0</v>
      </c>
      <c r="Y183" s="32">
        <v>0</v>
      </c>
      <c r="Z183" s="32">
        <v>0</v>
      </c>
      <c r="AA183" s="32">
        <v>0</v>
      </c>
      <c r="AB183" s="32">
        <v>0</v>
      </c>
      <c r="AC183" s="32">
        <v>0</v>
      </c>
      <c r="AD183" s="32">
        <v>0</v>
      </c>
      <c r="AE183" s="32">
        <v>0</v>
      </c>
      <c r="AF183" s="32">
        <v>0</v>
      </c>
      <c r="AG183"/>
      <c r="AH183" s="17" t="s">
        <v>279</v>
      </c>
    </row>
    <row r="184" spans="2:35" hidden="1" outlineLevel="1" x14ac:dyDescent="0.25">
      <c r="B184" s="31" t="s">
        <v>149</v>
      </c>
      <c r="C184" s="32">
        <v>136376700.17103517</v>
      </c>
      <c r="D184" s="32">
        <v>136869443.00854582</v>
      </c>
      <c r="E184" s="32">
        <v>0</v>
      </c>
      <c r="F184" s="32">
        <v>0</v>
      </c>
      <c r="G184" s="32">
        <v>0</v>
      </c>
      <c r="H184" s="32">
        <v>0</v>
      </c>
      <c r="I184" s="32">
        <v>0</v>
      </c>
      <c r="J184" s="32">
        <v>0</v>
      </c>
      <c r="K184" s="32">
        <v>0</v>
      </c>
      <c r="L184" s="32">
        <v>0</v>
      </c>
      <c r="M184" s="32">
        <v>0</v>
      </c>
      <c r="N184" s="32">
        <v>0</v>
      </c>
      <c r="O184" s="32">
        <v>0</v>
      </c>
      <c r="P184" s="32">
        <v>0</v>
      </c>
      <c r="Q184" s="32">
        <v>0</v>
      </c>
      <c r="R184" s="32">
        <v>0</v>
      </c>
      <c r="S184" s="32">
        <v>0</v>
      </c>
      <c r="T184" s="32">
        <v>0</v>
      </c>
      <c r="U184" s="32">
        <v>0</v>
      </c>
      <c r="V184" s="32">
        <v>0</v>
      </c>
      <c r="W184" s="32">
        <v>0</v>
      </c>
      <c r="X184" s="32">
        <v>0</v>
      </c>
      <c r="Y184" s="32">
        <v>0</v>
      </c>
      <c r="Z184" s="32">
        <v>0</v>
      </c>
      <c r="AA184" s="32">
        <v>0</v>
      </c>
      <c r="AB184" s="32">
        <v>0</v>
      </c>
      <c r="AC184" s="32">
        <v>0</v>
      </c>
      <c r="AD184" s="32">
        <v>0</v>
      </c>
      <c r="AE184" s="32">
        <v>0</v>
      </c>
      <c r="AF184" s="32">
        <v>0</v>
      </c>
      <c r="AG184"/>
      <c r="AH184" s="17" t="s">
        <v>279</v>
      </c>
      <c r="AI184"/>
    </row>
    <row r="185" spans="2:35" hidden="1" outlineLevel="1" x14ac:dyDescent="0.25">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c r="AH185"/>
      <c r="AI185"/>
    </row>
    <row r="186" spans="2:35" customFormat="1" ht="15.75" hidden="1" outlineLevel="1" thickBot="1" x14ac:dyDescent="0.3">
      <c r="B186" s="28" t="s">
        <v>280</v>
      </c>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0"/>
      <c r="AH186" s="20" t="s">
        <v>15</v>
      </c>
    </row>
    <row r="187" spans="2:35" customFormat="1" hidden="1" outlineLevel="1" x14ac:dyDescent="0.25">
      <c r="B187" s="30"/>
      <c r="C187" s="17">
        <v>2025</v>
      </c>
      <c r="D187" s="44">
        <v>2026</v>
      </c>
      <c r="E187" s="44">
        <v>2027</v>
      </c>
      <c r="F187" s="44">
        <v>2028</v>
      </c>
      <c r="G187" s="44">
        <v>2029</v>
      </c>
      <c r="H187" s="44">
        <v>2030</v>
      </c>
      <c r="I187" s="44">
        <v>2031</v>
      </c>
      <c r="J187" s="44">
        <v>2032</v>
      </c>
      <c r="K187" s="44">
        <v>2033</v>
      </c>
      <c r="L187" s="44">
        <v>2034</v>
      </c>
      <c r="M187" s="44">
        <v>2035</v>
      </c>
      <c r="N187" s="44">
        <v>2036</v>
      </c>
      <c r="O187" s="44">
        <v>2037</v>
      </c>
      <c r="P187" s="44">
        <v>2038</v>
      </c>
      <c r="Q187" s="44">
        <v>2039</v>
      </c>
      <c r="R187" s="44">
        <v>2040</v>
      </c>
      <c r="S187" s="44">
        <v>2041</v>
      </c>
      <c r="T187" s="44">
        <v>2042</v>
      </c>
      <c r="U187" s="44">
        <v>2043</v>
      </c>
      <c r="V187" s="44">
        <v>2044</v>
      </c>
      <c r="W187" s="44">
        <v>2045</v>
      </c>
      <c r="X187" s="44">
        <v>2046</v>
      </c>
      <c r="Y187" s="44">
        <v>2047</v>
      </c>
      <c r="Z187" s="44">
        <v>2048</v>
      </c>
      <c r="AA187" s="44">
        <v>2049</v>
      </c>
      <c r="AB187" s="44">
        <v>2050</v>
      </c>
      <c r="AC187" s="44">
        <v>2051</v>
      </c>
      <c r="AD187" s="44">
        <v>2052</v>
      </c>
      <c r="AE187" s="44">
        <v>2053</v>
      </c>
      <c r="AF187" s="44">
        <v>2054</v>
      </c>
    </row>
    <row r="188" spans="2:35" hidden="1" outlineLevel="1" x14ac:dyDescent="0.25">
      <c r="B188" s="31" t="s">
        <v>144</v>
      </c>
      <c r="C188" s="32">
        <v>0</v>
      </c>
      <c r="D188" s="32">
        <v>0</v>
      </c>
      <c r="E188" s="32">
        <v>41100367.759866863</v>
      </c>
      <c r="F188" s="32">
        <v>39612639.320832737</v>
      </c>
      <c r="G188" s="32">
        <v>39612639.320832737</v>
      </c>
      <c r="H188" s="32">
        <v>39763990.663512737</v>
      </c>
      <c r="I188" s="32">
        <v>39763990.663512737</v>
      </c>
      <c r="J188" s="32">
        <v>38704492.561179683</v>
      </c>
      <c r="K188" s="32">
        <v>38704492.561179683</v>
      </c>
      <c r="L188" s="32">
        <v>38772187.839759685</v>
      </c>
      <c r="M188" s="32">
        <v>38772187.839759685</v>
      </c>
      <c r="N188" s="32">
        <v>38772187.839759685</v>
      </c>
      <c r="O188" s="32">
        <v>38772187.839759685</v>
      </c>
      <c r="P188" s="32">
        <v>38772187.839759685</v>
      </c>
      <c r="Q188" s="32">
        <v>38772187.839759685</v>
      </c>
      <c r="R188" s="32">
        <v>38772187.839759685</v>
      </c>
      <c r="S188" s="32">
        <v>38772187.839759685</v>
      </c>
      <c r="T188" s="32">
        <v>38772187.839759685</v>
      </c>
      <c r="U188" s="32">
        <v>38772187.839759685</v>
      </c>
      <c r="V188" s="32">
        <v>38772187.839759685</v>
      </c>
      <c r="W188" s="32">
        <v>38772187.839759685</v>
      </c>
      <c r="X188" s="32">
        <v>38772187.839759685</v>
      </c>
      <c r="Y188" s="32">
        <v>38772187.839759685</v>
      </c>
      <c r="Z188" s="32">
        <v>38772187.839759685</v>
      </c>
      <c r="AA188" s="32">
        <v>38772187.839759685</v>
      </c>
      <c r="AB188" s="32">
        <v>38772187.839759685</v>
      </c>
      <c r="AC188" s="32">
        <v>38772187.839759685</v>
      </c>
      <c r="AD188" s="32">
        <v>38772187.839759685</v>
      </c>
      <c r="AE188" s="32">
        <v>38772187.839759685</v>
      </c>
      <c r="AF188" s="32">
        <v>38772187.839759685</v>
      </c>
      <c r="AG188"/>
      <c r="AH188" s="17" t="s">
        <v>279</v>
      </c>
    </row>
    <row r="189" spans="2:35" hidden="1" outlineLevel="1" x14ac:dyDescent="0.25">
      <c r="B189" s="31" t="s">
        <v>145</v>
      </c>
      <c r="C189" s="32">
        <v>0</v>
      </c>
      <c r="D189" s="32">
        <v>0</v>
      </c>
      <c r="E189" s="32">
        <v>15770486.74488374</v>
      </c>
      <c r="F189" s="32">
        <v>15770486.74488374</v>
      </c>
      <c r="G189" s="32">
        <v>15770486.74488374</v>
      </c>
      <c r="H189" s="32">
        <v>15787184.845623737</v>
      </c>
      <c r="I189" s="32">
        <v>15787184.845623737</v>
      </c>
      <c r="J189" s="32">
        <v>15787184.845623737</v>
      </c>
      <c r="K189" s="32">
        <v>15787184.845623737</v>
      </c>
      <c r="L189" s="32">
        <v>15390568.910004416</v>
      </c>
      <c r="M189" s="32">
        <v>15390568.910004416</v>
      </c>
      <c r="N189" s="32">
        <v>15390568.910004416</v>
      </c>
      <c r="O189" s="32">
        <v>15390568.910004416</v>
      </c>
      <c r="P189" s="32">
        <v>15364645.040004415</v>
      </c>
      <c r="Q189" s="32">
        <v>15364645.040004415</v>
      </c>
      <c r="R189" s="32">
        <v>15384699.734404417</v>
      </c>
      <c r="S189" s="32">
        <v>15384699.734404417</v>
      </c>
      <c r="T189" s="32">
        <v>15384699.734404417</v>
      </c>
      <c r="U189" s="32">
        <v>15384699.734404417</v>
      </c>
      <c r="V189" s="32">
        <v>15384699.734404417</v>
      </c>
      <c r="W189" s="32">
        <v>15384699.734404417</v>
      </c>
      <c r="X189" s="32">
        <v>15384699.734404417</v>
      </c>
      <c r="Y189" s="32">
        <v>15384699.734404417</v>
      </c>
      <c r="Z189" s="32">
        <v>15384699.734404417</v>
      </c>
      <c r="AA189" s="32">
        <v>15384699.734404417</v>
      </c>
      <c r="AB189" s="32">
        <v>14843250.017475424</v>
      </c>
      <c r="AC189" s="32">
        <v>14843250.017475424</v>
      </c>
      <c r="AD189" s="32">
        <v>14843250.017475424</v>
      </c>
      <c r="AE189" s="32">
        <v>14843250.017475424</v>
      </c>
      <c r="AF189" s="32">
        <v>14843250.017475424</v>
      </c>
      <c r="AG189"/>
      <c r="AH189" s="17" t="s">
        <v>279</v>
      </c>
    </row>
    <row r="190" spans="2:35" hidden="1" outlineLevel="1" x14ac:dyDescent="0.25">
      <c r="B190" s="31" t="s">
        <v>244</v>
      </c>
      <c r="C190" s="32">
        <v>0</v>
      </c>
      <c r="D190" s="32">
        <v>0</v>
      </c>
      <c r="E190" s="32">
        <v>74467327.643795222</v>
      </c>
      <c r="F190" s="32">
        <v>87649721.664786637</v>
      </c>
      <c r="G190" s="32">
        <v>87649721.664786637</v>
      </c>
      <c r="H190" s="32">
        <v>88236897.776487172</v>
      </c>
      <c r="I190" s="32">
        <v>88236897.776487172</v>
      </c>
      <c r="J190" s="32">
        <v>80002966.613187522</v>
      </c>
      <c r="K190" s="32">
        <v>80002966.613187522</v>
      </c>
      <c r="L190" s="32">
        <v>80002966.613187522</v>
      </c>
      <c r="M190" s="32">
        <v>80002966.613187522</v>
      </c>
      <c r="N190" s="32">
        <v>79425262.459042355</v>
      </c>
      <c r="O190" s="32">
        <v>79425262.459042355</v>
      </c>
      <c r="P190" s="32">
        <v>79425262.459042355</v>
      </c>
      <c r="Q190" s="32">
        <v>79425262.459042355</v>
      </c>
      <c r="R190" s="32">
        <v>82311974.959042355</v>
      </c>
      <c r="S190" s="32">
        <v>82311974.959042355</v>
      </c>
      <c r="T190" s="32">
        <v>82311974.959042355</v>
      </c>
      <c r="U190" s="32">
        <v>82311974.959042355</v>
      </c>
      <c r="V190" s="32">
        <v>81863454.238701224</v>
      </c>
      <c r="W190" s="32">
        <v>81863454.238701224</v>
      </c>
      <c r="X190" s="32">
        <v>81863454.238701224</v>
      </c>
      <c r="Y190" s="32">
        <v>81863454.238701224</v>
      </c>
      <c r="Z190" s="32">
        <v>81863454.238701224</v>
      </c>
      <c r="AA190" s="32">
        <v>81863454.238701224</v>
      </c>
      <c r="AB190" s="32">
        <v>81863454.238701224</v>
      </c>
      <c r="AC190" s="32">
        <v>81863454.238701224</v>
      </c>
      <c r="AD190" s="32">
        <v>81863454.238701224</v>
      </c>
      <c r="AE190" s="32">
        <v>81863454.238701224</v>
      </c>
      <c r="AF190" s="32">
        <v>81863454.238701224</v>
      </c>
      <c r="AG190"/>
      <c r="AH190" s="17" t="s">
        <v>279</v>
      </c>
    </row>
    <row r="191" spans="2:35" hidden="1" outlineLevel="1" x14ac:dyDescent="0.25">
      <c r="B191" s="31" t="s">
        <v>147</v>
      </c>
      <c r="C191" s="32">
        <v>0</v>
      </c>
      <c r="D191" s="32">
        <v>0</v>
      </c>
      <c r="E191" s="32">
        <v>0</v>
      </c>
      <c r="F191" s="32">
        <v>0</v>
      </c>
      <c r="G191" s="32">
        <v>0</v>
      </c>
      <c r="H191" s="32">
        <v>0</v>
      </c>
      <c r="I191" s="32">
        <v>0</v>
      </c>
      <c r="J191" s="32">
        <v>0</v>
      </c>
      <c r="K191" s="32">
        <v>0</v>
      </c>
      <c r="L191" s="32">
        <v>0</v>
      </c>
      <c r="M191" s="32">
        <v>0</v>
      </c>
      <c r="N191" s="32">
        <v>0</v>
      </c>
      <c r="O191" s="32">
        <v>0</v>
      </c>
      <c r="P191" s="32">
        <v>0</v>
      </c>
      <c r="Q191" s="32">
        <v>0</v>
      </c>
      <c r="R191" s="32">
        <v>0</v>
      </c>
      <c r="S191" s="32">
        <v>0</v>
      </c>
      <c r="T191" s="32">
        <v>0</v>
      </c>
      <c r="U191" s="32">
        <v>0</v>
      </c>
      <c r="V191" s="32">
        <v>0</v>
      </c>
      <c r="W191" s="32">
        <v>0</v>
      </c>
      <c r="X191" s="32">
        <v>0</v>
      </c>
      <c r="Y191" s="32">
        <v>0</v>
      </c>
      <c r="Z191" s="32">
        <v>0</v>
      </c>
      <c r="AA191" s="32">
        <v>0</v>
      </c>
      <c r="AB191" s="32">
        <v>0</v>
      </c>
      <c r="AC191" s="32">
        <v>0</v>
      </c>
      <c r="AD191" s="32">
        <v>0</v>
      </c>
      <c r="AE191" s="32">
        <v>0</v>
      </c>
      <c r="AF191" s="32">
        <v>0</v>
      </c>
      <c r="AG191"/>
      <c r="AH191" s="17" t="s">
        <v>279</v>
      </c>
    </row>
    <row r="192" spans="2:35" hidden="1" outlineLevel="1" x14ac:dyDescent="0.25">
      <c r="B192" s="31" t="s">
        <v>245</v>
      </c>
      <c r="C192" s="32">
        <v>0</v>
      </c>
      <c r="D192" s="32">
        <v>0</v>
      </c>
      <c r="E192" s="32">
        <v>5531260.8599999994</v>
      </c>
      <c r="F192" s="32">
        <v>5531260.8599999994</v>
      </c>
      <c r="G192" s="32">
        <v>5531260.8599999994</v>
      </c>
      <c r="H192" s="32">
        <v>5911722.2974800002</v>
      </c>
      <c r="I192" s="32">
        <v>5911722.2974800002</v>
      </c>
      <c r="J192" s="32">
        <v>5911722.2974800002</v>
      </c>
      <c r="K192" s="32">
        <v>5911722.2974800002</v>
      </c>
      <c r="L192" s="32">
        <v>5911722.2974800002</v>
      </c>
      <c r="M192" s="32">
        <v>5911722.2974800002</v>
      </c>
      <c r="N192" s="32">
        <v>5743970.637480001</v>
      </c>
      <c r="O192" s="32">
        <v>5743970.637480001</v>
      </c>
      <c r="P192" s="32">
        <v>5743970.637480001</v>
      </c>
      <c r="Q192" s="32">
        <v>5743970.637480001</v>
      </c>
      <c r="R192" s="32">
        <v>36060627.457479998</v>
      </c>
      <c r="S192" s="32">
        <v>36060627.457479998</v>
      </c>
      <c r="T192" s="32">
        <v>36060627.457479998</v>
      </c>
      <c r="U192" s="32">
        <v>36060627.457479998</v>
      </c>
      <c r="V192" s="32">
        <v>36060627.457479998</v>
      </c>
      <c r="W192" s="32">
        <v>36060627.457479998</v>
      </c>
      <c r="X192" s="32">
        <v>36060627.457479998</v>
      </c>
      <c r="Y192" s="32">
        <v>36060627.457479998</v>
      </c>
      <c r="Z192" s="32">
        <v>36060627.457479998</v>
      </c>
      <c r="AA192" s="32">
        <v>36060627.457479998</v>
      </c>
      <c r="AB192" s="32">
        <v>36060627.457479998</v>
      </c>
      <c r="AC192" s="32">
        <v>36060627.457479998</v>
      </c>
      <c r="AD192" s="32">
        <v>36060627.457479998</v>
      </c>
      <c r="AE192" s="32">
        <v>36060627.457479998</v>
      </c>
      <c r="AF192" s="32">
        <v>36060627.457479998</v>
      </c>
      <c r="AG192"/>
      <c r="AH192" s="17" t="s">
        <v>279</v>
      </c>
    </row>
    <row r="193" spans="2:34" hidden="1" outlineLevel="1" x14ac:dyDescent="0.25">
      <c r="B193" s="31" t="s">
        <v>149</v>
      </c>
      <c r="C193" s="32">
        <v>0</v>
      </c>
      <c r="D193" s="32">
        <v>0</v>
      </c>
      <c r="E193" s="32">
        <v>136869443.00854582</v>
      </c>
      <c r="F193" s="32">
        <v>148564108.5905031</v>
      </c>
      <c r="G193" s="32">
        <v>148564108.5905031</v>
      </c>
      <c r="H193" s="32">
        <v>149699795.58310363</v>
      </c>
      <c r="I193" s="32">
        <v>149699795.58310363</v>
      </c>
      <c r="J193" s="32">
        <v>140406366.31747094</v>
      </c>
      <c r="K193" s="32">
        <v>140406366.31747094</v>
      </c>
      <c r="L193" s="32">
        <v>140077445.66043162</v>
      </c>
      <c r="M193" s="32">
        <v>140077445.66043162</v>
      </c>
      <c r="N193" s="32">
        <v>139331989.84628645</v>
      </c>
      <c r="O193" s="32">
        <v>139331989.84628645</v>
      </c>
      <c r="P193" s="32">
        <v>139306065.97628644</v>
      </c>
      <c r="Q193" s="32">
        <v>139306065.97628644</v>
      </c>
      <c r="R193" s="32">
        <v>172529489.99068648</v>
      </c>
      <c r="S193" s="32">
        <v>172529489.99068648</v>
      </c>
      <c r="T193" s="32">
        <v>172529489.99068648</v>
      </c>
      <c r="U193" s="32">
        <v>172529489.99068648</v>
      </c>
      <c r="V193" s="32">
        <v>172080969.27034533</v>
      </c>
      <c r="W193" s="32">
        <v>172080969.27034533</v>
      </c>
      <c r="X193" s="32">
        <v>172080969.27034533</v>
      </c>
      <c r="Y193" s="32">
        <v>172080969.27034533</v>
      </c>
      <c r="Z193" s="32">
        <v>172080969.27034533</v>
      </c>
      <c r="AA193" s="32">
        <v>172080969.27034533</v>
      </c>
      <c r="AB193" s="32">
        <v>171539519.55341631</v>
      </c>
      <c r="AC193" s="32">
        <v>171539519.55341631</v>
      </c>
      <c r="AD193" s="32">
        <v>171539519.55341631</v>
      </c>
      <c r="AE193" s="32">
        <v>171539519.55341631</v>
      </c>
      <c r="AF193" s="32">
        <v>171539519.55341631</v>
      </c>
      <c r="AG193"/>
      <c r="AH193" s="17" t="s">
        <v>279</v>
      </c>
    </row>
    <row r="194" spans="2:34" customFormat="1" hidden="1" outlineLevel="1" x14ac:dyDescent="0.25">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row>
    <row r="195" spans="2:34" hidden="1" outlineLevel="1" x14ac:dyDescent="0.25">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c r="AH195"/>
    </row>
    <row r="196" spans="2:34" ht="17.25" hidden="1" outlineLevel="1" thickBot="1" x14ac:dyDescent="0.3">
      <c r="B196" s="26" t="s">
        <v>281</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row>
    <row r="197" spans="2:34" ht="16.5" hidden="1" outlineLevel="1" thickTop="1" thickBot="1" x14ac:dyDescent="0.3">
      <c r="B197" s="28" t="s">
        <v>278</v>
      </c>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0"/>
      <c r="AH197" s="20" t="s">
        <v>15</v>
      </c>
    </row>
    <row r="198" spans="2:34" customFormat="1" hidden="1" outlineLevel="1" x14ac:dyDescent="0.25">
      <c r="B198" s="30"/>
      <c r="C198" s="17">
        <v>2025</v>
      </c>
      <c r="D198" s="44">
        <v>2026</v>
      </c>
      <c r="E198" s="44">
        <v>2027</v>
      </c>
      <c r="F198" s="44">
        <v>2028</v>
      </c>
      <c r="G198" s="44">
        <v>2029</v>
      </c>
      <c r="H198" s="44">
        <v>2030</v>
      </c>
      <c r="I198" s="44">
        <v>2031</v>
      </c>
      <c r="J198" s="44">
        <v>2032</v>
      </c>
      <c r="K198" s="44">
        <v>2033</v>
      </c>
      <c r="L198" s="44">
        <v>2034</v>
      </c>
      <c r="M198" s="44">
        <v>2035</v>
      </c>
      <c r="N198" s="44">
        <v>2036</v>
      </c>
      <c r="O198" s="44">
        <v>2037</v>
      </c>
      <c r="P198" s="44">
        <v>2038</v>
      </c>
      <c r="Q198" s="44">
        <v>2039</v>
      </c>
      <c r="R198" s="44">
        <v>2040</v>
      </c>
      <c r="S198" s="44">
        <v>2041</v>
      </c>
      <c r="T198" s="44">
        <v>2042</v>
      </c>
      <c r="U198" s="44">
        <v>2043</v>
      </c>
      <c r="V198" s="44">
        <v>2044</v>
      </c>
      <c r="W198" s="44">
        <v>2045</v>
      </c>
      <c r="X198" s="44">
        <v>2046</v>
      </c>
      <c r="Y198" s="44">
        <v>2047</v>
      </c>
      <c r="Z198" s="44">
        <v>2048</v>
      </c>
      <c r="AA198" s="44">
        <v>2049</v>
      </c>
      <c r="AB198" s="44">
        <v>2050</v>
      </c>
      <c r="AC198" s="44">
        <v>2051</v>
      </c>
      <c r="AD198" s="44">
        <v>2052</v>
      </c>
      <c r="AE198" s="44">
        <v>2053</v>
      </c>
      <c r="AF198" s="44">
        <v>2054</v>
      </c>
      <c r="AH198" s="17" t="s">
        <v>279</v>
      </c>
    </row>
    <row r="199" spans="2:34" hidden="1" outlineLevel="1" x14ac:dyDescent="0.25">
      <c r="B199" s="31" t="s">
        <v>144</v>
      </c>
      <c r="C199" s="32">
        <v>91218518.516397119</v>
      </c>
      <c r="D199" s="32">
        <v>91218518.516397119</v>
      </c>
      <c r="E199" s="32">
        <v>0</v>
      </c>
      <c r="F199" s="32">
        <v>0</v>
      </c>
      <c r="G199" s="32">
        <v>0</v>
      </c>
      <c r="H199" s="32">
        <v>0</v>
      </c>
      <c r="I199" s="32">
        <v>0</v>
      </c>
      <c r="J199" s="32">
        <v>0</v>
      </c>
      <c r="K199" s="32">
        <v>0</v>
      </c>
      <c r="L199" s="32">
        <v>0</v>
      </c>
      <c r="M199" s="32">
        <v>0</v>
      </c>
      <c r="N199" s="32">
        <v>0</v>
      </c>
      <c r="O199" s="32">
        <v>0</v>
      </c>
      <c r="P199" s="32">
        <v>0</v>
      </c>
      <c r="Q199" s="32">
        <v>0</v>
      </c>
      <c r="R199" s="32">
        <v>0</v>
      </c>
      <c r="S199" s="32">
        <v>0</v>
      </c>
      <c r="T199" s="32">
        <v>0</v>
      </c>
      <c r="U199" s="32">
        <v>0</v>
      </c>
      <c r="V199" s="32">
        <v>0</v>
      </c>
      <c r="W199" s="32">
        <v>0</v>
      </c>
      <c r="X199" s="32">
        <v>0</v>
      </c>
      <c r="Y199" s="32">
        <v>0</v>
      </c>
      <c r="Z199" s="32">
        <v>0</v>
      </c>
      <c r="AA199" s="32">
        <v>0</v>
      </c>
      <c r="AB199" s="32">
        <v>0</v>
      </c>
      <c r="AC199" s="32">
        <v>0</v>
      </c>
      <c r="AD199" s="32">
        <v>0</v>
      </c>
      <c r="AE199" s="32">
        <v>0</v>
      </c>
      <c r="AF199" s="32">
        <v>0</v>
      </c>
      <c r="AG199"/>
      <c r="AH199" s="17" t="s">
        <v>279</v>
      </c>
    </row>
    <row r="200" spans="2:34" hidden="1" outlineLevel="1" x14ac:dyDescent="0.25">
      <c r="B200" s="31" t="s">
        <v>145</v>
      </c>
      <c r="C200" s="32">
        <v>11884388.380107559</v>
      </c>
      <c r="D200" s="32">
        <v>11884388.380107559</v>
      </c>
      <c r="E200" s="32">
        <v>0</v>
      </c>
      <c r="F200" s="32">
        <v>0</v>
      </c>
      <c r="G200" s="32">
        <v>0</v>
      </c>
      <c r="H200" s="32">
        <v>0</v>
      </c>
      <c r="I200" s="32">
        <v>0</v>
      </c>
      <c r="J200" s="32">
        <v>0</v>
      </c>
      <c r="K200" s="32">
        <v>0</v>
      </c>
      <c r="L200" s="32">
        <v>0</v>
      </c>
      <c r="M200" s="32">
        <v>0</v>
      </c>
      <c r="N200" s="32">
        <v>0</v>
      </c>
      <c r="O200" s="32">
        <v>0</v>
      </c>
      <c r="P200" s="32">
        <v>0</v>
      </c>
      <c r="Q200" s="32">
        <v>0</v>
      </c>
      <c r="R200" s="32">
        <v>0</v>
      </c>
      <c r="S200" s="32">
        <v>0</v>
      </c>
      <c r="T200" s="32">
        <v>0</v>
      </c>
      <c r="U200" s="32">
        <v>0</v>
      </c>
      <c r="V200" s="32">
        <v>0</v>
      </c>
      <c r="W200" s="32">
        <v>0</v>
      </c>
      <c r="X200" s="32">
        <v>0</v>
      </c>
      <c r="Y200" s="32">
        <v>0</v>
      </c>
      <c r="Z200" s="32">
        <v>0</v>
      </c>
      <c r="AA200" s="32">
        <v>0</v>
      </c>
      <c r="AB200" s="32">
        <v>0</v>
      </c>
      <c r="AC200" s="32">
        <v>0</v>
      </c>
      <c r="AD200" s="32">
        <v>0</v>
      </c>
      <c r="AE200" s="32">
        <v>0</v>
      </c>
      <c r="AF200" s="32">
        <v>0</v>
      </c>
      <c r="AG200"/>
      <c r="AH200" s="17" t="s">
        <v>279</v>
      </c>
    </row>
    <row r="201" spans="2:34" hidden="1" outlineLevel="1" x14ac:dyDescent="0.25">
      <c r="B201" s="31" t="s">
        <v>244</v>
      </c>
      <c r="C201" s="32">
        <v>35030010.666666664</v>
      </c>
      <c r="D201" s="32">
        <v>35030010.666666664</v>
      </c>
      <c r="E201" s="32">
        <v>0</v>
      </c>
      <c r="F201" s="32">
        <v>0</v>
      </c>
      <c r="G201" s="32">
        <v>0</v>
      </c>
      <c r="H201" s="32">
        <v>0</v>
      </c>
      <c r="I201" s="32">
        <v>0</v>
      </c>
      <c r="J201" s="32">
        <v>0</v>
      </c>
      <c r="K201" s="32">
        <v>0</v>
      </c>
      <c r="L201" s="32">
        <v>0</v>
      </c>
      <c r="M201" s="32">
        <v>0</v>
      </c>
      <c r="N201" s="32">
        <v>0</v>
      </c>
      <c r="O201" s="32">
        <v>0</v>
      </c>
      <c r="P201" s="32">
        <v>0</v>
      </c>
      <c r="Q201" s="32">
        <v>0</v>
      </c>
      <c r="R201" s="32">
        <v>0</v>
      </c>
      <c r="S201" s="32">
        <v>0</v>
      </c>
      <c r="T201" s="32">
        <v>0</v>
      </c>
      <c r="U201" s="32">
        <v>0</v>
      </c>
      <c r="V201" s="32">
        <v>0</v>
      </c>
      <c r="W201" s="32">
        <v>0</v>
      </c>
      <c r="X201" s="32">
        <v>0</v>
      </c>
      <c r="Y201" s="32">
        <v>0</v>
      </c>
      <c r="Z201" s="32">
        <v>0</v>
      </c>
      <c r="AA201" s="32">
        <v>0</v>
      </c>
      <c r="AB201" s="32">
        <v>0</v>
      </c>
      <c r="AC201" s="32">
        <v>0</v>
      </c>
      <c r="AD201" s="32">
        <v>0</v>
      </c>
      <c r="AE201" s="32">
        <v>0</v>
      </c>
      <c r="AF201" s="32">
        <v>0</v>
      </c>
      <c r="AG201"/>
      <c r="AH201" s="17" t="s">
        <v>279</v>
      </c>
    </row>
    <row r="202" spans="2:34" customFormat="1" hidden="1" outlineLevel="1" x14ac:dyDescent="0.25">
      <c r="B202" s="31" t="s">
        <v>147</v>
      </c>
      <c r="C202" s="32">
        <v>0</v>
      </c>
      <c r="D202" s="32">
        <v>0</v>
      </c>
      <c r="E202" s="32">
        <v>0</v>
      </c>
      <c r="F202" s="32">
        <v>0</v>
      </c>
      <c r="G202" s="32">
        <v>0</v>
      </c>
      <c r="H202" s="32">
        <v>0</v>
      </c>
      <c r="I202" s="32">
        <v>0</v>
      </c>
      <c r="J202" s="32">
        <v>0</v>
      </c>
      <c r="K202" s="32">
        <v>0</v>
      </c>
      <c r="L202" s="32">
        <v>0</v>
      </c>
      <c r="M202" s="32">
        <v>0</v>
      </c>
      <c r="N202" s="32">
        <v>0</v>
      </c>
      <c r="O202" s="32">
        <v>0</v>
      </c>
      <c r="P202" s="32">
        <v>0</v>
      </c>
      <c r="Q202" s="32">
        <v>0</v>
      </c>
      <c r="R202" s="32">
        <v>0</v>
      </c>
      <c r="S202" s="32">
        <v>0</v>
      </c>
      <c r="T202" s="32">
        <v>0</v>
      </c>
      <c r="U202" s="32">
        <v>0</v>
      </c>
      <c r="V202" s="32">
        <v>0</v>
      </c>
      <c r="W202" s="32">
        <v>0</v>
      </c>
      <c r="X202" s="32">
        <v>0</v>
      </c>
      <c r="Y202" s="32">
        <v>0</v>
      </c>
      <c r="Z202" s="32">
        <v>0</v>
      </c>
      <c r="AA202" s="32">
        <v>0</v>
      </c>
      <c r="AB202" s="32">
        <v>0</v>
      </c>
      <c r="AC202" s="32">
        <v>0</v>
      </c>
      <c r="AD202" s="32">
        <v>0</v>
      </c>
      <c r="AE202" s="32">
        <v>0</v>
      </c>
      <c r="AF202" s="32">
        <v>0</v>
      </c>
      <c r="AH202" s="17" t="s">
        <v>279</v>
      </c>
    </row>
    <row r="203" spans="2:34" hidden="1" outlineLevel="1" x14ac:dyDescent="0.25">
      <c r="B203" s="31" t="s">
        <v>245</v>
      </c>
      <c r="C203" s="32">
        <v>0</v>
      </c>
      <c r="D203" s="32">
        <v>0</v>
      </c>
      <c r="E203" s="32">
        <v>0</v>
      </c>
      <c r="F203" s="32">
        <v>0</v>
      </c>
      <c r="G203" s="32">
        <v>0</v>
      </c>
      <c r="H203" s="32">
        <v>0</v>
      </c>
      <c r="I203" s="32">
        <v>0</v>
      </c>
      <c r="J203" s="32">
        <v>0</v>
      </c>
      <c r="K203" s="32">
        <v>0</v>
      </c>
      <c r="L203" s="32">
        <v>0</v>
      </c>
      <c r="M203" s="32">
        <v>0</v>
      </c>
      <c r="N203" s="32">
        <v>0</v>
      </c>
      <c r="O203" s="32">
        <v>0</v>
      </c>
      <c r="P203" s="32">
        <v>0</v>
      </c>
      <c r="Q203" s="32">
        <v>0</v>
      </c>
      <c r="R203" s="32">
        <v>0</v>
      </c>
      <c r="S203" s="32">
        <v>0</v>
      </c>
      <c r="T203" s="32">
        <v>0</v>
      </c>
      <c r="U203" s="32">
        <v>0</v>
      </c>
      <c r="V203" s="32">
        <v>0</v>
      </c>
      <c r="W203" s="32">
        <v>0</v>
      </c>
      <c r="X203" s="32">
        <v>0</v>
      </c>
      <c r="Y203" s="32">
        <v>0</v>
      </c>
      <c r="Z203" s="32">
        <v>0</v>
      </c>
      <c r="AA203" s="32">
        <v>0</v>
      </c>
      <c r="AB203" s="32">
        <v>0</v>
      </c>
      <c r="AC203" s="32">
        <v>0</v>
      </c>
      <c r="AD203" s="32">
        <v>0</v>
      </c>
      <c r="AE203" s="32">
        <v>0</v>
      </c>
      <c r="AF203" s="32">
        <v>0</v>
      </c>
      <c r="AG203"/>
      <c r="AH203" s="17" t="s">
        <v>279</v>
      </c>
    </row>
    <row r="204" spans="2:34" hidden="1" outlineLevel="1" x14ac:dyDescent="0.25">
      <c r="B204" s="31" t="s">
        <v>149</v>
      </c>
      <c r="C204" s="32">
        <v>138132917.56317133</v>
      </c>
      <c r="D204" s="32">
        <v>138132917.56317133</v>
      </c>
      <c r="E204" s="32">
        <v>0</v>
      </c>
      <c r="F204" s="32">
        <v>0</v>
      </c>
      <c r="G204" s="32">
        <v>0</v>
      </c>
      <c r="H204" s="32">
        <v>0</v>
      </c>
      <c r="I204" s="32">
        <v>0</v>
      </c>
      <c r="J204" s="32">
        <v>0</v>
      </c>
      <c r="K204" s="32">
        <v>0</v>
      </c>
      <c r="L204" s="32">
        <v>0</v>
      </c>
      <c r="M204" s="32">
        <v>0</v>
      </c>
      <c r="N204" s="32">
        <v>0</v>
      </c>
      <c r="O204" s="32">
        <v>0</v>
      </c>
      <c r="P204" s="32">
        <v>0</v>
      </c>
      <c r="Q204" s="32">
        <v>0</v>
      </c>
      <c r="R204" s="32">
        <v>0</v>
      </c>
      <c r="S204" s="32">
        <v>0</v>
      </c>
      <c r="T204" s="32">
        <v>0</v>
      </c>
      <c r="U204" s="32">
        <v>0</v>
      </c>
      <c r="V204" s="32">
        <v>0</v>
      </c>
      <c r="W204" s="32">
        <v>0</v>
      </c>
      <c r="X204" s="32">
        <v>0</v>
      </c>
      <c r="Y204" s="32">
        <v>0</v>
      </c>
      <c r="Z204" s="32">
        <v>0</v>
      </c>
      <c r="AA204" s="32">
        <v>0</v>
      </c>
      <c r="AB204" s="32">
        <v>0</v>
      </c>
      <c r="AC204" s="32">
        <v>0</v>
      </c>
      <c r="AD204" s="32">
        <v>0</v>
      </c>
      <c r="AE204" s="32">
        <v>0</v>
      </c>
      <c r="AF204" s="32">
        <v>0</v>
      </c>
      <c r="AG204"/>
      <c r="AH204" s="17" t="s">
        <v>279</v>
      </c>
    </row>
    <row r="205" spans="2:34" hidden="1" outlineLevel="1" x14ac:dyDescent="0.25">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c r="AH205"/>
    </row>
    <row r="206" spans="2:34" ht="15.75" hidden="1" outlineLevel="1" thickBot="1" x14ac:dyDescent="0.3">
      <c r="B206" s="28" t="s">
        <v>280</v>
      </c>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0"/>
      <c r="AH206" s="20" t="s">
        <v>15</v>
      </c>
    </row>
    <row r="207" spans="2:34" customFormat="1" hidden="1" outlineLevel="1" x14ac:dyDescent="0.25">
      <c r="B207" s="30"/>
      <c r="C207" s="17">
        <v>2025</v>
      </c>
      <c r="D207" s="44">
        <v>2026</v>
      </c>
      <c r="E207" s="44">
        <v>2027</v>
      </c>
      <c r="F207" s="44">
        <v>2028</v>
      </c>
      <c r="G207" s="44">
        <v>2029</v>
      </c>
      <c r="H207" s="44">
        <v>2030</v>
      </c>
      <c r="I207" s="44">
        <v>2031</v>
      </c>
      <c r="J207" s="44">
        <v>2032</v>
      </c>
      <c r="K207" s="44">
        <v>2033</v>
      </c>
      <c r="L207" s="44">
        <v>2034</v>
      </c>
      <c r="M207" s="44">
        <v>2035</v>
      </c>
      <c r="N207" s="44">
        <v>2036</v>
      </c>
      <c r="O207" s="44">
        <v>2037</v>
      </c>
      <c r="P207" s="44">
        <v>2038</v>
      </c>
      <c r="Q207" s="44">
        <v>2039</v>
      </c>
      <c r="R207" s="44">
        <v>2040</v>
      </c>
      <c r="S207" s="44">
        <v>2041</v>
      </c>
      <c r="T207" s="44">
        <v>2042</v>
      </c>
      <c r="U207" s="44">
        <v>2043</v>
      </c>
      <c r="V207" s="44">
        <v>2044</v>
      </c>
      <c r="W207" s="44">
        <v>2045</v>
      </c>
      <c r="X207" s="44">
        <v>2046</v>
      </c>
      <c r="Y207" s="44">
        <v>2047</v>
      </c>
      <c r="Z207" s="44">
        <v>2048</v>
      </c>
      <c r="AA207" s="44">
        <v>2049</v>
      </c>
      <c r="AB207" s="44">
        <v>2050</v>
      </c>
      <c r="AC207" s="44">
        <v>2051</v>
      </c>
      <c r="AD207" s="44">
        <v>2052</v>
      </c>
      <c r="AE207" s="44">
        <v>2053</v>
      </c>
      <c r="AF207" s="44">
        <v>2054</v>
      </c>
      <c r="AG207" s="1"/>
      <c r="AH207" s="1"/>
    </row>
    <row r="208" spans="2:34" hidden="1" outlineLevel="1" x14ac:dyDescent="0.25">
      <c r="B208" s="31" t="s">
        <v>144</v>
      </c>
      <c r="C208" s="32">
        <v>0</v>
      </c>
      <c r="D208" s="32">
        <v>0</v>
      </c>
      <c r="E208" s="32">
        <v>91218518.516397119</v>
      </c>
      <c r="F208" s="32">
        <v>91218518.516397119</v>
      </c>
      <c r="G208" s="32">
        <v>91218518.516397119</v>
      </c>
      <c r="H208" s="32">
        <v>89605158.712475568</v>
      </c>
      <c r="I208" s="32">
        <v>89605158.712475568</v>
      </c>
      <c r="J208" s="32">
        <v>89605158.712475568</v>
      </c>
      <c r="K208" s="32">
        <v>89605158.712475568</v>
      </c>
      <c r="L208" s="32">
        <v>89605158.712475568</v>
      </c>
      <c r="M208" s="32">
        <v>89605158.712475568</v>
      </c>
      <c r="N208" s="32">
        <v>89605158.712475568</v>
      </c>
      <c r="O208" s="32">
        <v>89605158.712475568</v>
      </c>
      <c r="P208" s="32">
        <v>89605158.712475568</v>
      </c>
      <c r="Q208" s="32">
        <v>89605158.712475568</v>
      </c>
      <c r="R208" s="32">
        <v>89605158.712475568</v>
      </c>
      <c r="S208" s="32">
        <v>89605158.712475568</v>
      </c>
      <c r="T208" s="32">
        <v>89605158.712475568</v>
      </c>
      <c r="U208" s="32">
        <v>89605158.712475568</v>
      </c>
      <c r="V208" s="32">
        <v>89605158.712475568</v>
      </c>
      <c r="W208" s="32">
        <v>89605158.712475568</v>
      </c>
      <c r="X208" s="32">
        <v>89605158.712475568</v>
      </c>
      <c r="Y208" s="32">
        <v>89605158.712475568</v>
      </c>
      <c r="Z208" s="32">
        <v>89605158.712475568</v>
      </c>
      <c r="AA208" s="32">
        <v>89605158.712475568</v>
      </c>
      <c r="AB208" s="32">
        <v>89605158.712475568</v>
      </c>
      <c r="AC208" s="32">
        <v>89605158.712475568</v>
      </c>
      <c r="AD208" s="32">
        <v>89605158.712475568</v>
      </c>
      <c r="AE208" s="32">
        <v>89605158.712475568</v>
      </c>
      <c r="AF208" s="32">
        <v>89605158.712475568</v>
      </c>
      <c r="AG208"/>
      <c r="AH208" s="17" t="s">
        <v>279</v>
      </c>
    </row>
    <row r="209" spans="2:35" hidden="1" outlineLevel="1" x14ac:dyDescent="0.25">
      <c r="B209" s="31" t="s">
        <v>145</v>
      </c>
      <c r="C209" s="32">
        <v>0</v>
      </c>
      <c r="D209" s="32">
        <v>0</v>
      </c>
      <c r="E209" s="32">
        <v>11884388.380107559</v>
      </c>
      <c r="F209" s="32">
        <v>11884388.380107559</v>
      </c>
      <c r="G209" s="32">
        <v>11884388.380107559</v>
      </c>
      <c r="H209" s="32">
        <v>11884388.380107559</v>
      </c>
      <c r="I209" s="32">
        <v>11884388.380107559</v>
      </c>
      <c r="J209" s="32">
        <v>11884388.380107559</v>
      </c>
      <c r="K209" s="32">
        <v>11884388.380107559</v>
      </c>
      <c r="L209" s="32">
        <v>11884388.380107559</v>
      </c>
      <c r="M209" s="32">
        <v>11884388.380107559</v>
      </c>
      <c r="N209" s="32">
        <v>11884388.380107559</v>
      </c>
      <c r="O209" s="32">
        <v>11884388.380107559</v>
      </c>
      <c r="P209" s="32">
        <v>11884388.380107559</v>
      </c>
      <c r="Q209" s="32">
        <v>11884388.380107559</v>
      </c>
      <c r="R209" s="32">
        <v>11884388.380107559</v>
      </c>
      <c r="S209" s="32">
        <v>11884388.380107559</v>
      </c>
      <c r="T209" s="32">
        <v>11525540.601956299</v>
      </c>
      <c r="U209" s="32">
        <v>11525540.601956299</v>
      </c>
      <c r="V209" s="32">
        <v>11525540.601956299</v>
      </c>
      <c r="W209" s="32">
        <v>11525540.601956299</v>
      </c>
      <c r="X209" s="32">
        <v>11525540.601956299</v>
      </c>
      <c r="Y209" s="32">
        <v>11525540.601956299</v>
      </c>
      <c r="Z209" s="32">
        <v>11525540.601956299</v>
      </c>
      <c r="AA209" s="32">
        <v>11525540.601956299</v>
      </c>
      <c r="AB209" s="32">
        <v>11525540.601956299</v>
      </c>
      <c r="AC209" s="32">
        <v>11525540.601956299</v>
      </c>
      <c r="AD209" s="32">
        <v>11525540.601956299</v>
      </c>
      <c r="AE209" s="32">
        <v>11525540.601956299</v>
      </c>
      <c r="AF209" s="32">
        <v>11525540.601956299</v>
      </c>
      <c r="AG209"/>
      <c r="AH209" s="17" t="s">
        <v>279</v>
      </c>
    </row>
    <row r="210" spans="2:35" customFormat="1" hidden="1" outlineLevel="1" x14ac:dyDescent="0.25">
      <c r="B210" s="31" t="s">
        <v>244</v>
      </c>
      <c r="C210" s="32">
        <v>0</v>
      </c>
      <c r="D210" s="32">
        <v>0</v>
      </c>
      <c r="E210" s="32">
        <v>35030010.666666664</v>
      </c>
      <c r="F210" s="32">
        <v>33517716.333333336</v>
      </c>
      <c r="G210" s="32">
        <v>33517716.333333336</v>
      </c>
      <c r="H210" s="32">
        <v>31998292.333333336</v>
      </c>
      <c r="I210" s="32">
        <v>31998292.333333336</v>
      </c>
      <c r="J210" s="32">
        <v>31998292.333333336</v>
      </c>
      <c r="K210" s="32">
        <v>31998292.333333336</v>
      </c>
      <c r="L210" s="32">
        <v>31998292.333333336</v>
      </c>
      <c r="M210" s="32">
        <v>31998292.333333336</v>
      </c>
      <c r="N210" s="32">
        <v>29833701.969607845</v>
      </c>
      <c r="O210" s="32">
        <v>29833701.969607845</v>
      </c>
      <c r="P210" s="32">
        <v>28875000.884313725</v>
      </c>
      <c r="Q210" s="32">
        <v>28875000.884313725</v>
      </c>
      <c r="R210" s="32">
        <v>28875000.884313725</v>
      </c>
      <c r="S210" s="32">
        <v>28875000.884313725</v>
      </c>
      <c r="T210" s="32">
        <v>28875000.884313725</v>
      </c>
      <c r="U210" s="32">
        <v>28875000.884313725</v>
      </c>
      <c r="V210" s="32">
        <v>28875000.884313725</v>
      </c>
      <c r="W210" s="32">
        <v>28875000.884313725</v>
      </c>
      <c r="X210" s="32">
        <v>28875000.884313725</v>
      </c>
      <c r="Y210" s="32">
        <v>28875000.884313725</v>
      </c>
      <c r="Z210" s="32">
        <v>28875000.884313725</v>
      </c>
      <c r="AA210" s="32">
        <v>28875000.884313725</v>
      </c>
      <c r="AB210" s="32">
        <v>28875000.884313725</v>
      </c>
      <c r="AC210" s="32">
        <v>28875000.884313725</v>
      </c>
      <c r="AD210" s="32">
        <v>28875000.884313725</v>
      </c>
      <c r="AE210" s="32">
        <v>28875000.884313725</v>
      </c>
      <c r="AF210" s="32">
        <v>28875000.884313725</v>
      </c>
      <c r="AH210" s="17" t="s">
        <v>279</v>
      </c>
    </row>
    <row r="211" spans="2:35" hidden="1" outlineLevel="1" x14ac:dyDescent="0.25">
      <c r="B211" s="31" t="s">
        <v>147</v>
      </c>
      <c r="C211" s="32">
        <v>0</v>
      </c>
      <c r="D211" s="32">
        <v>0</v>
      </c>
      <c r="E211" s="32">
        <v>0</v>
      </c>
      <c r="F211" s="32">
        <v>0</v>
      </c>
      <c r="G211" s="32">
        <v>0</v>
      </c>
      <c r="H211" s="32">
        <v>0</v>
      </c>
      <c r="I211" s="32">
        <v>0</v>
      </c>
      <c r="J211" s="32">
        <v>0</v>
      </c>
      <c r="K211" s="32">
        <v>0</v>
      </c>
      <c r="L211" s="32">
        <v>0</v>
      </c>
      <c r="M211" s="32">
        <v>0</v>
      </c>
      <c r="N211" s="32">
        <v>0</v>
      </c>
      <c r="O211" s="32">
        <v>0</v>
      </c>
      <c r="P211" s="32">
        <v>0</v>
      </c>
      <c r="Q211" s="32">
        <v>0</v>
      </c>
      <c r="R211" s="32">
        <v>0</v>
      </c>
      <c r="S211" s="32">
        <v>0</v>
      </c>
      <c r="T211" s="32">
        <v>0</v>
      </c>
      <c r="U211" s="32">
        <v>0</v>
      </c>
      <c r="V211" s="32">
        <v>0</v>
      </c>
      <c r="W211" s="32">
        <v>0</v>
      </c>
      <c r="X211" s="32">
        <v>0</v>
      </c>
      <c r="Y211" s="32">
        <v>0</v>
      </c>
      <c r="Z211" s="32">
        <v>0</v>
      </c>
      <c r="AA211" s="32">
        <v>0</v>
      </c>
      <c r="AB211" s="32">
        <v>0</v>
      </c>
      <c r="AC211" s="32">
        <v>0</v>
      </c>
      <c r="AD211" s="32">
        <v>0</v>
      </c>
      <c r="AE211" s="32">
        <v>0</v>
      </c>
      <c r="AF211" s="32">
        <v>0</v>
      </c>
      <c r="AG211"/>
      <c r="AH211" s="17" t="s">
        <v>279</v>
      </c>
    </row>
    <row r="212" spans="2:35" hidden="1" outlineLevel="1" x14ac:dyDescent="0.25">
      <c r="B212" s="31" t="s">
        <v>245</v>
      </c>
      <c r="C212" s="32">
        <v>0</v>
      </c>
      <c r="D212" s="32">
        <v>0</v>
      </c>
      <c r="E212" s="32">
        <v>0</v>
      </c>
      <c r="F212" s="32">
        <v>0</v>
      </c>
      <c r="G212" s="32">
        <v>0</v>
      </c>
      <c r="H212" s="32">
        <v>0</v>
      </c>
      <c r="I212" s="32">
        <v>0</v>
      </c>
      <c r="J212" s="32">
        <v>0</v>
      </c>
      <c r="K212" s="32">
        <v>0</v>
      </c>
      <c r="L212" s="32">
        <v>0</v>
      </c>
      <c r="M212" s="32">
        <v>0</v>
      </c>
      <c r="N212" s="32">
        <v>0</v>
      </c>
      <c r="O212" s="32">
        <v>0</v>
      </c>
      <c r="P212" s="32">
        <v>0</v>
      </c>
      <c r="Q212" s="32">
        <v>0</v>
      </c>
      <c r="R212" s="32">
        <v>4623100.2231905619</v>
      </c>
      <c r="S212" s="32">
        <v>4623100.2231905619</v>
      </c>
      <c r="T212" s="32">
        <v>4623100.2231905619</v>
      </c>
      <c r="U212" s="32">
        <v>4623100.2231905619</v>
      </c>
      <c r="V212" s="32">
        <v>4623100.2231905619</v>
      </c>
      <c r="W212" s="32">
        <v>4623100.2231905619</v>
      </c>
      <c r="X212" s="32">
        <v>4623100.2231905619</v>
      </c>
      <c r="Y212" s="32">
        <v>4623100.2231905619</v>
      </c>
      <c r="Z212" s="32">
        <v>4623100.2231905619</v>
      </c>
      <c r="AA212" s="32">
        <v>4623100.2231905619</v>
      </c>
      <c r="AB212" s="32">
        <v>4623100.2231905619</v>
      </c>
      <c r="AC212" s="32">
        <v>4623100.2231905619</v>
      </c>
      <c r="AD212" s="32">
        <v>4623100.2231905619</v>
      </c>
      <c r="AE212" s="32">
        <v>4623100.2231905619</v>
      </c>
      <c r="AF212" s="32">
        <v>4623100.2231905619</v>
      </c>
      <c r="AG212"/>
      <c r="AH212" s="17" t="s">
        <v>279</v>
      </c>
    </row>
    <row r="213" spans="2:35" hidden="1" outlineLevel="1" x14ac:dyDescent="0.25">
      <c r="B213" s="31" t="s">
        <v>149</v>
      </c>
      <c r="C213" s="32">
        <v>0</v>
      </c>
      <c r="D213" s="32">
        <v>0</v>
      </c>
      <c r="E213" s="32">
        <v>138132917.56317133</v>
      </c>
      <c r="F213" s="32">
        <v>136620623.22983801</v>
      </c>
      <c r="G213" s="32">
        <v>136620623.22983801</v>
      </c>
      <c r="H213" s="32">
        <v>133487839.42591646</v>
      </c>
      <c r="I213" s="32">
        <v>133487839.42591646</v>
      </c>
      <c r="J213" s="32">
        <v>133487839.42591646</v>
      </c>
      <c r="K213" s="32">
        <v>133487839.42591646</v>
      </c>
      <c r="L213" s="32">
        <v>133487839.42591646</v>
      </c>
      <c r="M213" s="32">
        <v>133487839.42591646</v>
      </c>
      <c r="N213" s="32">
        <v>131323249.06219096</v>
      </c>
      <c r="O213" s="32">
        <v>131323249.06219096</v>
      </c>
      <c r="P213" s="32">
        <v>130364547.97689685</v>
      </c>
      <c r="Q213" s="32">
        <v>130364547.97689685</v>
      </c>
      <c r="R213" s="32">
        <v>134987648.20008743</v>
      </c>
      <c r="S213" s="32">
        <v>134987648.20008743</v>
      </c>
      <c r="T213" s="32">
        <v>134628800.42193615</v>
      </c>
      <c r="U213" s="32">
        <v>134628800.42193615</v>
      </c>
      <c r="V213" s="32">
        <v>134628800.42193615</v>
      </c>
      <c r="W213" s="32">
        <v>134628800.42193615</v>
      </c>
      <c r="X213" s="32">
        <v>134628800.42193615</v>
      </c>
      <c r="Y213" s="32">
        <v>134628800.42193615</v>
      </c>
      <c r="Z213" s="32">
        <v>134628800.42193615</v>
      </c>
      <c r="AA213" s="32">
        <v>134628800.42193615</v>
      </c>
      <c r="AB213" s="32">
        <v>134628800.42193615</v>
      </c>
      <c r="AC213" s="32">
        <v>134628800.42193615</v>
      </c>
      <c r="AD213" s="32">
        <v>134628800.42193615</v>
      </c>
      <c r="AE213" s="32">
        <v>134628800.42193615</v>
      </c>
      <c r="AF213" s="32">
        <v>134628800.42193615</v>
      </c>
      <c r="AG213"/>
      <c r="AH213" s="17" t="s">
        <v>279</v>
      </c>
    </row>
    <row r="214" spans="2:35" hidden="1" outlineLevel="1" x14ac:dyDescent="0.25">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c r="AH214"/>
    </row>
    <row r="215" spans="2:35" hidden="1" outlineLevel="1" x14ac:dyDescent="0.25">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c r="AH215"/>
    </row>
    <row r="216" spans="2:35" ht="17.25" hidden="1" outlineLevel="1" thickBot="1" x14ac:dyDescent="0.3">
      <c r="B216" s="26" t="s">
        <v>282</v>
      </c>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row>
    <row r="217" spans="2:35" ht="16.5" hidden="1" outlineLevel="1" thickTop="1" thickBot="1" x14ac:dyDescent="0.3">
      <c r="B217" s="28" t="s">
        <v>278</v>
      </c>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0"/>
      <c r="AH217" s="20" t="s">
        <v>15</v>
      </c>
    </row>
    <row r="218" spans="2:35" customFormat="1" hidden="1" outlineLevel="1" x14ac:dyDescent="0.25">
      <c r="B218" s="30"/>
      <c r="C218" s="17">
        <v>2025</v>
      </c>
      <c r="D218" s="44">
        <v>2026</v>
      </c>
      <c r="E218" s="44">
        <v>2027</v>
      </c>
      <c r="F218" s="44">
        <v>2028</v>
      </c>
      <c r="G218" s="44">
        <v>2029</v>
      </c>
      <c r="H218" s="44">
        <v>2030</v>
      </c>
      <c r="I218" s="44">
        <v>2031</v>
      </c>
      <c r="J218" s="44">
        <v>2032</v>
      </c>
      <c r="K218" s="44">
        <v>2033</v>
      </c>
      <c r="L218" s="44">
        <v>2034</v>
      </c>
      <c r="M218" s="44">
        <v>2035</v>
      </c>
      <c r="N218" s="44">
        <v>2036</v>
      </c>
      <c r="O218" s="44">
        <v>2037</v>
      </c>
      <c r="P218" s="44">
        <v>2038</v>
      </c>
      <c r="Q218" s="44">
        <v>2039</v>
      </c>
      <c r="R218" s="44">
        <v>2040</v>
      </c>
      <c r="S218" s="44">
        <v>2041</v>
      </c>
      <c r="T218" s="44">
        <v>2042</v>
      </c>
      <c r="U218" s="44">
        <v>2043</v>
      </c>
      <c r="V218" s="44">
        <v>2044</v>
      </c>
      <c r="W218" s="44">
        <v>2045</v>
      </c>
      <c r="X218" s="44">
        <v>2046</v>
      </c>
      <c r="Y218" s="44">
        <v>2047</v>
      </c>
      <c r="Z218" s="44">
        <v>2048</v>
      </c>
      <c r="AA218" s="44">
        <v>2049</v>
      </c>
      <c r="AB218" s="44">
        <v>2050</v>
      </c>
      <c r="AC218" s="44">
        <v>2051</v>
      </c>
      <c r="AD218" s="44">
        <v>2052</v>
      </c>
      <c r="AE218" s="44">
        <v>2053</v>
      </c>
      <c r="AF218" s="44">
        <v>2054</v>
      </c>
      <c r="AH218" s="1"/>
      <c r="AI218" s="1"/>
    </row>
    <row r="219" spans="2:35" hidden="1" outlineLevel="1" x14ac:dyDescent="0.25">
      <c r="B219" s="31" t="s">
        <v>144</v>
      </c>
      <c r="C219" s="32">
        <v>342242.65102078754</v>
      </c>
      <c r="D219" s="32">
        <v>342242.65102078754</v>
      </c>
      <c r="E219" s="32">
        <v>0</v>
      </c>
      <c r="F219" s="32">
        <v>0</v>
      </c>
      <c r="G219" s="32">
        <v>0</v>
      </c>
      <c r="H219" s="32">
        <v>0</v>
      </c>
      <c r="I219" s="32">
        <v>0</v>
      </c>
      <c r="J219" s="32">
        <v>0</v>
      </c>
      <c r="K219" s="32">
        <v>0</v>
      </c>
      <c r="L219" s="32">
        <v>0</v>
      </c>
      <c r="M219" s="32">
        <v>0</v>
      </c>
      <c r="N219" s="32">
        <v>0</v>
      </c>
      <c r="O219" s="32">
        <v>0</v>
      </c>
      <c r="P219" s="32">
        <v>0</v>
      </c>
      <c r="Q219" s="32">
        <v>0</v>
      </c>
      <c r="R219" s="32">
        <v>0</v>
      </c>
      <c r="S219" s="32">
        <v>0</v>
      </c>
      <c r="T219" s="32">
        <v>0</v>
      </c>
      <c r="U219" s="32">
        <v>0</v>
      </c>
      <c r="V219" s="32">
        <v>0</v>
      </c>
      <c r="W219" s="32">
        <v>0</v>
      </c>
      <c r="X219" s="32">
        <v>0</v>
      </c>
      <c r="Y219" s="32">
        <v>0</v>
      </c>
      <c r="Z219" s="32">
        <v>0</v>
      </c>
      <c r="AA219" s="32">
        <v>0</v>
      </c>
      <c r="AB219" s="32">
        <v>0</v>
      </c>
      <c r="AC219" s="32">
        <v>0</v>
      </c>
      <c r="AD219" s="32">
        <v>0</v>
      </c>
      <c r="AE219" s="32">
        <v>0</v>
      </c>
      <c r="AF219" s="32">
        <v>0</v>
      </c>
      <c r="AG219"/>
      <c r="AH219" s="17" t="s">
        <v>279</v>
      </c>
    </row>
    <row r="220" spans="2:35" customFormat="1" hidden="1" outlineLevel="1" x14ac:dyDescent="0.25">
      <c r="B220" s="31" t="s">
        <v>145</v>
      </c>
      <c r="C220" s="32">
        <v>98109.353104549853</v>
      </c>
      <c r="D220" s="32">
        <v>98109.353104549853</v>
      </c>
      <c r="E220" s="32">
        <v>0</v>
      </c>
      <c r="F220" s="32">
        <v>0</v>
      </c>
      <c r="G220" s="32">
        <v>0</v>
      </c>
      <c r="H220" s="32">
        <v>0</v>
      </c>
      <c r="I220" s="32">
        <v>0</v>
      </c>
      <c r="J220" s="32">
        <v>0</v>
      </c>
      <c r="K220" s="32">
        <v>0</v>
      </c>
      <c r="L220" s="32">
        <v>0</v>
      </c>
      <c r="M220" s="32">
        <v>0</v>
      </c>
      <c r="N220" s="32">
        <v>0</v>
      </c>
      <c r="O220" s="32">
        <v>0</v>
      </c>
      <c r="P220" s="32">
        <v>0</v>
      </c>
      <c r="Q220" s="32">
        <v>0</v>
      </c>
      <c r="R220" s="32">
        <v>0</v>
      </c>
      <c r="S220" s="32">
        <v>0</v>
      </c>
      <c r="T220" s="32">
        <v>0</v>
      </c>
      <c r="U220" s="32">
        <v>0</v>
      </c>
      <c r="V220" s="32">
        <v>0</v>
      </c>
      <c r="W220" s="32">
        <v>0</v>
      </c>
      <c r="X220" s="32">
        <v>0</v>
      </c>
      <c r="Y220" s="32">
        <v>0</v>
      </c>
      <c r="Z220" s="32">
        <v>0</v>
      </c>
      <c r="AA220" s="32">
        <v>0</v>
      </c>
      <c r="AB220" s="32">
        <v>0</v>
      </c>
      <c r="AC220" s="32">
        <v>0</v>
      </c>
      <c r="AD220" s="32">
        <v>0</v>
      </c>
      <c r="AE220" s="32">
        <v>0</v>
      </c>
      <c r="AF220" s="32">
        <v>0</v>
      </c>
      <c r="AH220" s="17" t="s">
        <v>279</v>
      </c>
    </row>
    <row r="221" spans="2:35" hidden="1" outlineLevel="1" x14ac:dyDescent="0.25">
      <c r="B221" s="31" t="s">
        <v>244</v>
      </c>
      <c r="C221" s="32">
        <v>249408.4642786741</v>
      </c>
      <c r="D221" s="32">
        <v>249408.4642786741</v>
      </c>
      <c r="E221" s="32">
        <v>0</v>
      </c>
      <c r="F221" s="32">
        <v>0</v>
      </c>
      <c r="G221" s="32">
        <v>0</v>
      </c>
      <c r="H221" s="32">
        <v>0</v>
      </c>
      <c r="I221" s="32">
        <v>0</v>
      </c>
      <c r="J221" s="32">
        <v>0</v>
      </c>
      <c r="K221" s="32">
        <v>0</v>
      </c>
      <c r="L221" s="32">
        <v>0</v>
      </c>
      <c r="M221" s="32">
        <v>0</v>
      </c>
      <c r="N221" s="32">
        <v>0</v>
      </c>
      <c r="O221" s="32">
        <v>0</v>
      </c>
      <c r="P221" s="32">
        <v>0</v>
      </c>
      <c r="Q221" s="32">
        <v>0</v>
      </c>
      <c r="R221" s="32">
        <v>0</v>
      </c>
      <c r="S221" s="32">
        <v>0</v>
      </c>
      <c r="T221" s="32">
        <v>0</v>
      </c>
      <c r="U221" s="32">
        <v>0</v>
      </c>
      <c r="V221" s="32">
        <v>0</v>
      </c>
      <c r="W221" s="32">
        <v>0</v>
      </c>
      <c r="X221" s="32">
        <v>0</v>
      </c>
      <c r="Y221" s="32">
        <v>0</v>
      </c>
      <c r="Z221" s="32">
        <v>0</v>
      </c>
      <c r="AA221" s="32">
        <v>0</v>
      </c>
      <c r="AB221" s="32">
        <v>0</v>
      </c>
      <c r="AC221" s="32">
        <v>0</v>
      </c>
      <c r="AD221" s="32">
        <v>0</v>
      </c>
      <c r="AE221" s="32">
        <v>0</v>
      </c>
      <c r="AF221" s="32">
        <v>0</v>
      </c>
      <c r="AG221"/>
      <c r="AH221" s="17" t="s">
        <v>279</v>
      </c>
    </row>
    <row r="222" spans="2:35" hidden="1" outlineLevel="1" x14ac:dyDescent="0.25">
      <c r="B222" s="31" t="s">
        <v>147</v>
      </c>
      <c r="C222" s="32">
        <v>0</v>
      </c>
      <c r="D222" s="32">
        <v>0</v>
      </c>
      <c r="E222" s="32">
        <v>0</v>
      </c>
      <c r="F222" s="32">
        <v>0</v>
      </c>
      <c r="G222" s="32">
        <v>0</v>
      </c>
      <c r="H222" s="32">
        <v>0</v>
      </c>
      <c r="I222" s="32">
        <v>0</v>
      </c>
      <c r="J222" s="32">
        <v>0</v>
      </c>
      <c r="K222" s="32">
        <v>0</v>
      </c>
      <c r="L222" s="32">
        <v>0</v>
      </c>
      <c r="M222" s="32">
        <v>0</v>
      </c>
      <c r="N222" s="32">
        <v>0</v>
      </c>
      <c r="O222" s="32">
        <v>0</v>
      </c>
      <c r="P222" s="32">
        <v>0</v>
      </c>
      <c r="Q222" s="32">
        <v>0</v>
      </c>
      <c r="R222" s="32">
        <v>0</v>
      </c>
      <c r="S222" s="32">
        <v>0</v>
      </c>
      <c r="T222" s="32">
        <v>0</v>
      </c>
      <c r="U222" s="32">
        <v>0</v>
      </c>
      <c r="V222" s="32">
        <v>0</v>
      </c>
      <c r="W222" s="32">
        <v>0</v>
      </c>
      <c r="X222" s="32">
        <v>0</v>
      </c>
      <c r="Y222" s="32">
        <v>0</v>
      </c>
      <c r="Z222" s="32">
        <v>0</v>
      </c>
      <c r="AA222" s="32">
        <v>0</v>
      </c>
      <c r="AB222" s="32">
        <v>0</v>
      </c>
      <c r="AC222" s="32">
        <v>0</v>
      </c>
      <c r="AD222" s="32">
        <v>0</v>
      </c>
      <c r="AE222" s="32">
        <v>0</v>
      </c>
      <c r="AF222" s="32">
        <v>0</v>
      </c>
      <c r="AG222"/>
      <c r="AH222" s="17" t="s">
        <v>279</v>
      </c>
    </row>
    <row r="223" spans="2:35" hidden="1" outlineLevel="1" x14ac:dyDescent="0.25">
      <c r="B223" s="31" t="s">
        <v>245</v>
      </c>
      <c r="C223" s="32">
        <v>15010.998282483361</v>
      </c>
      <c r="D223" s="32">
        <v>15010.998282483361</v>
      </c>
      <c r="E223" s="32">
        <v>0</v>
      </c>
      <c r="F223" s="32">
        <v>0</v>
      </c>
      <c r="G223" s="32">
        <v>0</v>
      </c>
      <c r="H223" s="32">
        <v>0</v>
      </c>
      <c r="I223" s="32">
        <v>0</v>
      </c>
      <c r="J223" s="32">
        <v>0</v>
      </c>
      <c r="K223" s="32">
        <v>0</v>
      </c>
      <c r="L223" s="32">
        <v>0</v>
      </c>
      <c r="M223" s="32">
        <v>0</v>
      </c>
      <c r="N223" s="32">
        <v>0</v>
      </c>
      <c r="O223" s="32">
        <v>0</v>
      </c>
      <c r="P223" s="32">
        <v>0</v>
      </c>
      <c r="Q223" s="32">
        <v>0</v>
      </c>
      <c r="R223" s="32">
        <v>0</v>
      </c>
      <c r="S223" s="32">
        <v>0</v>
      </c>
      <c r="T223" s="32">
        <v>0</v>
      </c>
      <c r="U223" s="32">
        <v>0</v>
      </c>
      <c r="V223" s="32">
        <v>0</v>
      </c>
      <c r="W223" s="32">
        <v>0</v>
      </c>
      <c r="X223" s="32">
        <v>0</v>
      </c>
      <c r="Y223" s="32">
        <v>0</v>
      </c>
      <c r="Z223" s="32">
        <v>0</v>
      </c>
      <c r="AA223" s="32">
        <v>0</v>
      </c>
      <c r="AB223" s="32">
        <v>0</v>
      </c>
      <c r="AC223" s="32">
        <v>0</v>
      </c>
      <c r="AD223" s="32">
        <v>0</v>
      </c>
      <c r="AE223" s="32">
        <v>0</v>
      </c>
      <c r="AF223" s="32">
        <v>0</v>
      </c>
      <c r="AG223"/>
      <c r="AH223" s="17" t="s">
        <v>279</v>
      </c>
    </row>
    <row r="224" spans="2:35" hidden="1" outlineLevel="1" x14ac:dyDescent="0.25">
      <c r="B224" s="31" t="s">
        <v>149</v>
      </c>
      <c r="C224" s="32">
        <v>704771.46668649488</v>
      </c>
      <c r="D224" s="32">
        <v>704771.46668649488</v>
      </c>
      <c r="E224" s="32">
        <v>0</v>
      </c>
      <c r="F224" s="32">
        <v>0</v>
      </c>
      <c r="G224" s="32">
        <v>0</v>
      </c>
      <c r="H224" s="32">
        <v>0</v>
      </c>
      <c r="I224" s="32">
        <v>0</v>
      </c>
      <c r="J224" s="32">
        <v>0</v>
      </c>
      <c r="K224" s="32">
        <v>0</v>
      </c>
      <c r="L224" s="32">
        <v>0</v>
      </c>
      <c r="M224" s="32">
        <v>0</v>
      </c>
      <c r="N224" s="32">
        <v>0</v>
      </c>
      <c r="O224" s="32">
        <v>0</v>
      </c>
      <c r="P224" s="32">
        <v>0</v>
      </c>
      <c r="Q224" s="32">
        <v>0</v>
      </c>
      <c r="R224" s="32">
        <v>0</v>
      </c>
      <c r="S224" s="32">
        <v>0</v>
      </c>
      <c r="T224" s="32">
        <v>0</v>
      </c>
      <c r="U224" s="32">
        <v>0</v>
      </c>
      <c r="V224" s="32">
        <v>0</v>
      </c>
      <c r="W224" s="32">
        <v>0</v>
      </c>
      <c r="X224" s="32">
        <v>0</v>
      </c>
      <c r="Y224" s="32">
        <v>0</v>
      </c>
      <c r="Z224" s="32">
        <v>0</v>
      </c>
      <c r="AA224" s="32">
        <v>0</v>
      </c>
      <c r="AB224" s="32">
        <v>0</v>
      </c>
      <c r="AC224" s="32">
        <v>0</v>
      </c>
      <c r="AD224" s="32">
        <v>0</v>
      </c>
      <c r="AE224" s="32">
        <v>0</v>
      </c>
      <c r="AF224" s="32">
        <v>0</v>
      </c>
      <c r="AG224"/>
      <c r="AH224" s="17" t="s">
        <v>279</v>
      </c>
    </row>
    <row r="225" spans="2:34" hidden="1" outlineLevel="1" x14ac:dyDescent="0.25">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row>
    <row r="226" spans="2:34" ht="15.75" hidden="1" outlineLevel="1" thickBot="1" x14ac:dyDescent="0.3">
      <c r="B226" s="28" t="s">
        <v>280</v>
      </c>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0"/>
      <c r="AH226" s="20" t="s">
        <v>15</v>
      </c>
    </row>
    <row r="227" spans="2:34" customFormat="1" hidden="1" outlineLevel="1" x14ac:dyDescent="0.25">
      <c r="B227" s="30"/>
      <c r="C227" s="17">
        <v>2025</v>
      </c>
      <c r="D227" s="44">
        <v>2026</v>
      </c>
      <c r="E227" s="44">
        <v>2027</v>
      </c>
      <c r="F227" s="44">
        <v>2028</v>
      </c>
      <c r="G227" s="44">
        <v>2029</v>
      </c>
      <c r="H227" s="44">
        <v>2030</v>
      </c>
      <c r="I227" s="44">
        <v>2031</v>
      </c>
      <c r="J227" s="44">
        <v>2032</v>
      </c>
      <c r="K227" s="44">
        <v>2033</v>
      </c>
      <c r="L227" s="44">
        <v>2034</v>
      </c>
      <c r="M227" s="44">
        <v>2035</v>
      </c>
      <c r="N227" s="44">
        <v>2036</v>
      </c>
      <c r="O227" s="44">
        <v>2037</v>
      </c>
      <c r="P227" s="44">
        <v>2038</v>
      </c>
      <c r="Q227" s="44">
        <v>2039</v>
      </c>
      <c r="R227" s="44">
        <v>2040</v>
      </c>
      <c r="S227" s="44">
        <v>2041</v>
      </c>
      <c r="T227" s="44">
        <v>2042</v>
      </c>
      <c r="U227" s="44">
        <v>2043</v>
      </c>
      <c r="V227" s="44">
        <v>2044</v>
      </c>
      <c r="W227" s="44">
        <v>2045</v>
      </c>
      <c r="X227" s="44">
        <v>2046</v>
      </c>
      <c r="Y227" s="44">
        <v>2047</v>
      </c>
      <c r="Z227" s="44">
        <v>2048</v>
      </c>
      <c r="AA227" s="44">
        <v>2049</v>
      </c>
      <c r="AB227" s="44">
        <v>2050</v>
      </c>
      <c r="AC227" s="44">
        <v>2051</v>
      </c>
      <c r="AD227" s="44">
        <v>2052</v>
      </c>
      <c r="AE227" s="44">
        <v>2053</v>
      </c>
      <c r="AF227" s="44">
        <v>2054</v>
      </c>
      <c r="AH227" s="1"/>
    </row>
    <row r="228" spans="2:34" hidden="1" outlineLevel="1" x14ac:dyDescent="0.25">
      <c r="B228" s="31" t="s">
        <v>144</v>
      </c>
      <c r="C228" s="32">
        <v>0</v>
      </c>
      <c r="D228" s="32">
        <v>0</v>
      </c>
      <c r="E228" s="32">
        <v>342242.65102078754</v>
      </c>
      <c r="F228" s="32">
        <v>305603.30209601083</v>
      </c>
      <c r="G228" s="32">
        <v>305603.30209601083</v>
      </c>
      <c r="H228" s="32">
        <v>301207.80852934415</v>
      </c>
      <c r="I228" s="32">
        <v>301207.80852934415</v>
      </c>
      <c r="J228" s="32">
        <v>291945.6620454957</v>
      </c>
      <c r="K228" s="32">
        <v>291945.6620454957</v>
      </c>
      <c r="L228" s="32">
        <v>291945.6620454957</v>
      </c>
      <c r="M228" s="32">
        <v>291945.6620454957</v>
      </c>
      <c r="N228" s="32">
        <v>291945.6620454957</v>
      </c>
      <c r="O228" s="32">
        <v>291945.6620454957</v>
      </c>
      <c r="P228" s="32">
        <v>291945.6620454957</v>
      </c>
      <c r="Q228" s="32">
        <v>291945.6620454957</v>
      </c>
      <c r="R228" s="32">
        <v>291945.6620454957</v>
      </c>
      <c r="S228" s="32">
        <v>291945.6620454957</v>
      </c>
      <c r="T228" s="32">
        <v>291945.6620454957</v>
      </c>
      <c r="U228" s="32">
        <v>291945.6620454957</v>
      </c>
      <c r="V228" s="32">
        <v>291945.6620454957</v>
      </c>
      <c r="W228" s="32">
        <v>291945.6620454957</v>
      </c>
      <c r="X228" s="32">
        <v>291945.6620454957</v>
      </c>
      <c r="Y228" s="32">
        <v>291945.6620454957</v>
      </c>
      <c r="Z228" s="32">
        <v>291945.6620454957</v>
      </c>
      <c r="AA228" s="32">
        <v>291945.6620454957</v>
      </c>
      <c r="AB228" s="32">
        <v>291945.6620454957</v>
      </c>
      <c r="AC228" s="32">
        <v>291945.6620454957</v>
      </c>
      <c r="AD228" s="32">
        <v>291945.6620454957</v>
      </c>
      <c r="AE228" s="32">
        <v>291945.6620454957</v>
      </c>
      <c r="AF228" s="32">
        <v>291945.6620454957</v>
      </c>
      <c r="AG228"/>
      <c r="AH228" s="17" t="s">
        <v>279</v>
      </c>
    </row>
    <row r="229" spans="2:34" hidden="1" outlineLevel="1" x14ac:dyDescent="0.25">
      <c r="B229" s="31" t="s">
        <v>145</v>
      </c>
      <c r="C229" s="32">
        <v>0</v>
      </c>
      <c r="D229" s="32">
        <v>0</v>
      </c>
      <c r="E229" s="32">
        <v>98109.353104549853</v>
      </c>
      <c r="F229" s="32">
        <v>98109.353104549853</v>
      </c>
      <c r="G229" s="32">
        <v>98109.353104549853</v>
      </c>
      <c r="H229" s="32">
        <v>98109.353104549853</v>
      </c>
      <c r="I229" s="32">
        <v>98109.353104549853</v>
      </c>
      <c r="J229" s="32">
        <v>98109.353104549853</v>
      </c>
      <c r="K229" s="32">
        <v>98109.353104549853</v>
      </c>
      <c r="L229" s="32">
        <v>87477.430959262143</v>
      </c>
      <c r="M229" s="32">
        <v>87477.430959262143</v>
      </c>
      <c r="N229" s="32">
        <v>87477.430959262143</v>
      </c>
      <c r="O229" s="32">
        <v>87477.430959262143</v>
      </c>
      <c r="P229" s="32">
        <v>87287.517599226805</v>
      </c>
      <c r="Q229" s="32">
        <v>87287.517599226805</v>
      </c>
      <c r="R229" s="32">
        <v>86872.013217632499</v>
      </c>
      <c r="S229" s="32">
        <v>86872.013217632499</v>
      </c>
      <c r="T229" s="32">
        <v>85195.012122318236</v>
      </c>
      <c r="U229" s="32">
        <v>85195.012122318236</v>
      </c>
      <c r="V229" s="32">
        <v>85195.012122318236</v>
      </c>
      <c r="W229" s="32">
        <v>85195.012122318236</v>
      </c>
      <c r="X229" s="32">
        <v>85195.012122318236</v>
      </c>
      <c r="Y229" s="32">
        <v>85195.012122318236</v>
      </c>
      <c r="Z229" s="32">
        <v>85195.012122318236</v>
      </c>
      <c r="AA229" s="32">
        <v>85195.012122318236</v>
      </c>
      <c r="AB229" s="32">
        <v>83077.009532805183</v>
      </c>
      <c r="AC229" s="32">
        <v>83077.009532805183</v>
      </c>
      <c r="AD229" s="32">
        <v>83077.009532805183</v>
      </c>
      <c r="AE229" s="32">
        <v>83077.009532805183</v>
      </c>
      <c r="AF229" s="32">
        <v>83077.009532805183</v>
      </c>
      <c r="AG229"/>
      <c r="AH229" s="17" t="s">
        <v>279</v>
      </c>
    </row>
    <row r="230" spans="2:34" hidden="1" outlineLevel="1" x14ac:dyDescent="0.25">
      <c r="B230" s="31" t="s">
        <v>244</v>
      </c>
      <c r="C230" s="32">
        <v>0</v>
      </c>
      <c r="D230" s="32">
        <v>0</v>
      </c>
      <c r="E230" s="32">
        <v>249408.4642786741</v>
      </c>
      <c r="F230" s="32">
        <v>271089.76978868787</v>
      </c>
      <c r="G230" s="32">
        <v>271089.76978868787</v>
      </c>
      <c r="H230" s="32">
        <v>264563.44007260934</v>
      </c>
      <c r="I230" s="32">
        <v>264563.44007260934</v>
      </c>
      <c r="J230" s="32">
        <v>241469.52476634944</v>
      </c>
      <c r="K230" s="32">
        <v>241469.52476634944</v>
      </c>
      <c r="L230" s="32">
        <v>241469.52476634944</v>
      </c>
      <c r="M230" s="32">
        <v>241469.52476634944</v>
      </c>
      <c r="N230" s="32">
        <v>228160.89031826754</v>
      </c>
      <c r="O230" s="32">
        <v>228160.89031826754</v>
      </c>
      <c r="P230" s="32">
        <v>225094.6559789071</v>
      </c>
      <c r="Q230" s="32">
        <v>225094.6559789071</v>
      </c>
      <c r="R230" s="32">
        <v>231209.69947117515</v>
      </c>
      <c r="S230" s="32">
        <v>231209.69947117515</v>
      </c>
      <c r="T230" s="32">
        <v>231209.69947117515</v>
      </c>
      <c r="U230" s="32">
        <v>231209.69947117515</v>
      </c>
      <c r="V230" s="32">
        <v>229096.82281032932</v>
      </c>
      <c r="W230" s="32">
        <v>229096.82281032932</v>
      </c>
      <c r="X230" s="32">
        <v>229096.82281032932</v>
      </c>
      <c r="Y230" s="32">
        <v>229096.82281032932</v>
      </c>
      <c r="Z230" s="32">
        <v>229096.82281032932</v>
      </c>
      <c r="AA230" s="32">
        <v>229096.82281032932</v>
      </c>
      <c r="AB230" s="32">
        <v>229096.82281032932</v>
      </c>
      <c r="AC230" s="32">
        <v>229096.82281032932</v>
      </c>
      <c r="AD230" s="32">
        <v>229096.82281032932</v>
      </c>
      <c r="AE230" s="32">
        <v>229096.82281032932</v>
      </c>
      <c r="AF230" s="32">
        <v>229096.82281032932</v>
      </c>
      <c r="AG230"/>
      <c r="AH230" s="17" t="s">
        <v>279</v>
      </c>
    </row>
    <row r="231" spans="2:34" hidden="1" outlineLevel="1" x14ac:dyDescent="0.25">
      <c r="B231" s="31" t="s">
        <v>147</v>
      </c>
      <c r="C231" s="32">
        <v>0</v>
      </c>
      <c r="D231" s="32">
        <v>0</v>
      </c>
      <c r="E231" s="32">
        <v>0</v>
      </c>
      <c r="F231" s="32">
        <v>0</v>
      </c>
      <c r="G231" s="32">
        <v>0</v>
      </c>
      <c r="H231" s="32">
        <v>0</v>
      </c>
      <c r="I231" s="32">
        <v>0</v>
      </c>
      <c r="J231" s="32">
        <v>0</v>
      </c>
      <c r="K231" s="32">
        <v>0</v>
      </c>
      <c r="L231" s="32">
        <v>0</v>
      </c>
      <c r="M231" s="32">
        <v>0</v>
      </c>
      <c r="N231" s="32">
        <v>0</v>
      </c>
      <c r="O231" s="32">
        <v>0</v>
      </c>
      <c r="P231" s="32">
        <v>0</v>
      </c>
      <c r="Q231" s="32">
        <v>0</v>
      </c>
      <c r="R231" s="32">
        <v>0</v>
      </c>
      <c r="S231" s="32">
        <v>0</v>
      </c>
      <c r="T231" s="32">
        <v>0</v>
      </c>
      <c r="U231" s="32">
        <v>0</v>
      </c>
      <c r="V231" s="32">
        <v>0</v>
      </c>
      <c r="W231" s="32">
        <v>0</v>
      </c>
      <c r="X231" s="32">
        <v>0</v>
      </c>
      <c r="Y231" s="32">
        <v>0</v>
      </c>
      <c r="Z231" s="32">
        <v>0</v>
      </c>
      <c r="AA231" s="32">
        <v>0</v>
      </c>
      <c r="AB231" s="32">
        <v>0</v>
      </c>
      <c r="AC231" s="32">
        <v>0</v>
      </c>
      <c r="AD231" s="32">
        <v>0</v>
      </c>
      <c r="AE231" s="32">
        <v>0</v>
      </c>
      <c r="AF231" s="32">
        <v>0</v>
      </c>
      <c r="AG231"/>
      <c r="AH231" s="17" t="s">
        <v>279</v>
      </c>
    </row>
    <row r="232" spans="2:34" hidden="1" outlineLevel="1" x14ac:dyDescent="0.25">
      <c r="B232" s="31" t="s">
        <v>245</v>
      </c>
      <c r="C232" s="32">
        <v>0</v>
      </c>
      <c r="D232" s="32">
        <v>0</v>
      </c>
      <c r="E232" s="32">
        <v>15010.998282483361</v>
      </c>
      <c r="F232" s="32">
        <v>15010.998282483361</v>
      </c>
      <c r="G232" s="32">
        <v>15010.998282483361</v>
      </c>
      <c r="H232" s="32">
        <v>15010.998282483361</v>
      </c>
      <c r="I232" s="32">
        <v>15010.998282483361</v>
      </c>
      <c r="J232" s="32">
        <v>15010.998282483361</v>
      </c>
      <c r="K232" s="32">
        <v>15010.998282483361</v>
      </c>
      <c r="L232" s="32">
        <v>15010.998282483361</v>
      </c>
      <c r="M232" s="32">
        <v>15010.998282483361</v>
      </c>
      <c r="N232" s="32">
        <v>13436.692112233934</v>
      </c>
      <c r="O232" s="32">
        <v>13436.692112233934</v>
      </c>
      <c r="P232" s="32">
        <v>13436.692112233934</v>
      </c>
      <c r="Q232" s="32">
        <v>13436.692112233934</v>
      </c>
      <c r="R232" s="32">
        <v>51778.373813264858</v>
      </c>
      <c r="S232" s="32">
        <v>51778.373813264858</v>
      </c>
      <c r="T232" s="32">
        <v>51778.373813264858</v>
      </c>
      <c r="U232" s="32">
        <v>51778.373813264858</v>
      </c>
      <c r="V232" s="32">
        <v>51778.373813264858</v>
      </c>
      <c r="W232" s="32">
        <v>51778.373813264858</v>
      </c>
      <c r="X232" s="32">
        <v>51778.373813264858</v>
      </c>
      <c r="Y232" s="32">
        <v>51778.373813264858</v>
      </c>
      <c r="Z232" s="32">
        <v>51778.373813264858</v>
      </c>
      <c r="AA232" s="32">
        <v>51778.373813264858</v>
      </c>
      <c r="AB232" s="32">
        <v>51778.373813264858</v>
      </c>
      <c r="AC232" s="32">
        <v>51778.373813264858</v>
      </c>
      <c r="AD232" s="32">
        <v>51778.373813264858</v>
      </c>
      <c r="AE232" s="32">
        <v>51778.373813264858</v>
      </c>
      <c r="AF232" s="32">
        <v>51778.373813264858</v>
      </c>
      <c r="AG232"/>
      <c r="AH232" s="17" t="s">
        <v>279</v>
      </c>
    </row>
    <row r="233" spans="2:34" hidden="1" outlineLevel="1" x14ac:dyDescent="0.25">
      <c r="B233" s="31" t="s">
        <v>149</v>
      </c>
      <c r="C233" s="32">
        <v>0</v>
      </c>
      <c r="D233" s="32">
        <v>0</v>
      </c>
      <c r="E233" s="32">
        <v>704771.46668649488</v>
      </c>
      <c r="F233" s="32">
        <v>689813.42327173194</v>
      </c>
      <c r="G233" s="32">
        <v>689813.42327173194</v>
      </c>
      <c r="H233" s="32">
        <v>678891.59998898674</v>
      </c>
      <c r="I233" s="32">
        <v>678891.59998898674</v>
      </c>
      <c r="J233" s="32">
        <v>646535.53819887829</v>
      </c>
      <c r="K233" s="32">
        <v>646535.53819887829</v>
      </c>
      <c r="L233" s="32">
        <v>635903.61605359055</v>
      </c>
      <c r="M233" s="32">
        <v>635903.61605359055</v>
      </c>
      <c r="N233" s="32">
        <v>621020.67543525936</v>
      </c>
      <c r="O233" s="32">
        <v>621020.67543525936</v>
      </c>
      <c r="P233" s="32">
        <v>617764.52773586358</v>
      </c>
      <c r="Q233" s="32">
        <v>617764.52773586358</v>
      </c>
      <c r="R233" s="32">
        <v>661805.74854756822</v>
      </c>
      <c r="S233" s="32">
        <v>661805.74854756822</v>
      </c>
      <c r="T233" s="32">
        <v>660128.74745225406</v>
      </c>
      <c r="U233" s="32">
        <v>660128.74745225406</v>
      </c>
      <c r="V233" s="32">
        <v>658015.87079140812</v>
      </c>
      <c r="W233" s="32">
        <v>658015.87079140812</v>
      </c>
      <c r="X233" s="32">
        <v>658015.87079140812</v>
      </c>
      <c r="Y233" s="32">
        <v>658015.87079140812</v>
      </c>
      <c r="Z233" s="32">
        <v>658015.87079140812</v>
      </c>
      <c r="AA233" s="32">
        <v>658015.87079140812</v>
      </c>
      <c r="AB233" s="32">
        <v>655897.86820189503</v>
      </c>
      <c r="AC233" s="32">
        <v>655897.86820189503</v>
      </c>
      <c r="AD233" s="32">
        <v>655897.86820189503</v>
      </c>
      <c r="AE233" s="32">
        <v>655897.86820189503</v>
      </c>
      <c r="AF233" s="32">
        <v>655897.86820189503</v>
      </c>
      <c r="AG233"/>
      <c r="AH233" s="17" t="s">
        <v>279</v>
      </c>
    </row>
    <row r="234" spans="2:34" hidden="1" outlineLevel="1" x14ac:dyDescent="0.25">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row>
    <row r="235" spans="2:34" hidden="1" outlineLevel="1" x14ac:dyDescent="0.25">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row>
    <row r="236" spans="2:34" ht="17.25" hidden="1" outlineLevel="1" thickBot="1" x14ac:dyDescent="0.3">
      <c r="B236" s="26" t="s">
        <v>283</v>
      </c>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row>
    <row r="237" spans="2:34" ht="16.5" hidden="1" outlineLevel="1" thickTop="1" thickBot="1" x14ac:dyDescent="0.3">
      <c r="B237" s="28" t="s">
        <v>278</v>
      </c>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0"/>
      <c r="AH237" s="20" t="s">
        <v>15</v>
      </c>
    </row>
    <row r="238" spans="2:34" customFormat="1" hidden="1" outlineLevel="1" x14ac:dyDescent="0.25">
      <c r="B238" s="30"/>
      <c r="C238" s="17">
        <v>2025</v>
      </c>
      <c r="D238" s="44">
        <v>2026</v>
      </c>
      <c r="E238" s="44">
        <v>2027</v>
      </c>
      <c r="F238" s="44">
        <v>2028</v>
      </c>
      <c r="G238" s="44">
        <v>2029</v>
      </c>
      <c r="H238" s="44">
        <v>2030</v>
      </c>
      <c r="I238" s="44">
        <v>2031</v>
      </c>
      <c r="J238" s="44">
        <v>2032</v>
      </c>
      <c r="K238" s="44">
        <v>2033</v>
      </c>
      <c r="L238" s="44">
        <v>2034</v>
      </c>
      <c r="M238" s="44">
        <v>2035</v>
      </c>
      <c r="N238" s="44">
        <v>2036</v>
      </c>
      <c r="O238" s="44">
        <v>2037</v>
      </c>
      <c r="P238" s="44">
        <v>2038</v>
      </c>
      <c r="Q238" s="44">
        <v>2039</v>
      </c>
      <c r="R238" s="44">
        <v>2040</v>
      </c>
      <c r="S238" s="44">
        <v>2041</v>
      </c>
      <c r="T238" s="44">
        <v>2042</v>
      </c>
      <c r="U238" s="44">
        <v>2043</v>
      </c>
      <c r="V238" s="44">
        <v>2044</v>
      </c>
      <c r="W238" s="44">
        <v>2045</v>
      </c>
      <c r="X238" s="44">
        <v>2046</v>
      </c>
      <c r="Y238" s="44">
        <v>2047</v>
      </c>
      <c r="Z238" s="44">
        <v>2048</v>
      </c>
      <c r="AA238" s="44">
        <v>2049</v>
      </c>
      <c r="AB238" s="44">
        <v>2050</v>
      </c>
      <c r="AC238" s="44">
        <v>2051</v>
      </c>
      <c r="AD238" s="44">
        <v>2052</v>
      </c>
      <c r="AE238" s="44">
        <v>2053</v>
      </c>
      <c r="AF238" s="44">
        <v>2054</v>
      </c>
      <c r="AH238" s="1"/>
    </row>
    <row r="239" spans="2:34" hidden="1" outlineLevel="1" x14ac:dyDescent="0.25">
      <c r="B239" s="31" t="s">
        <v>144</v>
      </c>
      <c r="C239" s="32">
        <v>8678140.1263548788</v>
      </c>
      <c r="D239" s="32">
        <v>8678140.1263548788</v>
      </c>
      <c r="E239" s="32">
        <v>0</v>
      </c>
      <c r="F239" s="32">
        <v>0</v>
      </c>
      <c r="G239" s="32">
        <v>0</v>
      </c>
      <c r="H239" s="32">
        <v>0</v>
      </c>
      <c r="I239" s="32">
        <v>0</v>
      </c>
      <c r="J239" s="32">
        <v>0</v>
      </c>
      <c r="K239" s="32">
        <v>0</v>
      </c>
      <c r="L239" s="32">
        <v>0</v>
      </c>
      <c r="M239" s="32">
        <v>0</v>
      </c>
      <c r="N239" s="32">
        <v>0</v>
      </c>
      <c r="O239" s="32">
        <v>0</v>
      </c>
      <c r="P239" s="32">
        <v>0</v>
      </c>
      <c r="Q239" s="32">
        <v>0</v>
      </c>
      <c r="R239" s="32">
        <v>0</v>
      </c>
      <c r="S239" s="32">
        <v>0</v>
      </c>
      <c r="T239" s="32">
        <v>0</v>
      </c>
      <c r="U239" s="32">
        <v>0</v>
      </c>
      <c r="V239" s="32">
        <v>0</v>
      </c>
      <c r="W239" s="32">
        <v>0</v>
      </c>
      <c r="X239" s="32">
        <v>0</v>
      </c>
      <c r="Y239" s="32">
        <v>0</v>
      </c>
      <c r="Z239" s="32">
        <v>0</v>
      </c>
      <c r="AA239" s="32">
        <v>0</v>
      </c>
      <c r="AB239" s="32">
        <v>0</v>
      </c>
      <c r="AC239" s="32">
        <v>0</v>
      </c>
      <c r="AD239" s="32">
        <v>0</v>
      </c>
      <c r="AE239" s="32">
        <v>0</v>
      </c>
      <c r="AF239" s="32">
        <v>0</v>
      </c>
      <c r="AG239"/>
      <c r="AH239" s="17" t="s">
        <v>279</v>
      </c>
    </row>
    <row r="240" spans="2:34" hidden="1" outlineLevel="1" x14ac:dyDescent="0.25">
      <c r="B240" s="31" t="s">
        <v>145</v>
      </c>
      <c r="C240" s="32">
        <v>3544817.3883669907</v>
      </c>
      <c r="D240" s="32">
        <v>7148037.0083669899</v>
      </c>
      <c r="E240" s="32">
        <v>0</v>
      </c>
      <c r="F240" s="32">
        <v>0</v>
      </c>
      <c r="G240" s="32">
        <v>0</v>
      </c>
      <c r="H240" s="32">
        <v>0</v>
      </c>
      <c r="I240" s="32">
        <v>0</v>
      </c>
      <c r="J240" s="32">
        <v>0</v>
      </c>
      <c r="K240" s="32">
        <v>0</v>
      </c>
      <c r="L240" s="32">
        <v>0</v>
      </c>
      <c r="M240" s="32">
        <v>0</v>
      </c>
      <c r="N240" s="32">
        <v>0</v>
      </c>
      <c r="O240" s="32">
        <v>0</v>
      </c>
      <c r="P240" s="32">
        <v>0</v>
      </c>
      <c r="Q240" s="32">
        <v>0</v>
      </c>
      <c r="R240" s="32">
        <v>0</v>
      </c>
      <c r="S240" s="32">
        <v>0</v>
      </c>
      <c r="T240" s="32">
        <v>0</v>
      </c>
      <c r="U240" s="32">
        <v>0</v>
      </c>
      <c r="V240" s="32">
        <v>0</v>
      </c>
      <c r="W240" s="32">
        <v>0</v>
      </c>
      <c r="X240" s="32">
        <v>0</v>
      </c>
      <c r="Y240" s="32">
        <v>0</v>
      </c>
      <c r="Z240" s="32">
        <v>0</v>
      </c>
      <c r="AA240" s="32">
        <v>0</v>
      </c>
      <c r="AB240" s="32">
        <v>0</v>
      </c>
      <c r="AC240" s="32">
        <v>0</v>
      </c>
      <c r="AD240" s="32">
        <v>0</v>
      </c>
      <c r="AE240" s="32">
        <v>0</v>
      </c>
      <c r="AF240" s="32">
        <v>0</v>
      </c>
      <c r="AG240"/>
      <c r="AH240" s="17" t="s">
        <v>279</v>
      </c>
    </row>
    <row r="241" spans="2:34" hidden="1" outlineLevel="1" x14ac:dyDescent="0.25">
      <c r="B241" s="31" t="s">
        <v>244</v>
      </c>
      <c r="C241" s="32">
        <v>10424562.72955735</v>
      </c>
      <c r="D241" s="32">
        <v>10424562.72955735</v>
      </c>
      <c r="E241" s="32">
        <v>0</v>
      </c>
      <c r="F241" s="32">
        <v>0</v>
      </c>
      <c r="G241" s="32">
        <v>0</v>
      </c>
      <c r="H241" s="32">
        <v>0</v>
      </c>
      <c r="I241" s="32">
        <v>0</v>
      </c>
      <c r="J241" s="32">
        <v>0</v>
      </c>
      <c r="K241" s="32">
        <v>0</v>
      </c>
      <c r="L241" s="32">
        <v>0</v>
      </c>
      <c r="M241" s="32">
        <v>0</v>
      </c>
      <c r="N241" s="32">
        <v>0</v>
      </c>
      <c r="O241" s="32">
        <v>0</v>
      </c>
      <c r="P241" s="32">
        <v>0</v>
      </c>
      <c r="Q241" s="32">
        <v>0</v>
      </c>
      <c r="R241" s="32">
        <v>0</v>
      </c>
      <c r="S241" s="32">
        <v>0</v>
      </c>
      <c r="T241" s="32">
        <v>0</v>
      </c>
      <c r="U241" s="32">
        <v>0</v>
      </c>
      <c r="V241" s="32">
        <v>0</v>
      </c>
      <c r="W241" s="32">
        <v>0</v>
      </c>
      <c r="X241" s="32">
        <v>0</v>
      </c>
      <c r="Y241" s="32">
        <v>0</v>
      </c>
      <c r="Z241" s="32">
        <v>0</v>
      </c>
      <c r="AA241" s="32">
        <v>0</v>
      </c>
      <c r="AB241" s="32">
        <v>0</v>
      </c>
      <c r="AC241" s="32">
        <v>0</v>
      </c>
      <c r="AD241" s="32">
        <v>0</v>
      </c>
      <c r="AE241" s="32">
        <v>0</v>
      </c>
      <c r="AF241" s="32">
        <v>0</v>
      </c>
      <c r="AG241"/>
      <c r="AH241" s="17" t="s">
        <v>279</v>
      </c>
    </row>
    <row r="242" spans="2:34" hidden="1" outlineLevel="1" x14ac:dyDescent="0.25">
      <c r="B242" s="31" t="s">
        <v>147</v>
      </c>
      <c r="C242" s="32">
        <v>0</v>
      </c>
      <c r="D242" s="32">
        <v>0</v>
      </c>
      <c r="E242" s="32">
        <v>0</v>
      </c>
      <c r="F242" s="32">
        <v>0</v>
      </c>
      <c r="G242" s="32">
        <v>0</v>
      </c>
      <c r="H242" s="32">
        <v>0</v>
      </c>
      <c r="I242" s="32">
        <v>0</v>
      </c>
      <c r="J242" s="32">
        <v>0</v>
      </c>
      <c r="K242" s="32">
        <v>0</v>
      </c>
      <c r="L242" s="32">
        <v>0</v>
      </c>
      <c r="M242" s="32">
        <v>0</v>
      </c>
      <c r="N242" s="32">
        <v>0</v>
      </c>
      <c r="O242" s="32">
        <v>0</v>
      </c>
      <c r="P242" s="32">
        <v>0</v>
      </c>
      <c r="Q242" s="32">
        <v>0</v>
      </c>
      <c r="R242" s="32">
        <v>0</v>
      </c>
      <c r="S242" s="32">
        <v>0</v>
      </c>
      <c r="T242" s="32">
        <v>0</v>
      </c>
      <c r="U242" s="32">
        <v>0</v>
      </c>
      <c r="V242" s="32">
        <v>0</v>
      </c>
      <c r="W242" s="32">
        <v>0</v>
      </c>
      <c r="X242" s="32">
        <v>0</v>
      </c>
      <c r="Y242" s="32">
        <v>0</v>
      </c>
      <c r="Z242" s="32">
        <v>0</v>
      </c>
      <c r="AA242" s="32">
        <v>0</v>
      </c>
      <c r="AB242" s="32">
        <v>0</v>
      </c>
      <c r="AC242" s="32">
        <v>0</v>
      </c>
      <c r="AD242" s="32">
        <v>0</v>
      </c>
      <c r="AE242" s="32">
        <v>0</v>
      </c>
      <c r="AF242" s="32">
        <v>0</v>
      </c>
      <c r="AG242"/>
      <c r="AH242" s="17" t="s">
        <v>279</v>
      </c>
    </row>
    <row r="243" spans="2:34" hidden="1" outlineLevel="1" x14ac:dyDescent="0.25">
      <c r="B243" s="31" t="s">
        <v>245</v>
      </c>
      <c r="C243" s="32">
        <v>1207501.7119999998</v>
      </c>
      <c r="D243" s="32">
        <v>1207501.7119999998</v>
      </c>
      <c r="E243" s="32">
        <v>0</v>
      </c>
      <c r="F243" s="32">
        <v>0</v>
      </c>
      <c r="G243" s="32">
        <v>0</v>
      </c>
      <c r="H243" s="32">
        <v>0</v>
      </c>
      <c r="I243" s="32">
        <v>0</v>
      </c>
      <c r="J243" s="32">
        <v>0</v>
      </c>
      <c r="K243" s="32">
        <v>0</v>
      </c>
      <c r="L243" s="32">
        <v>0</v>
      </c>
      <c r="M243" s="32">
        <v>0</v>
      </c>
      <c r="N243" s="32">
        <v>0</v>
      </c>
      <c r="O243" s="32">
        <v>0</v>
      </c>
      <c r="P243" s="32">
        <v>0</v>
      </c>
      <c r="Q243" s="32">
        <v>0</v>
      </c>
      <c r="R243" s="32">
        <v>0</v>
      </c>
      <c r="S243" s="32">
        <v>0</v>
      </c>
      <c r="T243" s="32">
        <v>0</v>
      </c>
      <c r="U243" s="32">
        <v>0</v>
      </c>
      <c r="V243" s="32">
        <v>0</v>
      </c>
      <c r="W243" s="32">
        <v>0</v>
      </c>
      <c r="X243" s="32">
        <v>0</v>
      </c>
      <c r="Y243" s="32">
        <v>0</v>
      </c>
      <c r="Z243" s="32">
        <v>0</v>
      </c>
      <c r="AA243" s="32">
        <v>0</v>
      </c>
      <c r="AB243" s="32">
        <v>0</v>
      </c>
      <c r="AC243" s="32">
        <v>0</v>
      </c>
      <c r="AD243" s="32">
        <v>0</v>
      </c>
      <c r="AE243" s="32">
        <v>0</v>
      </c>
      <c r="AF243" s="32">
        <v>0</v>
      </c>
      <c r="AG243"/>
      <c r="AH243" s="17" t="s">
        <v>279</v>
      </c>
    </row>
    <row r="244" spans="2:34" hidden="1" outlineLevel="1" x14ac:dyDescent="0.25">
      <c r="B244" s="31" t="s">
        <v>149</v>
      </c>
      <c r="C244" s="32">
        <v>23855021.956279222</v>
      </c>
      <c r="D244" s="32">
        <v>27458241.576279219</v>
      </c>
      <c r="E244" s="32">
        <v>0</v>
      </c>
      <c r="F244" s="32">
        <v>0</v>
      </c>
      <c r="G244" s="32">
        <v>0</v>
      </c>
      <c r="H244" s="32">
        <v>0</v>
      </c>
      <c r="I244" s="32">
        <v>0</v>
      </c>
      <c r="J244" s="32">
        <v>0</v>
      </c>
      <c r="K244" s="32">
        <v>0</v>
      </c>
      <c r="L244" s="32">
        <v>0</v>
      </c>
      <c r="M244" s="32">
        <v>0</v>
      </c>
      <c r="N244" s="32">
        <v>0</v>
      </c>
      <c r="O244" s="32">
        <v>0</v>
      </c>
      <c r="P244" s="32">
        <v>0</v>
      </c>
      <c r="Q244" s="32">
        <v>0</v>
      </c>
      <c r="R244" s="32">
        <v>0</v>
      </c>
      <c r="S244" s="32">
        <v>0</v>
      </c>
      <c r="T244" s="32">
        <v>0</v>
      </c>
      <c r="U244" s="32">
        <v>0</v>
      </c>
      <c r="V244" s="32">
        <v>0</v>
      </c>
      <c r="W244" s="32">
        <v>0</v>
      </c>
      <c r="X244" s="32">
        <v>0</v>
      </c>
      <c r="Y244" s="32">
        <v>0</v>
      </c>
      <c r="Z244" s="32">
        <v>0</v>
      </c>
      <c r="AA244" s="32">
        <v>0</v>
      </c>
      <c r="AB244" s="32">
        <v>0</v>
      </c>
      <c r="AC244" s="32">
        <v>0</v>
      </c>
      <c r="AD244" s="32">
        <v>0</v>
      </c>
      <c r="AE244" s="32">
        <v>0</v>
      </c>
      <c r="AF244" s="32">
        <v>0</v>
      </c>
      <c r="AG244"/>
      <c r="AH244" s="17" t="s">
        <v>279</v>
      </c>
    </row>
    <row r="245" spans="2:34" hidden="1" outlineLevel="1" x14ac:dyDescent="0.25">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row>
    <row r="246" spans="2:34" ht="15.75" hidden="1" outlineLevel="1" thickBot="1" x14ac:dyDescent="0.3">
      <c r="B246" s="28" t="s">
        <v>280</v>
      </c>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0"/>
      <c r="AH246" s="20" t="s">
        <v>15</v>
      </c>
    </row>
    <row r="247" spans="2:34" customFormat="1" hidden="1" outlineLevel="1" x14ac:dyDescent="0.25">
      <c r="B247" s="30"/>
      <c r="C247" s="17">
        <v>2025</v>
      </c>
      <c r="D247" s="44">
        <v>2026</v>
      </c>
      <c r="E247" s="44">
        <v>2027</v>
      </c>
      <c r="F247" s="44">
        <v>2028</v>
      </c>
      <c r="G247" s="44">
        <v>2029</v>
      </c>
      <c r="H247" s="44">
        <v>2030</v>
      </c>
      <c r="I247" s="44">
        <v>2031</v>
      </c>
      <c r="J247" s="44">
        <v>2032</v>
      </c>
      <c r="K247" s="44">
        <v>2033</v>
      </c>
      <c r="L247" s="44">
        <v>2034</v>
      </c>
      <c r="M247" s="44">
        <v>2035</v>
      </c>
      <c r="N247" s="44">
        <v>2036</v>
      </c>
      <c r="O247" s="44">
        <v>2037</v>
      </c>
      <c r="P247" s="44">
        <v>2038</v>
      </c>
      <c r="Q247" s="44">
        <v>2039</v>
      </c>
      <c r="R247" s="44">
        <v>2040</v>
      </c>
      <c r="S247" s="44">
        <v>2041</v>
      </c>
      <c r="T247" s="44">
        <v>2042</v>
      </c>
      <c r="U247" s="44">
        <v>2043</v>
      </c>
      <c r="V247" s="44">
        <v>2044</v>
      </c>
      <c r="W247" s="44">
        <v>2045</v>
      </c>
      <c r="X247" s="44">
        <v>2046</v>
      </c>
      <c r="Y247" s="44">
        <v>2047</v>
      </c>
      <c r="Z247" s="44">
        <v>2048</v>
      </c>
      <c r="AA247" s="44">
        <v>2049</v>
      </c>
      <c r="AB247" s="44">
        <v>2050</v>
      </c>
      <c r="AC247" s="44">
        <v>2051</v>
      </c>
      <c r="AD247" s="44">
        <v>2052</v>
      </c>
      <c r="AE247" s="44">
        <v>2053</v>
      </c>
      <c r="AF247" s="44">
        <v>2054</v>
      </c>
      <c r="AH247" s="1"/>
    </row>
    <row r="248" spans="2:34" hidden="1" outlineLevel="1" x14ac:dyDescent="0.25">
      <c r="B248" s="31" t="s">
        <v>144</v>
      </c>
      <c r="C248" s="32">
        <v>0</v>
      </c>
      <c r="D248" s="32">
        <v>0</v>
      </c>
      <c r="E248" s="32">
        <v>8678140.1263548788</v>
      </c>
      <c r="F248" s="32">
        <v>8237611.3694371348</v>
      </c>
      <c r="G248" s="32">
        <v>8237611.3694371348</v>
      </c>
      <c r="H248" s="32">
        <v>9012734.2894371357</v>
      </c>
      <c r="I248" s="32">
        <v>9012734.2894371357</v>
      </c>
      <c r="J248" s="32">
        <v>8552617.6962371375</v>
      </c>
      <c r="K248" s="32">
        <v>8552617.6962371375</v>
      </c>
      <c r="L248" s="32">
        <v>9180639.3762371354</v>
      </c>
      <c r="M248" s="32">
        <v>9180639.3762371354</v>
      </c>
      <c r="N248" s="32">
        <v>9180639.3762371354</v>
      </c>
      <c r="O248" s="32">
        <v>9180639.3762371354</v>
      </c>
      <c r="P248" s="32">
        <v>9180639.3762371354</v>
      </c>
      <c r="Q248" s="32">
        <v>9180639.3762371354</v>
      </c>
      <c r="R248" s="32">
        <v>9180639.3762371354</v>
      </c>
      <c r="S248" s="32">
        <v>9180639.3762371354</v>
      </c>
      <c r="T248" s="32">
        <v>9180639.3762371354</v>
      </c>
      <c r="U248" s="32">
        <v>9180639.3762371354</v>
      </c>
      <c r="V248" s="32">
        <v>9180639.3762371354</v>
      </c>
      <c r="W248" s="32">
        <v>9180639.3762371354</v>
      </c>
      <c r="X248" s="32">
        <v>9180639.3762371354</v>
      </c>
      <c r="Y248" s="32">
        <v>9180639.3762371354</v>
      </c>
      <c r="Z248" s="32">
        <v>9180639.3762371354</v>
      </c>
      <c r="AA248" s="32">
        <v>9180639.3762371354</v>
      </c>
      <c r="AB248" s="32">
        <v>9180639.3762371354</v>
      </c>
      <c r="AC248" s="32">
        <v>9180639.3762371354</v>
      </c>
      <c r="AD248" s="32">
        <v>9180639.3762371354</v>
      </c>
      <c r="AE248" s="32">
        <v>9180639.3762371354</v>
      </c>
      <c r="AF248" s="32">
        <v>9180639.3762371354</v>
      </c>
      <c r="AG248"/>
      <c r="AH248" s="17" t="s">
        <v>279</v>
      </c>
    </row>
    <row r="249" spans="2:34" hidden="1" outlineLevel="1" x14ac:dyDescent="0.25">
      <c r="B249" s="31" t="s">
        <v>145</v>
      </c>
      <c r="C249" s="32">
        <v>0</v>
      </c>
      <c r="D249" s="32">
        <v>0</v>
      </c>
      <c r="E249" s="32">
        <v>7148037.0083669899</v>
      </c>
      <c r="F249" s="32">
        <v>7148037.0083669899</v>
      </c>
      <c r="G249" s="32">
        <v>7148037.0083669899</v>
      </c>
      <c r="H249" s="32">
        <v>7234294.6083669895</v>
      </c>
      <c r="I249" s="32">
        <v>7234294.6083669895</v>
      </c>
      <c r="J249" s="32">
        <v>7234294.6083669895</v>
      </c>
      <c r="K249" s="32">
        <v>7234294.6083669895</v>
      </c>
      <c r="L249" s="32">
        <v>7082106.2166567408</v>
      </c>
      <c r="M249" s="32">
        <v>7082106.2166567408</v>
      </c>
      <c r="N249" s="32">
        <v>7082106.2166567408</v>
      </c>
      <c r="O249" s="32">
        <v>7082106.2166567408</v>
      </c>
      <c r="P249" s="32">
        <v>7070995.9866567403</v>
      </c>
      <c r="Q249" s="32">
        <v>7070995.9866567403</v>
      </c>
      <c r="R249" s="32">
        <v>7414629.3906567395</v>
      </c>
      <c r="S249" s="32">
        <v>7414629.3906567395</v>
      </c>
      <c r="T249" s="32">
        <v>7414629.3906567395</v>
      </c>
      <c r="U249" s="32">
        <v>7414629.3906567395</v>
      </c>
      <c r="V249" s="32">
        <v>7414629.3906567395</v>
      </c>
      <c r="W249" s="32">
        <v>7414629.3906567395</v>
      </c>
      <c r="X249" s="32">
        <v>7414629.3906567395</v>
      </c>
      <c r="Y249" s="32">
        <v>7414629.3906567395</v>
      </c>
      <c r="Z249" s="32">
        <v>7414629.3906567395</v>
      </c>
      <c r="AA249" s="32">
        <v>7414629.3906567395</v>
      </c>
      <c r="AB249" s="32">
        <v>7275034.2137464946</v>
      </c>
      <c r="AC249" s="32">
        <v>7275034.2137464946</v>
      </c>
      <c r="AD249" s="32">
        <v>7275034.2137464946</v>
      </c>
      <c r="AE249" s="32">
        <v>7275034.2137464946</v>
      </c>
      <c r="AF249" s="32">
        <v>7275034.2137464946</v>
      </c>
      <c r="AG249"/>
      <c r="AH249" s="17" t="s">
        <v>279</v>
      </c>
    </row>
    <row r="250" spans="2:34" hidden="1" outlineLevel="1" x14ac:dyDescent="0.25">
      <c r="B250" s="31" t="s">
        <v>244</v>
      </c>
      <c r="C250" s="32">
        <v>0</v>
      </c>
      <c r="D250" s="32">
        <v>0</v>
      </c>
      <c r="E250" s="32">
        <v>10424562.72955735</v>
      </c>
      <c r="F250" s="32">
        <v>14928448.609557347</v>
      </c>
      <c r="G250" s="32">
        <v>14928448.609557347</v>
      </c>
      <c r="H250" s="32">
        <v>16003705.267622186</v>
      </c>
      <c r="I250" s="32">
        <v>16003705.267622186</v>
      </c>
      <c r="J250" s="32">
        <v>15247954.784394085</v>
      </c>
      <c r="K250" s="32">
        <v>15247954.784394085</v>
      </c>
      <c r="L250" s="32">
        <v>15247954.784394085</v>
      </c>
      <c r="M250" s="32">
        <v>15247954.784394085</v>
      </c>
      <c r="N250" s="32">
        <v>15033617.237543011</v>
      </c>
      <c r="O250" s="32">
        <v>15033617.237543011</v>
      </c>
      <c r="P250" s="32">
        <v>14997195.012872687</v>
      </c>
      <c r="Q250" s="32">
        <v>14997195.012872687</v>
      </c>
      <c r="R250" s="32">
        <v>15766985.012872687</v>
      </c>
      <c r="S250" s="32">
        <v>15766985.012872687</v>
      </c>
      <c r="T250" s="32">
        <v>15766985.012872687</v>
      </c>
      <c r="U250" s="32">
        <v>15766985.012872687</v>
      </c>
      <c r="V250" s="32">
        <v>15661982.603749251</v>
      </c>
      <c r="W250" s="32">
        <v>15661982.603749251</v>
      </c>
      <c r="X250" s="32">
        <v>15661982.603749251</v>
      </c>
      <c r="Y250" s="32">
        <v>15661982.603749251</v>
      </c>
      <c r="Z250" s="32">
        <v>15661982.603749251</v>
      </c>
      <c r="AA250" s="32">
        <v>15661982.603749251</v>
      </c>
      <c r="AB250" s="32">
        <v>15661982.603749251</v>
      </c>
      <c r="AC250" s="32">
        <v>15661982.603749251</v>
      </c>
      <c r="AD250" s="32">
        <v>15661982.603749251</v>
      </c>
      <c r="AE250" s="32">
        <v>15661982.603749251</v>
      </c>
      <c r="AF250" s="32">
        <v>15661982.603749251</v>
      </c>
      <c r="AG250"/>
      <c r="AH250" s="17" t="s">
        <v>279</v>
      </c>
    </row>
    <row r="251" spans="2:34" hidden="1" outlineLevel="1" x14ac:dyDescent="0.25">
      <c r="B251" s="31" t="s">
        <v>147</v>
      </c>
      <c r="C251" s="32">
        <v>0</v>
      </c>
      <c r="D251" s="32">
        <v>0</v>
      </c>
      <c r="E251" s="32">
        <v>0</v>
      </c>
      <c r="F251" s="32">
        <v>0</v>
      </c>
      <c r="G251" s="32">
        <v>0</v>
      </c>
      <c r="H251" s="32">
        <v>0</v>
      </c>
      <c r="I251" s="32">
        <v>0</v>
      </c>
      <c r="J251" s="32">
        <v>0</v>
      </c>
      <c r="K251" s="32">
        <v>0</v>
      </c>
      <c r="L251" s="32">
        <v>0</v>
      </c>
      <c r="M251" s="32">
        <v>0</v>
      </c>
      <c r="N251" s="32">
        <v>0</v>
      </c>
      <c r="O251" s="32">
        <v>0</v>
      </c>
      <c r="P251" s="32">
        <v>0</v>
      </c>
      <c r="Q251" s="32">
        <v>0</v>
      </c>
      <c r="R251" s="32">
        <v>0</v>
      </c>
      <c r="S251" s="32">
        <v>0</v>
      </c>
      <c r="T251" s="32">
        <v>0</v>
      </c>
      <c r="U251" s="32">
        <v>0</v>
      </c>
      <c r="V251" s="32">
        <v>0</v>
      </c>
      <c r="W251" s="32">
        <v>0</v>
      </c>
      <c r="X251" s="32">
        <v>0</v>
      </c>
      <c r="Y251" s="32">
        <v>0</v>
      </c>
      <c r="Z251" s="32">
        <v>0</v>
      </c>
      <c r="AA251" s="32">
        <v>0</v>
      </c>
      <c r="AB251" s="32">
        <v>0</v>
      </c>
      <c r="AC251" s="32">
        <v>0</v>
      </c>
      <c r="AD251" s="32">
        <v>0</v>
      </c>
      <c r="AE251" s="32">
        <v>0</v>
      </c>
      <c r="AF251" s="32">
        <v>0</v>
      </c>
      <c r="AG251"/>
      <c r="AH251" s="17" t="s">
        <v>279</v>
      </c>
    </row>
    <row r="252" spans="2:34" hidden="1" outlineLevel="1" x14ac:dyDescent="0.25">
      <c r="B252" s="31" t="s">
        <v>245</v>
      </c>
      <c r="C252" s="32">
        <v>0</v>
      </c>
      <c r="D252" s="32">
        <v>0</v>
      </c>
      <c r="E252" s="32">
        <v>1207501.7119999998</v>
      </c>
      <c r="F252" s="32">
        <v>1207501.7119999998</v>
      </c>
      <c r="G252" s="32">
        <v>1207501.7119999998</v>
      </c>
      <c r="H252" s="32">
        <v>3455696.2320000003</v>
      </c>
      <c r="I252" s="32">
        <v>3455696.2320000003</v>
      </c>
      <c r="J252" s="32">
        <v>3455696.2320000003</v>
      </c>
      <c r="K252" s="32">
        <v>3455696.2320000003</v>
      </c>
      <c r="L252" s="32">
        <v>3455696.2320000003</v>
      </c>
      <c r="M252" s="32">
        <v>3455696.2320000003</v>
      </c>
      <c r="N252" s="32">
        <v>3395321.1464</v>
      </c>
      <c r="O252" s="32">
        <v>3395321.1464</v>
      </c>
      <c r="P252" s="32">
        <v>3395321.1464</v>
      </c>
      <c r="Q252" s="32">
        <v>3395321.1464</v>
      </c>
      <c r="R252" s="32">
        <v>8011631.8983999994</v>
      </c>
      <c r="S252" s="32">
        <v>8011631.8983999994</v>
      </c>
      <c r="T252" s="32">
        <v>8011631.8983999994</v>
      </c>
      <c r="U252" s="32">
        <v>8011631.8983999994</v>
      </c>
      <c r="V252" s="32">
        <v>8011631.8983999994</v>
      </c>
      <c r="W252" s="32">
        <v>8011631.8983999994</v>
      </c>
      <c r="X252" s="32">
        <v>8011631.8983999994</v>
      </c>
      <c r="Y252" s="32">
        <v>8011631.8983999994</v>
      </c>
      <c r="Z252" s="32">
        <v>8011631.8983999994</v>
      </c>
      <c r="AA252" s="32">
        <v>8011631.8983999994</v>
      </c>
      <c r="AB252" s="32">
        <v>8011631.8983999994</v>
      </c>
      <c r="AC252" s="32">
        <v>8011631.8983999994</v>
      </c>
      <c r="AD252" s="32">
        <v>8011631.8983999994</v>
      </c>
      <c r="AE252" s="32">
        <v>8011631.8983999994</v>
      </c>
      <c r="AF252" s="32">
        <v>8011631.8983999994</v>
      </c>
      <c r="AG252"/>
      <c r="AH252" s="17" t="s">
        <v>279</v>
      </c>
    </row>
    <row r="253" spans="2:34" hidden="1" outlineLevel="1" x14ac:dyDescent="0.25">
      <c r="B253" s="31" t="s">
        <v>149</v>
      </c>
      <c r="C253" s="32">
        <v>0</v>
      </c>
      <c r="D253" s="32">
        <v>0</v>
      </c>
      <c r="E253" s="32">
        <v>27458241.576279219</v>
      </c>
      <c r="F253" s="32">
        <v>31521598.699361473</v>
      </c>
      <c r="G253" s="32">
        <v>31521598.699361473</v>
      </c>
      <c r="H253" s="32">
        <v>35706430.397426315</v>
      </c>
      <c r="I253" s="32">
        <v>35706430.397426315</v>
      </c>
      <c r="J253" s="32">
        <v>34490563.320998214</v>
      </c>
      <c r="K253" s="32">
        <v>34490563.320998214</v>
      </c>
      <c r="L253" s="32">
        <v>34966396.609287962</v>
      </c>
      <c r="M253" s="32">
        <v>34966396.609287962</v>
      </c>
      <c r="N253" s="32">
        <v>34691683.976836883</v>
      </c>
      <c r="O253" s="32">
        <v>34691683.976836883</v>
      </c>
      <c r="P253" s="32">
        <v>34644151.522166558</v>
      </c>
      <c r="Q253" s="32">
        <v>34644151.522166558</v>
      </c>
      <c r="R253" s="32">
        <v>40373885.678166561</v>
      </c>
      <c r="S253" s="32">
        <v>40373885.678166561</v>
      </c>
      <c r="T253" s="32">
        <v>40373885.678166561</v>
      </c>
      <c r="U253" s="32">
        <v>40373885.678166561</v>
      </c>
      <c r="V253" s="32">
        <v>40268883.269043125</v>
      </c>
      <c r="W253" s="32">
        <v>40268883.269043125</v>
      </c>
      <c r="X253" s="32">
        <v>40268883.269043125</v>
      </c>
      <c r="Y253" s="32">
        <v>40268883.269043125</v>
      </c>
      <c r="Z253" s="32">
        <v>40268883.269043125</v>
      </c>
      <c r="AA253" s="32">
        <v>40268883.269043125</v>
      </c>
      <c r="AB253" s="32">
        <v>40129288.092132881</v>
      </c>
      <c r="AC253" s="32">
        <v>40129288.092132881</v>
      </c>
      <c r="AD253" s="32">
        <v>40129288.092132881</v>
      </c>
      <c r="AE253" s="32">
        <v>40129288.092132881</v>
      </c>
      <c r="AF253" s="32">
        <v>40129288.092132881</v>
      </c>
      <c r="AG253"/>
      <c r="AH253" s="17" t="s">
        <v>279</v>
      </c>
    </row>
    <row r="254" spans="2:34" hidden="1" outlineLevel="1" x14ac:dyDescent="0.25"/>
    <row r="255" spans="2:34" hidden="1" outlineLevel="1" x14ac:dyDescent="0.25"/>
    <row r="256" spans="2:34" ht="15.75" collapsed="1" thickTop="1" x14ac:dyDescent="0.25"/>
    <row r="257" spans="2:35" ht="20.25" thickBot="1" x14ac:dyDescent="0.35">
      <c r="B257" s="18" t="s">
        <v>286</v>
      </c>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row>
    <row r="258" spans="2:35" ht="18" hidden="1" outlineLevel="1" thickTop="1" thickBot="1" x14ac:dyDescent="0.3">
      <c r="B258" s="26" t="s">
        <v>277</v>
      </c>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19"/>
      <c r="AH258" s="19"/>
    </row>
    <row r="259" spans="2:35" ht="16.5" hidden="1" outlineLevel="1" thickTop="1" thickBot="1" x14ac:dyDescent="0.3">
      <c r="B259" s="28" t="s">
        <v>278</v>
      </c>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0"/>
      <c r="AH259" s="20" t="s">
        <v>15</v>
      </c>
    </row>
    <row r="260" spans="2:35" customFormat="1" hidden="1" outlineLevel="1" x14ac:dyDescent="0.25">
      <c r="B260" s="30"/>
      <c r="C260" s="17">
        <v>2025</v>
      </c>
      <c r="D260" s="44">
        <v>2026</v>
      </c>
      <c r="E260" s="44">
        <v>2027</v>
      </c>
      <c r="F260" s="44">
        <v>2028</v>
      </c>
      <c r="G260" s="44">
        <v>2029</v>
      </c>
      <c r="H260" s="44">
        <v>2030</v>
      </c>
      <c r="I260" s="44">
        <v>2031</v>
      </c>
      <c r="J260" s="44">
        <v>2032</v>
      </c>
      <c r="K260" s="44">
        <v>2033</v>
      </c>
      <c r="L260" s="44">
        <v>2034</v>
      </c>
      <c r="M260" s="44">
        <v>2035</v>
      </c>
      <c r="N260" s="44">
        <v>2036</v>
      </c>
      <c r="O260" s="44">
        <v>2037</v>
      </c>
      <c r="P260" s="44">
        <v>2038</v>
      </c>
      <c r="Q260" s="44">
        <v>2039</v>
      </c>
      <c r="R260" s="44">
        <v>2040</v>
      </c>
      <c r="S260" s="44">
        <v>2041</v>
      </c>
      <c r="T260" s="44">
        <v>2042</v>
      </c>
      <c r="U260" s="44">
        <v>2043</v>
      </c>
      <c r="V260" s="44">
        <v>2044</v>
      </c>
      <c r="W260" s="44">
        <v>2045</v>
      </c>
      <c r="X260" s="44">
        <v>2046</v>
      </c>
      <c r="Y260" s="44">
        <v>2047</v>
      </c>
      <c r="Z260" s="44">
        <v>2048</v>
      </c>
      <c r="AA260" s="44">
        <v>2049</v>
      </c>
      <c r="AB260" s="44">
        <v>2050</v>
      </c>
      <c r="AC260" s="44">
        <v>2051</v>
      </c>
      <c r="AD260" s="44">
        <v>2052</v>
      </c>
      <c r="AE260" s="44">
        <v>2053</v>
      </c>
      <c r="AF260" s="44">
        <v>2054</v>
      </c>
    </row>
    <row r="261" spans="2:35" hidden="1" outlineLevel="1" x14ac:dyDescent="0.25">
      <c r="B261" s="31" t="s">
        <v>144</v>
      </c>
      <c r="C261" s="32">
        <v>41100367.759866863</v>
      </c>
      <c r="D261" s="32">
        <v>41100367.759866863</v>
      </c>
      <c r="E261" s="32">
        <v>0</v>
      </c>
      <c r="F261" s="32">
        <v>0</v>
      </c>
      <c r="G261" s="32">
        <v>0</v>
      </c>
      <c r="H261" s="32">
        <v>0</v>
      </c>
      <c r="I261" s="32">
        <v>0</v>
      </c>
      <c r="J261" s="32">
        <v>0</v>
      </c>
      <c r="K261" s="32">
        <v>0</v>
      </c>
      <c r="L261" s="32">
        <v>0</v>
      </c>
      <c r="M261" s="32">
        <v>0</v>
      </c>
      <c r="N261" s="32">
        <v>0</v>
      </c>
      <c r="O261" s="32">
        <v>0</v>
      </c>
      <c r="P261" s="32">
        <v>0</v>
      </c>
      <c r="Q261" s="32">
        <v>0</v>
      </c>
      <c r="R261" s="32">
        <v>0</v>
      </c>
      <c r="S261" s="32">
        <v>0</v>
      </c>
      <c r="T261" s="32">
        <v>0</v>
      </c>
      <c r="U261" s="32">
        <v>0</v>
      </c>
      <c r="V261" s="32">
        <v>0</v>
      </c>
      <c r="W261" s="32">
        <v>0</v>
      </c>
      <c r="X261" s="32">
        <v>0</v>
      </c>
      <c r="Y261" s="32">
        <v>0</v>
      </c>
      <c r="Z261" s="32">
        <v>0</v>
      </c>
      <c r="AA261" s="32">
        <v>0</v>
      </c>
      <c r="AB261" s="32">
        <v>0</v>
      </c>
      <c r="AC261" s="32">
        <v>0</v>
      </c>
      <c r="AD261" s="32">
        <v>0</v>
      </c>
      <c r="AE261" s="32">
        <v>0</v>
      </c>
      <c r="AF261" s="32">
        <v>0</v>
      </c>
      <c r="AG261"/>
      <c r="AH261" s="17" t="s">
        <v>279</v>
      </c>
    </row>
    <row r="262" spans="2:35" hidden="1" outlineLevel="1" x14ac:dyDescent="0.25">
      <c r="B262" s="31" t="s">
        <v>145</v>
      </c>
      <c r="C262" s="32">
        <v>15277743.907373067</v>
      </c>
      <c r="D262" s="32">
        <v>15770486.74488374</v>
      </c>
      <c r="E262" s="32">
        <v>0</v>
      </c>
      <c r="F262" s="32">
        <v>0</v>
      </c>
      <c r="G262" s="32">
        <v>0</v>
      </c>
      <c r="H262" s="32">
        <v>0</v>
      </c>
      <c r="I262" s="32">
        <v>0</v>
      </c>
      <c r="J262" s="32">
        <v>0</v>
      </c>
      <c r="K262" s="32">
        <v>0</v>
      </c>
      <c r="L262" s="32">
        <v>0</v>
      </c>
      <c r="M262" s="32">
        <v>0</v>
      </c>
      <c r="N262" s="32">
        <v>0</v>
      </c>
      <c r="O262" s="32">
        <v>0</v>
      </c>
      <c r="P262" s="32">
        <v>0</v>
      </c>
      <c r="Q262" s="32">
        <v>0</v>
      </c>
      <c r="R262" s="32">
        <v>0</v>
      </c>
      <c r="S262" s="32">
        <v>0</v>
      </c>
      <c r="T262" s="32">
        <v>0</v>
      </c>
      <c r="U262" s="32">
        <v>0</v>
      </c>
      <c r="V262" s="32">
        <v>0</v>
      </c>
      <c r="W262" s="32">
        <v>0</v>
      </c>
      <c r="X262" s="32">
        <v>0</v>
      </c>
      <c r="Y262" s="32">
        <v>0</v>
      </c>
      <c r="Z262" s="32">
        <v>0</v>
      </c>
      <c r="AA262" s="32">
        <v>0</v>
      </c>
      <c r="AB262" s="32">
        <v>0</v>
      </c>
      <c r="AC262" s="32">
        <v>0</v>
      </c>
      <c r="AD262" s="32">
        <v>0</v>
      </c>
      <c r="AE262" s="32">
        <v>0</v>
      </c>
      <c r="AF262" s="32">
        <v>0</v>
      </c>
      <c r="AG262"/>
      <c r="AH262" s="17" t="s">
        <v>279</v>
      </c>
    </row>
    <row r="263" spans="2:35" hidden="1" outlineLevel="1" x14ac:dyDescent="0.25">
      <c r="B263" s="31" t="s">
        <v>244</v>
      </c>
      <c r="C263" s="32">
        <v>74467327.643795222</v>
      </c>
      <c r="D263" s="32">
        <v>74467327.643795222</v>
      </c>
      <c r="E263" s="32">
        <v>0</v>
      </c>
      <c r="F263" s="32">
        <v>0</v>
      </c>
      <c r="G263" s="32">
        <v>0</v>
      </c>
      <c r="H263" s="32">
        <v>0</v>
      </c>
      <c r="I263" s="32">
        <v>0</v>
      </c>
      <c r="J263" s="32">
        <v>0</v>
      </c>
      <c r="K263" s="32">
        <v>0</v>
      </c>
      <c r="L263" s="32">
        <v>0</v>
      </c>
      <c r="M263" s="32">
        <v>0</v>
      </c>
      <c r="N263" s="32">
        <v>0</v>
      </c>
      <c r="O263" s="32">
        <v>0</v>
      </c>
      <c r="P263" s="32">
        <v>0</v>
      </c>
      <c r="Q263" s="32">
        <v>0</v>
      </c>
      <c r="R263" s="32">
        <v>0</v>
      </c>
      <c r="S263" s="32">
        <v>0</v>
      </c>
      <c r="T263" s="32">
        <v>0</v>
      </c>
      <c r="U263" s="32">
        <v>0</v>
      </c>
      <c r="V263" s="32">
        <v>0</v>
      </c>
      <c r="W263" s="32">
        <v>0</v>
      </c>
      <c r="X263" s="32">
        <v>0</v>
      </c>
      <c r="Y263" s="32">
        <v>0</v>
      </c>
      <c r="Z263" s="32">
        <v>0</v>
      </c>
      <c r="AA263" s="32">
        <v>0</v>
      </c>
      <c r="AB263" s="32">
        <v>0</v>
      </c>
      <c r="AC263" s="32">
        <v>0</v>
      </c>
      <c r="AD263" s="32">
        <v>0</v>
      </c>
      <c r="AE263" s="32">
        <v>0</v>
      </c>
      <c r="AF263" s="32">
        <v>0</v>
      </c>
      <c r="AG263"/>
      <c r="AH263" s="17" t="s">
        <v>279</v>
      </c>
    </row>
    <row r="264" spans="2:35" hidden="1" outlineLevel="1" x14ac:dyDescent="0.25">
      <c r="B264" s="31" t="s">
        <v>147</v>
      </c>
      <c r="C264" s="32">
        <v>0</v>
      </c>
      <c r="D264" s="32">
        <v>0</v>
      </c>
      <c r="E264" s="32">
        <v>0</v>
      </c>
      <c r="F264" s="32">
        <v>0</v>
      </c>
      <c r="G264" s="32">
        <v>0</v>
      </c>
      <c r="H264" s="32">
        <v>0</v>
      </c>
      <c r="I264" s="32">
        <v>0</v>
      </c>
      <c r="J264" s="32">
        <v>0</v>
      </c>
      <c r="K264" s="32">
        <v>0</v>
      </c>
      <c r="L264" s="32">
        <v>0</v>
      </c>
      <c r="M264" s="32">
        <v>0</v>
      </c>
      <c r="N264" s="32">
        <v>0</v>
      </c>
      <c r="O264" s="32">
        <v>0</v>
      </c>
      <c r="P264" s="32">
        <v>0</v>
      </c>
      <c r="Q264" s="32">
        <v>0</v>
      </c>
      <c r="R264" s="32">
        <v>0</v>
      </c>
      <c r="S264" s="32">
        <v>0</v>
      </c>
      <c r="T264" s="32">
        <v>0</v>
      </c>
      <c r="U264" s="32">
        <v>0</v>
      </c>
      <c r="V264" s="32">
        <v>0</v>
      </c>
      <c r="W264" s="32">
        <v>0</v>
      </c>
      <c r="X264" s="32">
        <v>0</v>
      </c>
      <c r="Y264" s="32">
        <v>0</v>
      </c>
      <c r="Z264" s="32">
        <v>0</v>
      </c>
      <c r="AA264" s="32">
        <v>0</v>
      </c>
      <c r="AB264" s="32">
        <v>0</v>
      </c>
      <c r="AC264" s="32">
        <v>0</v>
      </c>
      <c r="AD264" s="32">
        <v>0</v>
      </c>
      <c r="AE264" s="32">
        <v>0</v>
      </c>
      <c r="AF264" s="32">
        <v>0</v>
      </c>
      <c r="AG264"/>
      <c r="AH264" s="17" t="s">
        <v>279</v>
      </c>
    </row>
    <row r="265" spans="2:35" hidden="1" outlineLevel="1" x14ac:dyDescent="0.25">
      <c r="B265" s="31" t="s">
        <v>245</v>
      </c>
      <c r="C265" s="32">
        <v>5531260.8599999994</v>
      </c>
      <c r="D265" s="32">
        <v>5531260.8599999994</v>
      </c>
      <c r="E265" s="32">
        <v>0</v>
      </c>
      <c r="F265" s="32">
        <v>0</v>
      </c>
      <c r="G265" s="32">
        <v>0</v>
      </c>
      <c r="H265" s="32">
        <v>0</v>
      </c>
      <c r="I265" s="32">
        <v>0</v>
      </c>
      <c r="J265" s="32">
        <v>0</v>
      </c>
      <c r="K265" s="32">
        <v>0</v>
      </c>
      <c r="L265" s="32">
        <v>0</v>
      </c>
      <c r="M265" s="32">
        <v>0</v>
      </c>
      <c r="N265" s="32">
        <v>0</v>
      </c>
      <c r="O265" s="32">
        <v>0</v>
      </c>
      <c r="P265" s="32">
        <v>0</v>
      </c>
      <c r="Q265" s="32">
        <v>0</v>
      </c>
      <c r="R265" s="32">
        <v>0</v>
      </c>
      <c r="S265" s="32">
        <v>0</v>
      </c>
      <c r="T265" s="32">
        <v>0</v>
      </c>
      <c r="U265" s="32">
        <v>0</v>
      </c>
      <c r="V265" s="32">
        <v>0</v>
      </c>
      <c r="W265" s="32">
        <v>0</v>
      </c>
      <c r="X265" s="32">
        <v>0</v>
      </c>
      <c r="Y265" s="32">
        <v>0</v>
      </c>
      <c r="Z265" s="32">
        <v>0</v>
      </c>
      <c r="AA265" s="32">
        <v>0</v>
      </c>
      <c r="AB265" s="32">
        <v>0</v>
      </c>
      <c r="AC265" s="32">
        <v>0</v>
      </c>
      <c r="AD265" s="32">
        <v>0</v>
      </c>
      <c r="AE265" s="32">
        <v>0</v>
      </c>
      <c r="AF265" s="32">
        <v>0</v>
      </c>
      <c r="AG265"/>
      <c r="AH265" s="17" t="s">
        <v>279</v>
      </c>
    </row>
    <row r="266" spans="2:35" hidden="1" outlineLevel="1" x14ac:dyDescent="0.25">
      <c r="B266" s="31" t="s">
        <v>149</v>
      </c>
      <c r="C266" s="32">
        <v>136376700.17103517</v>
      </c>
      <c r="D266" s="32">
        <v>136869443.00854582</v>
      </c>
      <c r="E266" s="32">
        <v>0</v>
      </c>
      <c r="F266" s="32">
        <v>0</v>
      </c>
      <c r="G266" s="32">
        <v>0</v>
      </c>
      <c r="H266" s="32">
        <v>0</v>
      </c>
      <c r="I266" s="32">
        <v>0</v>
      </c>
      <c r="J266" s="32">
        <v>0</v>
      </c>
      <c r="K266" s="32">
        <v>0</v>
      </c>
      <c r="L266" s="32">
        <v>0</v>
      </c>
      <c r="M266" s="32">
        <v>0</v>
      </c>
      <c r="N266" s="32">
        <v>0</v>
      </c>
      <c r="O266" s="32">
        <v>0</v>
      </c>
      <c r="P266" s="32">
        <v>0</v>
      </c>
      <c r="Q266" s="32">
        <v>0</v>
      </c>
      <c r="R266" s="32">
        <v>0</v>
      </c>
      <c r="S266" s="32">
        <v>0</v>
      </c>
      <c r="T266" s="32">
        <v>0</v>
      </c>
      <c r="U266" s="32">
        <v>0</v>
      </c>
      <c r="V266" s="32">
        <v>0</v>
      </c>
      <c r="W266" s="32">
        <v>0</v>
      </c>
      <c r="X266" s="32">
        <v>0</v>
      </c>
      <c r="Y266" s="32">
        <v>0</v>
      </c>
      <c r="Z266" s="32">
        <v>0</v>
      </c>
      <c r="AA266" s="32">
        <v>0</v>
      </c>
      <c r="AB266" s="32">
        <v>0</v>
      </c>
      <c r="AC266" s="32">
        <v>0</v>
      </c>
      <c r="AD266" s="32">
        <v>0</v>
      </c>
      <c r="AE266" s="32">
        <v>0</v>
      </c>
      <c r="AF266" s="32">
        <v>0</v>
      </c>
      <c r="AG266"/>
      <c r="AH266" s="17" t="s">
        <v>279</v>
      </c>
      <c r="AI266"/>
    </row>
    <row r="267" spans="2:35" hidden="1" outlineLevel="1" x14ac:dyDescent="0.25">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c r="AH267"/>
      <c r="AI267"/>
    </row>
    <row r="268" spans="2:35" customFormat="1" ht="15.75" hidden="1" outlineLevel="1" thickBot="1" x14ac:dyDescent="0.3">
      <c r="B268" s="28" t="s">
        <v>280</v>
      </c>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0"/>
      <c r="AH268" s="20" t="s">
        <v>15</v>
      </c>
    </row>
    <row r="269" spans="2:35" customFormat="1" hidden="1" outlineLevel="1" x14ac:dyDescent="0.25">
      <c r="B269" s="30"/>
      <c r="C269" s="17">
        <v>2025</v>
      </c>
      <c r="D269" s="44">
        <v>2026</v>
      </c>
      <c r="E269" s="44">
        <v>2027</v>
      </c>
      <c r="F269" s="44">
        <v>2028</v>
      </c>
      <c r="G269" s="44">
        <v>2029</v>
      </c>
      <c r="H269" s="44">
        <v>2030</v>
      </c>
      <c r="I269" s="44">
        <v>2031</v>
      </c>
      <c r="J269" s="44">
        <v>2032</v>
      </c>
      <c r="K269" s="44">
        <v>2033</v>
      </c>
      <c r="L269" s="44">
        <v>2034</v>
      </c>
      <c r="M269" s="44">
        <v>2035</v>
      </c>
      <c r="N269" s="44">
        <v>2036</v>
      </c>
      <c r="O269" s="44">
        <v>2037</v>
      </c>
      <c r="P269" s="44">
        <v>2038</v>
      </c>
      <c r="Q269" s="44">
        <v>2039</v>
      </c>
      <c r="R269" s="44">
        <v>2040</v>
      </c>
      <c r="S269" s="44">
        <v>2041</v>
      </c>
      <c r="T269" s="44">
        <v>2042</v>
      </c>
      <c r="U269" s="44">
        <v>2043</v>
      </c>
      <c r="V269" s="44">
        <v>2044</v>
      </c>
      <c r="W269" s="44">
        <v>2045</v>
      </c>
      <c r="X269" s="44">
        <v>2046</v>
      </c>
      <c r="Y269" s="44">
        <v>2047</v>
      </c>
      <c r="Z269" s="44">
        <v>2048</v>
      </c>
      <c r="AA269" s="44">
        <v>2049</v>
      </c>
      <c r="AB269" s="44">
        <v>2050</v>
      </c>
      <c r="AC269" s="44">
        <v>2051</v>
      </c>
      <c r="AD269" s="44">
        <v>2052</v>
      </c>
      <c r="AE269" s="44">
        <v>2053</v>
      </c>
      <c r="AF269" s="44">
        <v>2054</v>
      </c>
    </row>
    <row r="270" spans="2:35" hidden="1" outlineLevel="1" x14ac:dyDescent="0.25">
      <c r="B270" s="31" t="s">
        <v>144</v>
      </c>
      <c r="C270" s="32">
        <v>0</v>
      </c>
      <c r="D270" s="32">
        <v>0</v>
      </c>
      <c r="E270" s="32">
        <v>41100367.759866863</v>
      </c>
      <c r="F270" s="32">
        <v>39612639.320832737</v>
      </c>
      <c r="G270" s="32">
        <v>39612639.320832737</v>
      </c>
      <c r="H270" s="32">
        <v>39763990.663512737</v>
      </c>
      <c r="I270" s="32">
        <v>39763990.663512737</v>
      </c>
      <c r="J270" s="32">
        <v>38704492.561179683</v>
      </c>
      <c r="K270" s="32">
        <v>38704492.561179683</v>
      </c>
      <c r="L270" s="32">
        <v>38772187.839759685</v>
      </c>
      <c r="M270" s="32">
        <v>38772187.839759685</v>
      </c>
      <c r="N270" s="32">
        <v>38772187.839759685</v>
      </c>
      <c r="O270" s="32">
        <v>38772187.839759685</v>
      </c>
      <c r="P270" s="32">
        <v>38772187.839759685</v>
      </c>
      <c r="Q270" s="32">
        <v>38772187.839759685</v>
      </c>
      <c r="R270" s="32">
        <v>38772187.839759685</v>
      </c>
      <c r="S270" s="32">
        <v>38772187.839759685</v>
      </c>
      <c r="T270" s="32">
        <v>38772187.839759685</v>
      </c>
      <c r="U270" s="32">
        <v>38772187.839759685</v>
      </c>
      <c r="V270" s="32">
        <v>38772187.839759685</v>
      </c>
      <c r="W270" s="32">
        <v>38772187.839759685</v>
      </c>
      <c r="X270" s="32">
        <v>38772187.839759685</v>
      </c>
      <c r="Y270" s="32">
        <v>38772187.839759685</v>
      </c>
      <c r="Z270" s="32">
        <v>38772187.839759685</v>
      </c>
      <c r="AA270" s="32">
        <v>38772187.839759685</v>
      </c>
      <c r="AB270" s="32">
        <v>38772187.839759685</v>
      </c>
      <c r="AC270" s="32">
        <v>38772187.839759685</v>
      </c>
      <c r="AD270" s="32">
        <v>38772187.839759685</v>
      </c>
      <c r="AE270" s="32">
        <v>38772187.839759685</v>
      </c>
      <c r="AF270" s="32">
        <v>38772187.839759685</v>
      </c>
      <c r="AG270"/>
      <c r="AH270" s="17" t="s">
        <v>279</v>
      </c>
    </row>
    <row r="271" spans="2:35" hidden="1" outlineLevel="1" x14ac:dyDescent="0.25">
      <c r="B271" s="31" t="s">
        <v>145</v>
      </c>
      <c r="C271" s="32">
        <v>0</v>
      </c>
      <c r="D271" s="32">
        <v>0</v>
      </c>
      <c r="E271" s="32">
        <v>15770486.74488374</v>
      </c>
      <c r="F271" s="32">
        <v>15770486.74488374</v>
      </c>
      <c r="G271" s="32">
        <v>15770486.74488374</v>
      </c>
      <c r="H271" s="32">
        <v>15787184.845623737</v>
      </c>
      <c r="I271" s="32">
        <v>15787184.845623737</v>
      </c>
      <c r="J271" s="32">
        <v>15787184.845623737</v>
      </c>
      <c r="K271" s="32">
        <v>15787184.845623737</v>
      </c>
      <c r="L271" s="32">
        <v>15390568.910004416</v>
      </c>
      <c r="M271" s="32">
        <v>15390568.910004416</v>
      </c>
      <c r="N271" s="32">
        <v>15390568.910004416</v>
      </c>
      <c r="O271" s="32">
        <v>15390568.910004416</v>
      </c>
      <c r="P271" s="32">
        <v>15364645.040004415</v>
      </c>
      <c r="Q271" s="32">
        <v>15364645.040004415</v>
      </c>
      <c r="R271" s="32">
        <v>15384699.734404417</v>
      </c>
      <c r="S271" s="32">
        <v>15384699.734404417</v>
      </c>
      <c r="T271" s="32">
        <v>15384699.734404417</v>
      </c>
      <c r="U271" s="32">
        <v>15384699.734404417</v>
      </c>
      <c r="V271" s="32">
        <v>15384699.734404417</v>
      </c>
      <c r="W271" s="32">
        <v>15384699.734404417</v>
      </c>
      <c r="X271" s="32">
        <v>15384699.734404417</v>
      </c>
      <c r="Y271" s="32">
        <v>15384699.734404417</v>
      </c>
      <c r="Z271" s="32">
        <v>15384699.734404417</v>
      </c>
      <c r="AA271" s="32">
        <v>15384699.734404417</v>
      </c>
      <c r="AB271" s="32">
        <v>14843250.017475424</v>
      </c>
      <c r="AC271" s="32">
        <v>14843250.017475424</v>
      </c>
      <c r="AD271" s="32">
        <v>14843250.017475424</v>
      </c>
      <c r="AE271" s="32">
        <v>14843250.017475424</v>
      </c>
      <c r="AF271" s="32">
        <v>14843250.017475424</v>
      </c>
      <c r="AG271"/>
      <c r="AH271" s="17" t="s">
        <v>279</v>
      </c>
    </row>
    <row r="272" spans="2:35" hidden="1" outlineLevel="1" x14ac:dyDescent="0.25">
      <c r="B272" s="31" t="s">
        <v>244</v>
      </c>
      <c r="C272" s="32">
        <v>0</v>
      </c>
      <c r="D272" s="32">
        <v>0</v>
      </c>
      <c r="E272" s="32">
        <v>74467327.643795222</v>
      </c>
      <c r="F272" s="32">
        <v>87649721.664786637</v>
      </c>
      <c r="G272" s="32">
        <v>87649721.664786637</v>
      </c>
      <c r="H272" s="32">
        <v>88236897.776487172</v>
      </c>
      <c r="I272" s="32">
        <v>88236897.776487172</v>
      </c>
      <c r="J272" s="32">
        <v>80002966.613187522</v>
      </c>
      <c r="K272" s="32">
        <v>80002966.613187522</v>
      </c>
      <c r="L272" s="32">
        <v>80002966.613187522</v>
      </c>
      <c r="M272" s="32">
        <v>80002966.613187522</v>
      </c>
      <c r="N272" s="32">
        <v>79425262.459042355</v>
      </c>
      <c r="O272" s="32">
        <v>79425262.459042355</v>
      </c>
      <c r="P272" s="32">
        <v>79425262.459042355</v>
      </c>
      <c r="Q272" s="32">
        <v>79425262.459042355</v>
      </c>
      <c r="R272" s="32">
        <v>82311974.959042355</v>
      </c>
      <c r="S272" s="32">
        <v>82311974.959042355</v>
      </c>
      <c r="T272" s="32">
        <v>82311974.959042355</v>
      </c>
      <c r="U272" s="32">
        <v>82311974.959042355</v>
      </c>
      <c r="V272" s="32">
        <v>81863454.238701224</v>
      </c>
      <c r="W272" s="32">
        <v>81863454.238701224</v>
      </c>
      <c r="X272" s="32">
        <v>81863454.238701224</v>
      </c>
      <c r="Y272" s="32">
        <v>81863454.238701224</v>
      </c>
      <c r="Z272" s="32">
        <v>81863454.238701224</v>
      </c>
      <c r="AA272" s="32">
        <v>81863454.238701224</v>
      </c>
      <c r="AB272" s="32">
        <v>81863454.238701224</v>
      </c>
      <c r="AC272" s="32">
        <v>81863454.238701224</v>
      </c>
      <c r="AD272" s="32">
        <v>81863454.238701224</v>
      </c>
      <c r="AE272" s="32">
        <v>81863454.238701224</v>
      </c>
      <c r="AF272" s="32">
        <v>81863454.238701224</v>
      </c>
      <c r="AG272"/>
      <c r="AH272" s="17" t="s">
        <v>279</v>
      </c>
    </row>
    <row r="273" spans="2:34" hidden="1" outlineLevel="1" x14ac:dyDescent="0.25">
      <c r="B273" s="31" t="s">
        <v>147</v>
      </c>
      <c r="C273" s="32">
        <v>0</v>
      </c>
      <c r="D273" s="32">
        <v>0</v>
      </c>
      <c r="E273" s="32">
        <v>0</v>
      </c>
      <c r="F273" s="32">
        <v>0</v>
      </c>
      <c r="G273" s="32">
        <v>0</v>
      </c>
      <c r="H273" s="32">
        <v>0</v>
      </c>
      <c r="I273" s="32">
        <v>0</v>
      </c>
      <c r="J273" s="32">
        <v>0</v>
      </c>
      <c r="K273" s="32">
        <v>0</v>
      </c>
      <c r="L273" s="32">
        <v>0</v>
      </c>
      <c r="M273" s="32">
        <v>0</v>
      </c>
      <c r="N273" s="32">
        <v>0</v>
      </c>
      <c r="O273" s="32">
        <v>0</v>
      </c>
      <c r="P273" s="32">
        <v>0</v>
      </c>
      <c r="Q273" s="32">
        <v>0</v>
      </c>
      <c r="R273" s="32">
        <v>0</v>
      </c>
      <c r="S273" s="32">
        <v>0</v>
      </c>
      <c r="T273" s="32">
        <v>0</v>
      </c>
      <c r="U273" s="32">
        <v>0</v>
      </c>
      <c r="V273" s="32">
        <v>0</v>
      </c>
      <c r="W273" s="32">
        <v>0</v>
      </c>
      <c r="X273" s="32">
        <v>0</v>
      </c>
      <c r="Y273" s="32">
        <v>0</v>
      </c>
      <c r="Z273" s="32">
        <v>0</v>
      </c>
      <c r="AA273" s="32">
        <v>0</v>
      </c>
      <c r="AB273" s="32">
        <v>0</v>
      </c>
      <c r="AC273" s="32">
        <v>0</v>
      </c>
      <c r="AD273" s="32">
        <v>0</v>
      </c>
      <c r="AE273" s="32">
        <v>0</v>
      </c>
      <c r="AF273" s="32">
        <v>0</v>
      </c>
      <c r="AG273"/>
      <c r="AH273" s="17" t="s">
        <v>279</v>
      </c>
    </row>
    <row r="274" spans="2:34" hidden="1" outlineLevel="1" x14ac:dyDescent="0.25">
      <c r="B274" s="31" t="s">
        <v>245</v>
      </c>
      <c r="C274" s="32">
        <v>0</v>
      </c>
      <c r="D274" s="32">
        <v>0</v>
      </c>
      <c r="E274" s="32">
        <v>5531260.8599999994</v>
      </c>
      <c r="F274" s="32">
        <v>5531260.8599999994</v>
      </c>
      <c r="G274" s="32">
        <v>5531260.8599999994</v>
      </c>
      <c r="H274" s="32">
        <v>5911722.2974800002</v>
      </c>
      <c r="I274" s="32">
        <v>5911722.2974800002</v>
      </c>
      <c r="J274" s="32">
        <v>5911722.2974800002</v>
      </c>
      <c r="K274" s="32">
        <v>5911722.2974800002</v>
      </c>
      <c r="L274" s="32">
        <v>5911722.2974800002</v>
      </c>
      <c r="M274" s="32">
        <v>5911722.2974800002</v>
      </c>
      <c r="N274" s="32">
        <v>5743970.637480001</v>
      </c>
      <c r="O274" s="32">
        <v>5743970.637480001</v>
      </c>
      <c r="P274" s="32">
        <v>5743970.637480001</v>
      </c>
      <c r="Q274" s="32">
        <v>5743970.637480001</v>
      </c>
      <c r="R274" s="32">
        <v>36060627.457479998</v>
      </c>
      <c r="S274" s="32">
        <v>36060627.457479998</v>
      </c>
      <c r="T274" s="32">
        <v>36060627.457479998</v>
      </c>
      <c r="U274" s="32">
        <v>36060627.457479998</v>
      </c>
      <c r="V274" s="32">
        <v>36060627.457479998</v>
      </c>
      <c r="W274" s="32">
        <v>36060627.457479998</v>
      </c>
      <c r="X274" s="32">
        <v>36060627.457479998</v>
      </c>
      <c r="Y274" s="32">
        <v>36060627.457479998</v>
      </c>
      <c r="Z274" s="32">
        <v>36060627.457479998</v>
      </c>
      <c r="AA274" s="32">
        <v>36060627.457479998</v>
      </c>
      <c r="AB274" s="32">
        <v>36060627.457479998</v>
      </c>
      <c r="AC274" s="32">
        <v>36060627.457479998</v>
      </c>
      <c r="AD274" s="32">
        <v>36060627.457479998</v>
      </c>
      <c r="AE274" s="32">
        <v>36060627.457479998</v>
      </c>
      <c r="AF274" s="32">
        <v>36060627.457479998</v>
      </c>
      <c r="AG274"/>
      <c r="AH274" s="17" t="s">
        <v>279</v>
      </c>
    </row>
    <row r="275" spans="2:34" hidden="1" outlineLevel="1" x14ac:dyDescent="0.25">
      <c r="B275" s="31" t="s">
        <v>149</v>
      </c>
      <c r="C275" s="32">
        <v>0</v>
      </c>
      <c r="D275" s="32">
        <v>0</v>
      </c>
      <c r="E275" s="32">
        <v>136869443.00854582</v>
      </c>
      <c r="F275" s="32">
        <v>148564108.5905031</v>
      </c>
      <c r="G275" s="32">
        <v>148564108.5905031</v>
      </c>
      <c r="H275" s="32">
        <v>149699795.58310363</v>
      </c>
      <c r="I275" s="32">
        <v>149699795.58310363</v>
      </c>
      <c r="J275" s="32">
        <v>140406366.31747094</v>
      </c>
      <c r="K275" s="32">
        <v>140406366.31747094</v>
      </c>
      <c r="L275" s="32">
        <v>140077445.66043162</v>
      </c>
      <c r="M275" s="32">
        <v>140077445.66043162</v>
      </c>
      <c r="N275" s="32">
        <v>139331989.84628645</v>
      </c>
      <c r="O275" s="32">
        <v>139331989.84628645</v>
      </c>
      <c r="P275" s="32">
        <v>139306065.97628644</v>
      </c>
      <c r="Q275" s="32">
        <v>139306065.97628644</v>
      </c>
      <c r="R275" s="32">
        <v>172529489.99068648</v>
      </c>
      <c r="S275" s="32">
        <v>172529489.99068648</v>
      </c>
      <c r="T275" s="32">
        <v>172529489.99068648</v>
      </c>
      <c r="U275" s="32">
        <v>172529489.99068648</v>
      </c>
      <c r="V275" s="32">
        <v>172080969.27034533</v>
      </c>
      <c r="W275" s="32">
        <v>172080969.27034533</v>
      </c>
      <c r="X275" s="32">
        <v>172080969.27034533</v>
      </c>
      <c r="Y275" s="32">
        <v>172080969.27034533</v>
      </c>
      <c r="Z275" s="32">
        <v>172080969.27034533</v>
      </c>
      <c r="AA275" s="32">
        <v>172080969.27034533</v>
      </c>
      <c r="AB275" s="32">
        <v>171539519.55341631</v>
      </c>
      <c r="AC275" s="32">
        <v>171539519.55341631</v>
      </c>
      <c r="AD275" s="32">
        <v>171539519.55341631</v>
      </c>
      <c r="AE275" s="32">
        <v>171539519.55341631</v>
      </c>
      <c r="AF275" s="32">
        <v>171539519.55341631</v>
      </c>
      <c r="AG275"/>
      <c r="AH275" s="17" t="s">
        <v>279</v>
      </c>
    </row>
    <row r="276" spans="2:34" customFormat="1" hidden="1" outlineLevel="1" x14ac:dyDescent="0.25">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row>
    <row r="277" spans="2:34" hidden="1" outlineLevel="1" x14ac:dyDescent="0.25">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c r="AH277"/>
    </row>
    <row r="278" spans="2:34" ht="17.25" hidden="1" outlineLevel="1" thickBot="1" x14ac:dyDescent="0.3">
      <c r="B278" s="26" t="s">
        <v>281</v>
      </c>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row>
    <row r="279" spans="2:34" ht="16.5" hidden="1" outlineLevel="1" thickTop="1" thickBot="1" x14ac:dyDescent="0.3">
      <c r="B279" s="28" t="s">
        <v>278</v>
      </c>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0"/>
      <c r="AH279" s="20" t="s">
        <v>15</v>
      </c>
    </row>
    <row r="280" spans="2:34" customFormat="1" hidden="1" outlineLevel="1" x14ac:dyDescent="0.25">
      <c r="B280" s="30"/>
      <c r="C280" s="17">
        <v>2025</v>
      </c>
      <c r="D280" s="44">
        <v>2026</v>
      </c>
      <c r="E280" s="44">
        <v>2027</v>
      </c>
      <c r="F280" s="44">
        <v>2028</v>
      </c>
      <c r="G280" s="44">
        <v>2029</v>
      </c>
      <c r="H280" s="44">
        <v>2030</v>
      </c>
      <c r="I280" s="44">
        <v>2031</v>
      </c>
      <c r="J280" s="44">
        <v>2032</v>
      </c>
      <c r="K280" s="44">
        <v>2033</v>
      </c>
      <c r="L280" s="44">
        <v>2034</v>
      </c>
      <c r="M280" s="44">
        <v>2035</v>
      </c>
      <c r="N280" s="44">
        <v>2036</v>
      </c>
      <c r="O280" s="44">
        <v>2037</v>
      </c>
      <c r="P280" s="44">
        <v>2038</v>
      </c>
      <c r="Q280" s="44">
        <v>2039</v>
      </c>
      <c r="R280" s="44">
        <v>2040</v>
      </c>
      <c r="S280" s="44">
        <v>2041</v>
      </c>
      <c r="T280" s="44">
        <v>2042</v>
      </c>
      <c r="U280" s="44">
        <v>2043</v>
      </c>
      <c r="V280" s="44">
        <v>2044</v>
      </c>
      <c r="W280" s="44">
        <v>2045</v>
      </c>
      <c r="X280" s="44">
        <v>2046</v>
      </c>
      <c r="Y280" s="44">
        <v>2047</v>
      </c>
      <c r="Z280" s="44">
        <v>2048</v>
      </c>
      <c r="AA280" s="44">
        <v>2049</v>
      </c>
      <c r="AB280" s="44">
        <v>2050</v>
      </c>
      <c r="AC280" s="44">
        <v>2051</v>
      </c>
      <c r="AD280" s="44">
        <v>2052</v>
      </c>
      <c r="AE280" s="44">
        <v>2053</v>
      </c>
      <c r="AF280" s="44">
        <v>2054</v>
      </c>
      <c r="AH280" s="17" t="s">
        <v>279</v>
      </c>
    </row>
    <row r="281" spans="2:34" hidden="1" outlineLevel="1" x14ac:dyDescent="0.25">
      <c r="B281" s="31" t="s">
        <v>144</v>
      </c>
      <c r="C281" s="32">
        <v>91218518.516397119</v>
      </c>
      <c r="D281" s="32">
        <v>91218518.516397119</v>
      </c>
      <c r="E281" s="32">
        <v>0</v>
      </c>
      <c r="F281" s="32">
        <v>0</v>
      </c>
      <c r="G281" s="32">
        <v>0</v>
      </c>
      <c r="H281" s="32">
        <v>0</v>
      </c>
      <c r="I281" s="32">
        <v>0</v>
      </c>
      <c r="J281" s="32">
        <v>0</v>
      </c>
      <c r="K281" s="32">
        <v>0</v>
      </c>
      <c r="L281" s="32">
        <v>0</v>
      </c>
      <c r="M281" s="32">
        <v>0</v>
      </c>
      <c r="N281" s="32">
        <v>0</v>
      </c>
      <c r="O281" s="32">
        <v>0</v>
      </c>
      <c r="P281" s="32">
        <v>0</v>
      </c>
      <c r="Q281" s="32">
        <v>0</v>
      </c>
      <c r="R281" s="32">
        <v>0</v>
      </c>
      <c r="S281" s="32">
        <v>0</v>
      </c>
      <c r="T281" s="32">
        <v>0</v>
      </c>
      <c r="U281" s="32">
        <v>0</v>
      </c>
      <c r="V281" s="32">
        <v>0</v>
      </c>
      <c r="W281" s="32">
        <v>0</v>
      </c>
      <c r="X281" s="32">
        <v>0</v>
      </c>
      <c r="Y281" s="32">
        <v>0</v>
      </c>
      <c r="Z281" s="32">
        <v>0</v>
      </c>
      <c r="AA281" s="32">
        <v>0</v>
      </c>
      <c r="AB281" s="32">
        <v>0</v>
      </c>
      <c r="AC281" s="32">
        <v>0</v>
      </c>
      <c r="AD281" s="32">
        <v>0</v>
      </c>
      <c r="AE281" s="32">
        <v>0</v>
      </c>
      <c r="AF281" s="32">
        <v>0</v>
      </c>
      <c r="AG281"/>
      <c r="AH281" s="17" t="s">
        <v>279</v>
      </c>
    </row>
    <row r="282" spans="2:34" hidden="1" outlineLevel="1" x14ac:dyDescent="0.25">
      <c r="B282" s="31" t="s">
        <v>145</v>
      </c>
      <c r="C282" s="32">
        <v>11884388.380107559</v>
      </c>
      <c r="D282" s="32">
        <v>11884388.380107559</v>
      </c>
      <c r="E282" s="32">
        <v>0</v>
      </c>
      <c r="F282" s="32">
        <v>0</v>
      </c>
      <c r="G282" s="32">
        <v>0</v>
      </c>
      <c r="H282" s="32">
        <v>0</v>
      </c>
      <c r="I282" s="32">
        <v>0</v>
      </c>
      <c r="J282" s="32">
        <v>0</v>
      </c>
      <c r="K282" s="32">
        <v>0</v>
      </c>
      <c r="L282" s="32">
        <v>0</v>
      </c>
      <c r="M282" s="32">
        <v>0</v>
      </c>
      <c r="N282" s="32">
        <v>0</v>
      </c>
      <c r="O282" s="32">
        <v>0</v>
      </c>
      <c r="P282" s="32">
        <v>0</v>
      </c>
      <c r="Q282" s="32">
        <v>0</v>
      </c>
      <c r="R282" s="32">
        <v>0</v>
      </c>
      <c r="S282" s="32">
        <v>0</v>
      </c>
      <c r="T282" s="32">
        <v>0</v>
      </c>
      <c r="U282" s="32">
        <v>0</v>
      </c>
      <c r="V282" s="32">
        <v>0</v>
      </c>
      <c r="W282" s="32">
        <v>0</v>
      </c>
      <c r="X282" s="32">
        <v>0</v>
      </c>
      <c r="Y282" s="32">
        <v>0</v>
      </c>
      <c r="Z282" s="32">
        <v>0</v>
      </c>
      <c r="AA282" s="32">
        <v>0</v>
      </c>
      <c r="AB282" s="32">
        <v>0</v>
      </c>
      <c r="AC282" s="32">
        <v>0</v>
      </c>
      <c r="AD282" s="32">
        <v>0</v>
      </c>
      <c r="AE282" s="32">
        <v>0</v>
      </c>
      <c r="AF282" s="32">
        <v>0</v>
      </c>
      <c r="AG282"/>
      <c r="AH282" s="17" t="s">
        <v>279</v>
      </c>
    </row>
    <row r="283" spans="2:34" hidden="1" outlineLevel="1" x14ac:dyDescent="0.25">
      <c r="B283" s="31" t="s">
        <v>244</v>
      </c>
      <c r="C283" s="32">
        <v>35030010.666666664</v>
      </c>
      <c r="D283" s="32">
        <v>35030010.666666664</v>
      </c>
      <c r="E283" s="32">
        <v>0</v>
      </c>
      <c r="F283" s="32">
        <v>0</v>
      </c>
      <c r="G283" s="32">
        <v>0</v>
      </c>
      <c r="H283" s="32">
        <v>0</v>
      </c>
      <c r="I283" s="32">
        <v>0</v>
      </c>
      <c r="J283" s="32">
        <v>0</v>
      </c>
      <c r="K283" s="32">
        <v>0</v>
      </c>
      <c r="L283" s="32">
        <v>0</v>
      </c>
      <c r="M283" s="32">
        <v>0</v>
      </c>
      <c r="N283" s="32">
        <v>0</v>
      </c>
      <c r="O283" s="32">
        <v>0</v>
      </c>
      <c r="P283" s="32">
        <v>0</v>
      </c>
      <c r="Q283" s="32">
        <v>0</v>
      </c>
      <c r="R283" s="32">
        <v>0</v>
      </c>
      <c r="S283" s="32">
        <v>0</v>
      </c>
      <c r="T283" s="32">
        <v>0</v>
      </c>
      <c r="U283" s="32">
        <v>0</v>
      </c>
      <c r="V283" s="32">
        <v>0</v>
      </c>
      <c r="W283" s="32">
        <v>0</v>
      </c>
      <c r="X283" s="32">
        <v>0</v>
      </c>
      <c r="Y283" s="32">
        <v>0</v>
      </c>
      <c r="Z283" s="32">
        <v>0</v>
      </c>
      <c r="AA283" s="32">
        <v>0</v>
      </c>
      <c r="AB283" s="32">
        <v>0</v>
      </c>
      <c r="AC283" s="32">
        <v>0</v>
      </c>
      <c r="AD283" s="32">
        <v>0</v>
      </c>
      <c r="AE283" s="32">
        <v>0</v>
      </c>
      <c r="AF283" s="32">
        <v>0</v>
      </c>
      <c r="AG283"/>
      <c r="AH283" s="17" t="s">
        <v>279</v>
      </c>
    </row>
    <row r="284" spans="2:34" customFormat="1" hidden="1" outlineLevel="1" x14ac:dyDescent="0.25">
      <c r="B284" s="31" t="s">
        <v>147</v>
      </c>
      <c r="C284" s="32">
        <v>0</v>
      </c>
      <c r="D284" s="32">
        <v>0</v>
      </c>
      <c r="E284" s="32">
        <v>0</v>
      </c>
      <c r="F284" s="32">
        <v>0</v>
      </c>
      <c r="G284" s="32">
        <v>0</v>
      </c>
      <c r="H284" s="32">
        <v>0</v>
      </c>
      <c r="I284" s="32">
        <v>0</v>
      </c>
      <c r="J284" s="32">
        <v>0</v>
      </c>
      <c r="K284" s="32">
        <v>0</v>
      </c>
      <c r="L284" s="32">
        <v>0</v>
      </c>
      <c r="M284" s="32">
        <v>0</v>
      </c>
      <c r="N284" s="32">
        <v>0</v>
      </c>
      <c r="O284" s="32">
        <v>0</v>
      </c>
      <c r="P284" s="32">
        <v>0</v>
      </c>
      <c r="Q284" s="32">
        <v>0</v>
      </c>
      <c r="R284" s="32">
        <v>0</v>
      </c>
      <c r="S284" s="32">
        <v>0</v>
      </c>
      <c r="T284" s="32">
        <v>0</v>
      </c>
      <c r="U284" s="32">
        <v>0</v>
      </c>
      <c r="V284" s="32">
        <v>0</v>
      </c>
      <c r="W284" s="32">
        <v>0</v>
      </c>
      <c r="X284" s="32">
        <v>0</v>
      </c>
      <c r="Y284" s="32">
        <v>0</v>
      </c>
      <c r="Z284" s="32">
        <v>0</v>
      </c>
      <c r="AA284" s="32">
        <v>0</v>
      </c>
      <c r="AB284" s="32">
        <v>0</v>
      </c>
      <c r="AC284" s="32">
        <v>0</v>
      </c>
      <c r="AD284" s="32">
        <v>0</v>
      </c>
      <c r="AE284" s="32">
        <v>0</v>
      </c>
      <c r="AF284" s="32">
        <v>0</v>
      </c>
      <c r="AH284" s="17" t="s">
        <v>279</v>
      </c>
    </row>
    <row r="285" spans="2:34" hidden="1" outlineLevel="1" x14ac:dyDescent="0.25">
      <c r="B285" s="31" t="s">
        <v>245</v>
      </c>
      <c r="C285" s="32">
        <v>0</v>
      </c>
      <c r="D285" s="32">
        <v>0</v>
      </c>
      <c r="E285" s="32">
        <v>0</v>
      </c>
      <c r="F285" s="32">
        <v>0</v>
      </c>
      <c r="G285" s="32">
        <v>0</v>
      </c>
      <c r="H285" s="32">
        <v>0</v>
      </c>
      <c r="I285" s="32">
        <v>0</v>
      </c>
      <c r="J285" s="32">
        <v>0</v>
      </c>
      <c r="K285" s="32">
        <v>0</v>
      </c>
      <c r="L285" s="32">
        <v>0</v>
      </c>
      <c r="M285" s="32">
        <v>0</v>
      </c>
      <c r="N285" s="32">
        <v>0</v>
      </c>
      <c r="O285" s="32">
        <v>0</v>
      </c>
      <c r="P285" s="32">
        <v>0</v>
      </c>
      <c r="Q285" s="32">
        <v>0</v>
      </c>
      <c r="R285" s="32">
        <v>0</v>
      </c>
      <c r="S285" s="32">
        <v>0</v>
      </c>
      <c r="T285" s="32">
        <v>0</v>
      </c>
      <c r="U285" s="32">
        <v>0</v>
      </c>
      <c r="V285" s="32">
        <v>0</v>
      </c>
      <c r="W285" s="32">
        <v>0</v>
      </c>
      <c r="X285" s="32">
        <v>0</v>
      </c>
      <c r="Y285" s="32">
        <v>0</v>
      </c>
      <c r="Z285" s="32">
        <v>0</v>
      </c>
      <c r="AA285" s="32">
        <v>0</v>
      </c>
      <c r="AB285" s="32">
        <v>0</v>
      </c>
      <c r="AC285" s="32">
        <v>0</v>
      </c>
      <c r="AD285" s="32">
        <v>0</v>
      </c>
      <c r="AE285" s="32">
        <v>0</v>
      </c>
      <c r="AF285" s="32">
        <v>0</v>
      </c>
      <c r="AG285"/>
      <c r="AH285" s="17" t="s">
        <v>279</v>
      </c>
    </row>
    <row r="286" spans="2:34" hidden="1" outlineLevel="1" x14ac:dyDescent="0.25">
      <c r="B286" s="31" t="s">
        <v>149</v>
      </c>
      <c r="C286" s="32">
        <v>138132917.56317133</v>
      </c>
      <c r="D286" s="32">
        <v>138132917.56317133</v>
      </c>
      <c r="E286" s="32">
        <v>0</v>
      </c>
      <c r="F286" s="32">
        <v>0</v>
      </c>
      <c r="G286" s="32">
        <v>0</v>
      </c>
      <c r="H286" s="32">
        <v>0</v>
      </c>
      <c r="I286" s="32">
        <v>0</v>
      </c>
      <c r="J286" s="32">
        <v>0</v>
      </c>
      <c r="K286" s="32">
        <v>0</v>
      </c>
      <c r="L286" s="32">
        <v>0</v>
      </c>
      <c r="M286" s="32">
        <v>0</v>
      </c>
      <c r="N286" s="32">
        <v>0</v>
      </c>
      <c r="O286" s="32">
        <v>0</v>
      </c>
      <c r="P286" s="32">
        <v>0</v>
      </c>
      <c r="Q286" s="32">
        <v>0</v>
      </c>
      <c r="R286" s="32">
        <v>0</v>
      </c>
      <c r="S286" s="32">
        <v>0</v>
      </c>
      <c r="T286" s="32">
        <v>0</v>
      </c>
      <c r="U286" s="32">
        <v>0</v>
      </c>
      <c r="V286" s="32">
        <v>0</v>
      </c>
      <c r="W286" s="32">
        <v>0</v>
      </c>
      <c r="X286" s="32">
        <v>0</v>
      </c>
      <c r="Y286" s="32">
        <v>0</v>
      </c>
      <c r="Z286" s="32">
        <v>0</v>
      </c>
      <c r="AA286" s="32">
        <v>0</v>
      </c>
      <c r="AB286" s="32">
        <v>0</v>
      </c>
      <c r="AC286" s="32">
        <v>0</v>
      </c>
      <c r="AD286" s="32">
        <v>0</v>
      </c>
      <c r="AE286" s="32">
        <v>0</v>
      </c>
      <c r="AF286" s="32">
        <v>0</v>
      </c>
      <c r="AG286"/>
      <c r="AH286" s="17" t="s">
        <v>279</v>
      </c>
    </row>
    <row r="287" spans="2:34" hidden="1" outlineLevel="1" x14ac:dyDescent="0.25">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c r="AH287"/>
    </row>
    <row r="288" spans="2:34" ht="15.75" hidden="1" outlineLevel="1" thickBot="1" x14ac:dyDescent="0.3">
      <c r="B288" s="28" t="s">
        <v>280</v>
      </c>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0"/>
      <c r="AH288" s="20" t="s">
        <v>15</v>
      </c>
    </row>
    <row r="289" spans="2:35" customFormat="1" hidden="1" outlineLevel="1" x14ac:dyDescent="0.25">
      <c r="B289" s="30"/>
      <c r="C289" s="17">
        <v>2025</v>
      </c>
      <c r="D289" s="44">
        <v>2026</v>
      </c>
      <c r="E289" s="44">
        <v>2027</v>
      </c>
      <c r="F289" s="44">
        <v>2028</v>
      </c>
      <c r="G289" s="44">
        <v>2029</v>
      </c>
      <c r="H289" s="44">
        <v>2030</v>
      </c>
      <c r="I289" s="44">
        <v>2031</v>
      </c>
      <c r="J289" s="44">
        <v>2032</v>
      </c>
      <c r="K289" s="44">
        <v>2033</v>
      </c>
      <c r="L289" s="44">
        <v>2034</v>
      </c>
      <c r="M289" s="44">
        <v>2035</v>
      </c>
      <c r="N289" s="44">
        <v>2036</v>
      </c>
      <c r="O289" s="44">
        <v>2037</v>
      </c>
      <c r="P289" s="44">
        <v>2038</v>
      </c>
      <c r="Q289" s="44">
        <v>2039</v>
      </c>
      <c r="R289" s="44">
        <v>2040</v>
      </c>
      <c r="S289" s="44">
        <v>2041</v>
      </c>
      <c r="T289" s="44">
        <v>2042</v>
      </c>
      <c r="U289" s="44">
        <v>2043</v>
      </c>
      <c r="V289" s="44">
        <v>2044</v>
      </c>
      <c r="W289" s="44">
        <v>2045</v>
      </c>
      <c r="X289" s="44">
        <v>2046</v>
      </c>
      <c r="Y289" s="44">
        <v>2047</v>
      </c>
      <c r="Z289" s="44">
        <v>2048</v>
      </c>
      <c r="AA289" s="44">
        <v>2049</v>
      </c>
      <c r="AB289" s="44">
        <v>2050</v>
      </c>
      <c r="AC289" s="44">
        <v>2051</v>
      </c>
      <c r="AD289" s="44">
        <v>2052</v>
      </c>
      <c r="AE289" s="44">
        <v>2053</v>
      </c>
      <c r="AF289" s="44">
        <v>2054</v>
      </c>
      <c r="AG289" s="1"/>
      <c r="AH289" s="1"/>
    </row>
    <row r="290" spans="2:35" hidden="1" outlineLevel="1" x14ac:dyDescent="0.25">
      <c r="B290" s="31" t="s">
        <v>144</v>
      </c>
      <c r="C290" s="32">
        <v>0</v>
      </c>
      <c r="D290" s="32">
        <v>0</v>
      </c>
      <c r="E290" s="32">
        <v>91218518.516397119</v>
      </c>
      <c r="F290" s="32">
        <v>91218518.516397119</v>
      </c>
      <c r="G290" s="32">
        <v>91218518.516397119</v>
      </c>
      <c r="H290" s="32">
        <v>89605158.712475568</v>
      </c>
      <c r="I290" s="32">
        <v>89605158.712475568</v>
      </c>
      <c r="J290" s="32">
        <v>89605158.712475568</v>
      </c>
      <c r="K290" s="32">
        <v>89605158.712475568</v>
      </c>
      <c r="L290" s="32">
        <v>89605158.712475568</v>
      </c>
      <c r="M290" s="32">
        <v>89605158.712475568</v>
      </c>
      <c r="N290" s="32">
        <v>89605158.712475568</v>
      </c>
      <c r="O290" s="32">
        <v>89605158.712475568</v>
      </c>
      <c r="P290" s="32">
        <v>89605158.712475568</v>
      </c>
      <c r="Q290" s="32">
        <v>89605158.712475568</v>
      </c>
      <c r="R290" s="32">
        <v>89605158.712475568</v>
      </c>
      <c r="S290" s="32">
        <v>89605158.712475568</v>
      </c>
      <c r="T290" s="32">
        <v>89605158.712475568</v>
      </c>
      <c r="U290" s="32">
        <v>89605158.712475568</v>
      </c>
      <c r="V290" s="32">
        <v>89605158.712475568</v>
      </c>
      <c r="W290" s="32">
        <v>89605158.712475568</v>
      </c>
      <c r="X290" s="32">
        <v>89605158.712475568</v>
      </c>
      <c r="Y290" s="32">
        <v>89605158.712475568</v>
      </c>
      <c r="Z290" s="32">
        <v>89605158.712475568</v>
      </c>
      <c r="AA290" s="32">
        <v>89605158.712475568</v>
      </c>
      <c r="AB290" s="32">
        <v>89605158.712475568</v>
      </c>
      <c r="AC290" s="32">
        <v>89605158.712475568</v>
      </c>
      <c r="AD290" s="32">
        <v>89605158.712475568</v>
      </c>
      <c r="AE290" s="32">
        <v>89605158.712475568</v>
      </c>
      <c r="AF290" s="32">
        <v>89605158.712475568</v>
      </c>
      <c r="AG290"/>
      <c r="AH290" s="17" t="s">
        <v>279</v>
      </c>
    </row>
    <row r="291" spans="2:35" hidden="1" outlineLevel="1" x14ac:dyDescent="0.25">
      <c r="B291" s="31" t="s">
        <v>145</v>
      </c>
      <c r="C291" s="32">
        <v>0</v>
      </c>
      <c r="D291" s="32">
        <v>0</v>
      </c>
      <c r="E291" s="32">
        <v>11884388.380107559</v>
      </c>
      <c r="F291" s="32">
        <v>11884388.380107559</v>
      </c>
      <c r="G291" s="32">
        <v>11884388.380107559</v>
      </c>
      <c r="H291" s="32">
        <v>11884388.380107559</v>
      </c>
      <c r="I291" s="32">
        <v>11884388.380107559</v>
      </c>
      <c r="J291" s="32">
        <v>11884388.380107559</v>
      </c>
      <c r="K291" s="32">
        <v>11884388.380107559</v>
      </c>
      <c r="L291" s="32">
        <v>11884388.380107559</v>
      </c>
      <c r="M291" s="32">
        <v>11884388.380107559</v>
      </c>
      <c r="N291" s="32">
        <v>11884388.380107559</v>
      </c>
      <c r="O291" s="32">
        <v>11884388.380107559</v>
      </c>
      <c r="P291" s="32">
        <v>11884388.380107559</v>
      </c>
      <c r="Q291" s="32">
        <v>11884388.380107559</v>
      </c>
      <c r="R291" s="32">
        <v>11884388.380107559</v>
      </c>
      <c r="S291" s="32">
        <v>11884388.380107559</v>
      </c>
      <c r="T291" s="32">
        <v>11525540.601956299</v>
      </c>
      <c r="U291" s="32">
        <v>11525540.601956299</v>
      </c>
      <c r="V291" s="32">
        <v>11525540.601956299</v>
      </c>
      <c r="W291" s="32">
        <v>11525540.601956299</v>
      </c>
      <c r="X291" s="32">
        <v>11525540.601956299</v>
      </c>
      <c r="Y291" s="32">
        <v>11525540.601956299</v>
      </c>
      <c r="Z291" s="32">
        <v>11525540.601956299</v>
      </c>
      <c r="AA291" s="32">
        <v>11525540.601956299</v>
      </c>
      <c r="AB291" s="32">
        <v>11525540.601956299</v>
      </c>
      <c r="AC291" s="32">
        <v>11525540.601956299</v>
      </c>
      <c r="AD291" s="32">
        <v>11525540.601956299</v>
      </c>
      <c r="AE291" s="32">
        <v>11525540.601956299</v>
      </c>
      <c r="AF291" s="32">
        <v>11525540.601956299</v>
      </c>
      <c r="AG291"/>
      <c r="AH291" s="17" t="s">
        <v>279</v>
      </c>
    </row>
    <row r="292" spans="2:35" customFormat="1" hidden="1" outlineLevel="1" x14ac:dyDescent="0.25">
      <c r="B292" s="31" t="s">
        <v>244</v>
      </c>
      <c r="C292" s="32">
        <v>0</v>
      </c>
      <c r="D292" s="32">
        <v>0</v>
      </c>
      <c r="E292" s="32">
        <v>35030010.666666664</v>
      </c>
      <c r="F292" s="32">
        <v>33517716.333333336</v>
      </c>
      <c r="G292" s="32">
        <v>33517716.333333336</v>
      </c>
      <c r="H292" s="32">
        <v>31998292.333333336</v>
      </c>
      <c r="I292" s="32">
        <v>31998292.333333336</v>
      </c>
      <c r="J292" s="32">
        <v>31998292.333333336</v>
      </c>
      <c r="K292" s="32">
        <v>31998292.333333336</v>
      </c>
      <c r="L292" s="32">
        <v>31998292.333333336</v>
      </c>
      <c r="M292" s="32">
        <v>31998292.333333336</v>
      </c>
      <c r="N292" s="32">
        <v>29833701.969607845</v>
      </c>
      <c r="O292" s="32">
        <v>29833701.969607845</v>
      </c>
      <c r="P292" s="32">
        <v>28875000.884313725</v>
      </c>
      <c r="Q292" s="32">
        <v>28875000.884313725</v>
      </c>
      <c r="R292" s="32">
        <v>28875000.884313725</v>
      </c>
      <c r="S292" s="32">
        <v>28875000.884313725</v>
      </c>
      <c r="T292" s="32">
        <v>28875000.884313725</v>
      </c>
      <c r="U292" s="32">
        <v>28875000.884313725</v>
      </c>
      <c r="V292" s="32">
        <v>28875000.884313725</v>
      </c>
      <c r="W292" s="32">
        <v>28875000.884313725</v>
      </c>
      <c r="X292" s="32">
        <v>28875000.884313725</v>
      </c>
      <c r="Y292" s="32">
        <v>28875000.884313725</v>
      </c>
      <c r="Z292" s="32">
        <v>28875000.884313725</v>
      </c>
      <c r="AA292" s="32">
        <v>28875000.884313725</v>
      </c>
      <c r="AB292" s="32">
        <v>28875000.884313725</v>
      </c>
      <c r="AC292" s="32">
        <v>28875000.884313725</v>
      </c>
      <c r="AD292" s="32">
        <v>28875000.884313725</v>
      </c>
      <c r="AE292" s="32">
        <v>28875000.884313725</v>
      </c>
      <c r="AF292" s="32">
        <v>28875000.884313725</v>
      </c>
      <c r="AH292" s="17" t="s">
        <v>279</v>
      </c>
    </row>
    <row r="293" spans="2:35" hidden="1" outlineLevel="1" x14ac:dyDescent="0.25">
      <c r="B293" s="31" t="s">
        <v>147</v>
      </c>
      <c r="C293" s="32">
        <v>0</v>
      </c>
      <c r="D293" s="32">
        <v>0</v>
      </c>
      <c r="E293" s="32">
        <v>0</v>
      </c>
      <c r="F293" s="32">
        <v>0</v>
      </c>
      <c r="G293" s="32">
        <v>0</v>
      </c>
      <c r="H293" s="32">
        <v>0</v>
      </c>
      <c r="I293" s="32">
        <v>0</v>
      </c>
      <c r="J293" s="32">
        <v>0</v>
      </c>
      <c r="K293" s="32">
        <v>0</v>
      </c>
      <c r="L293" s="32">
        <v>0</v>
      </c>
      <c r="M293" s="32">
        <v>0</v>
      </c>
      <c r="N293" s="32">
        <v>0</v>
      </c>
      <c r="O293" s="32">
        <v>0</v>
      </c>
      <c r="P293" s="32">
        <v>0</v>
      </c>
      <c r="Q293" s="32">
        <v>0</v>
      </c>
      <c r="R293" s="32">
        <v>0</v>
      </c>
      <c r="S293" s="32">
        <v>0</v>
      </c>
      <c r="T293" s="32">
        <v>0</v>
      </c>
      <c r="U293" s="32">
        <v>0</v>
      </c>
      <c r="V293" s="32">
        <v>0</v>
      </c>
      <c r="W293" s="32">
        <v>0</v>
      </c>
      <c r="X293" s="32">
        <v>0</v>
      </c>
      <c r="Y293" s="32">
        <v>0</v>
      </c>
      <c r="Z293" s="32">
        <v>0</v>
      </c>
      <c r="AA293" s="32">
        <v>0</v>
      </c>
      <c r="AB293" s="32">
        <v>0</v>
      </c>
      <c r="AC293" s="32">
        <v>0</v>
      </c>
      <c r="AD293" s="32">
        <v>0</v>
      </c>
      <c r="AE293" s="32">
        <v>0</v>
      </c>
      <c r="AF293" s="32">
        <v>0</v>
      </c>
      <c r="AG293"/>
      <c r="AH293" s="17" t="s">
        <v>279</v>
      </c>
    </row>
    <row r="294" spans="2:35" hidden="1" outlineLevel="1" x14ac:dyDescent="0.25">
      <c r="B294" s="31" t="s">
        <v>245</v>
      </c>
      <c r="C294" s="32">
        <v>0</v>
      </c>
      <c r="D294" s="32">
        <v>0</v>
      </c>
      <c r="E294" s="32">
        <v>0</v>
      </c>
      <c r="F294" s="32">
        <v>0</v>
      </c>
      <c r="G294" s="32">
        <v>0</v>
      </c>
      <c r="H294" s="32">
        <v>0</v>
      </c>
      <c r="I294" s="32">
        <v>0</v>
      </c>
      <c r="J294" s="32">
        <v>0</v>
      </c>
      <c r="K294" s="32">
        <v>0</v>
      </c>
      <c r="L294" s="32">
        <v>0</v>
      </c>
      <c r="M294" s="32">
        <v>0</v>
      </c>
      <c r="N294" s="32">
        <v>0</v>
      </c>
      <c r="O294" s="32">
        <v>0</v>
      </c>
      <c r="P294" s="32">
        <v>0</v>
      </c>
      <c r="Q294" s="32">
        <v>0</v>
      </c>
      <c r="R294" s="32">
        <v>4623100.2231905619</v>
      </c>
      <c r="S294" s="32">
        <v>4623100.2231905619</v>
      </c>
      <c r="T294" s="32">
        <v>4623100.2231905619</v>
      </c>
      <c r="U294" s="32">
        <v>4623100.2231905619</v>
      </c>
      <c r="V294" s="32">
        <v>4623100.2231905619</v>
      </c>
      <c r="W294" s="32">
        <v>4623100.2231905619</v>
      </c>
      <c r="X294" s="32">
        <v>4623100.2231905619</v>
      </c>
      <c r="Y294" s="32">
        <v>4623100.2231905619</v>
      </c>
      <c r="Z294" s="32">
        <v>4623100.2231905619</v>
      </c>
      <c r="AA294" s="32">
        <v>4623100.2231905619</v>
      </c>
      <c r="AB294" s="32">
        <v>4623100.2231905619</v>
      </c>
      <c r="AC294" s="32">
        <v>4623100.2231905619</v>
      </c>
      <c r="AD294" s="32">
        <v>4623100.2231905619</v>
      </c>
      <c r="AE294" s="32">
        <v>4623100.2231905619</v>
      </c>
      <c r="AF294" s="32">
        <v>4623100.2231905619</v>
      </c>
      <c r="AG294"/>
      <c r="AH294" s="17" t="s">
        <v>279</v>
      </c>
    </row>
    <row r="295" spans="2:35" hidden="1" outlineLevel="1" x14ac:dyDescent="0.25">
      <c r="B295" s="31" t="s">
        <v>149</v>
      </c>
      <c r="C295" s="32">
        <v>0</v>
      </c>
      <c r="D295" s="32">
        <v>0</v>
      </c>
      <c r="E295" s="32">
        <v>138132917.56317133</v>
      </c>
      <c r="F295" s="32">
        <v>136620623.22983801</v>
      </c>
      <c r="G295" s="32">
        <v>136620623.22983801</v>
      </c>
      <c r="H295" s="32">
        <v>133487839.42591646</v>
      </c>
      <c r="I295" s="32">
        <v>133487839.42591646</v>
      </c>
      <c r="J295" s="32">
        <v>133487839.42591646</v>
      </c>
      <c r="K295" s="32">
        <v>133487839.42591646</v>
      </c>
      <c r="L295" s="32">
        <v>133487839.42591646</v>
      </c>
      <c r="M295" s="32">
        <v>133487839.42591646</v>
      </c>
      <c r="N295" s="32">
        <v>131323249.06219096</v>
      </c>
      <c r="O295" s="32">
        <v>131323249.06219096</v>
      </c>
      <c r="P295" s="32">
        <v>130364547.97689685</v>
      </c>
      <c r="Q295" s="32">
        <v>130364547.97689685</v>
      </c>
      <c r="R295" s="32">
        <v>134987648.20008743</v>
      </c>
      <c r="S295" s="32">
        <v>134987648.20008743</v>
      </c>
      <c r="T295" s="32">
        <v>134628800.42193615</v>
      </c>
      <c r="U295" s="32">
        <v>134628800.42193615</v>
      </c>
      <c r="V295" s="32">
        <v>134628800.42193615</v>
      </c>
      <c r="W295" s="32">
        <v>134628800.42193615</v>
      </c>
      <c r="X295" s="32">
        <v>134628800.42193615</v>
      </c>
      <c r="Y295" s="32">
        <v>134628800.42193615</v>
      </c>
      <c r="Z295" s="32">
        <v>134628800.42193615</v>
      </c>
      <c r="AA295" s="32">
        <v>134628800.42193615</v>
      </c>
      <c r="AB295" s="32">
        <v>134628800.42193615</v>
      </c>
      <c r="AC295" s="32">
        <v>134628800.42193615</v>
      </c>
      <c r="AD295" s="32">
        <v>134628800.42193615</v>
      </c>
      <c r="AE295" s="32">
        <v>134628800.42193615</v>
      </c>
      <c r="AF295" s="32">
        <v>134628800.42193615</v>
      </c>
      <c r="AG295"/>
      <c r="AH295" s="17" t="s">
        <v>279</v>
      </c>
    </row>
    <row r="296" spans="2:35" hidden="1" outlineLevel="1" x14ac:dyDescent="0.25">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c r="AH296"/>
    </row>
    <row r="297" spans="2:35" hidden="1" outlineLevel="1" x14ac:dyDescent="0.25">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c r="AH297"/>
    </row>
    <row r="298" spans="2:35" ht="17.25" hidden="1" outlineLevel="1" thickBot="1" x14ac:dyDescent="0.3">
      <c r="B298" s="26" t="s">
        <v>282</v>
      </c>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row>
    <row r="299" spans="2:35" ht="16.5" hidden="1" outlineLevel="1" thickTop="1" thickBot="1" x14ac:dyDescent="0.3">
      <c r="B299" s="28" t="s">
        <v>278</v>
      </c>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0"/>
      <c r="AH299" s="20" t="s">
        <v>15</v>
      </c>
    </row>
    <row r="300" spans="2:35" customFormat="1" hidden="1" outlineLevel="1" x14ac:dyDescent="0.25">
      <c r="B300" s="30"/>
      <c r="C300" s="17">
        <v>2025</v>
      </c>
      <c r="D300" s="44">
        <v>2026</v>
      </c>
      <c r="E300" s="44">
        <v>2027</v>
      </c>
      <c r="F300" s="44">
        <v>2028</v>
      </c>
      <c r="G300" s="44">
        <v>2029</v>
      </c>
      <c r="H300" s="44">
        <v>2030</v>
      </c>
      <c r="I300" s="44">
        <v>2031</v>
      </c>
      <c r="J300" s="44">
        <v>2032</v>
      </c>
      <c r="K300" s="44">
        <v>2033</v>
      </c>
      <c r="L300" s="44">
        <v>2034</v>
      </c>
      <c r="M300" s="44">
        <v>2035</v>
      </c>
      <c r="N300" s="44">
        <v>2036</v>
      </c>
      <c r="O300" s="44">
        <v>2037</v>
      </c>
      <c r="P300" s="44">
        <v>2038</v>
      </c>
      <c r="Q300" s="44">
        <v>2039</v>
      </c>
      <c r="R300" s="44">
        <v>2040</v>
      </c>
      <c r="S300" s="44">
        <v>2041</v>
      </c>
      <c r="T300" s="44">
        <v>2042</v>
      </c>
      <c r="U300" s="44">
        <v>2043</v>
      </c>
      <c r="V300" s="44">
        <v>2044</v>
      </c>
      <c r="W300" s="44">
        <v>2045</v>
      </c>
      <c r="X300" s="44">
        <v>2046</v>
      </c>
      <c r="Y300" s="44">
        <v>2047</v>
      </c>
      <c r="Z300" s="44">
        <v>2048</v>
      </c>
      <c r="AA300" s="44">
        <v>2049</v>
      </c>
      <c r="AB300" s="44">
        <v>2050</v>
      </c>
      <c r="AC300" s="44">
        <v>2051</v>
      </c>
      <c r="AD300" s="44">
        <v>2052</v>
      </c>
      <c r="AE300" s="44">
        <v>2053</v>
      </c>
      <c r="AF300" s="44">
        <v>2054</v>
      </c>
      <c r="AH300" s="1"/>
      <c r="AI300" s="1"/>
    </row>
    <row r="301" spans="2:35" hidden="1" outlineLevel="1" x14ac:dyDescent="0.25">
      <c r="B301" s="31" t="s">
        <v>144</v>
      </c>
      <c r="C301" s="32">
        <v>342242.65102078754</v>
      </c>
      <c r="D301" s="32">
        <v>342242.65102078754</v>
      </c>
      <c r="E301" s="32">
        <v>0</v>
      </c>
      <c r="F301" s="32">
        <v>0</v>
      </c>
      <c r="G301" s="32">
        <v>0</v>
      </c>
      <c r="H301" s="32">
        <v>0</v>
      </c>
      <c r="I301" s="32">
        <v>0</v>
      </c>
      <c r="J301" s="32">
        <v>0</v>
      </c>
      <c r="K301" s="32">
        <v>0</v>
      </c>
      <c r="L301" s="32">
        <v>0</v>
      </c>
      <c r="M301" s="32">
        <v>0</v>
      </c>
      <c r="N301" s="32">
        <v>0</v>
      </c>
      <c r="O301" s="32">
        <v>0</v>
      </c>
      <c r="P301" s="32">
        <v>0</v>
      </c>
      <c r="Q301" s="32">
        <v>0</v>
      </c>
      <c r="R301" s="32">
        <v>0</v>
      </c>
      <c r="S301" s="32">
        <v>0</v>
      </c>
      <c r="T301" s="32">
        <v>0</v>
      </c>
      <c r="U301" s="32">
        <v>0</v>
      </c>
      <c r="V301" s="32">
        <v>0</v>
      </c>
      <c r="W301" s="32">
        <v>0</v>
      </c>
      <c r="X301" s="32">
        <v>0</v>
      </c>
      <c r="Y301" s="32">
        <v>0</v>
      </c>
      <c r="Z301" s="32">
        <v>0</v>
      </c>
      <c r="AA301" s="32">
        <v>0</v>
      </c>
      <c r="AB301" s="32">
        <v>0</v>
      </c>
      <c r="AC301" s="32">
        <v>0</v>
      </c>
      <c r="AD301" s="32">
        <v>0</v>
      </c>
      <c r="AE301" s="32">
        <v>0</v>
      </c>
      <c r="AF301" s="32">
        <v>0</v>
      </c>
      <c r="AG301"/>
      <c r="AH301" s="17" t="s">
        <v>279</v>
      </c>
    </row>
    <row r="302" spans="2:35" customFormat="1" hidden="1" outlineLevel="1" x14ac:dyDescent="0.25">
      <c r="B302" s="31" t="s">
        <v>145</v>
      </c>
      <c r="C302" s="32">
        <v>98109.353104549853</v>
      </c>
      <c r="D302" s="32">
        <v>98109.353104549853</v>
      </c>
      <c r="E302" s="32">
        <v>0</v>
      </c>
      <c r="F302" s="32">
        <v>0</v>
      </c>
      <c r="G302" s="32">
        <v>0</v>
      </c>
      <c r="H302" s="32">
        <v>0</v>
      </c>
      <c r="I302" s="32">
        <v>0</v>
      </c>
      <c r="J302" s="32">
        <v>0</v>
      </c>
      <c r="K302" s="32">
        <v>0</v>
      </c>
      <c r="L302" s="32">
        <v>0</v>
      </c>
      <c r="M302" s="32">
        <v>0</v>
      </c>
      <c r="N302" s="32">
        <v>0</v>
      </c>
      <c r="O302" s="32">
        <v>0</v>
      </c>
      <c r="P302" s="32">
        <v>0</v>
      </c>
      <c r="Q302" s="32">
        <v>0</v>
      </c>
      <c r="R302" s="32">
        <v>0</v>
      </c>
      <c r="S302" s="32">
        <v>0</v>
      </c>
      <c r="T302" s="32">
        <v>0</v>
      </c>
      <c r="U302" s="32">
        <v>0</v>
      </c>
      <c r="V302" s="32">
        <v>0</v>
      </c>
      <c r="W302" s="32">
        <v>0</v>
      </c>
      <c r="X302" s="32">
        <v>0</v>
      </c>
      <c r="Y302" s="32">
        <v>0</v>
      </c>
      <c r="Z302" s="32">
        <v>0</v>
      </c>
      <c r="AA302" s="32">
        <v>0</v>
      </c>
      <c r="AB302" s="32">
        <v>0</v>
      </c>
      <c r="AC302" s="32">
        <v>0</v>
      </c>
      <c r="AD302" s="32">
        <v>0</v>
      </c>
      <c r="AE302" s="32">
        <v>0</v>
      </c>
      <c r="AF302" s="32">
        <v>0</v>
      </c>
      <c r="AH302" s="17" t="s">
        <v>279</v>
      </c>
    </row>
    <row r="303" spans="2:35" hidden="1" outlineLevel="1" x14ac:dyDescent="0.25">
      <c r="B303" s="31" t="s">
        <v>244</v>
      </c>
      <c r="C303" s="32">
        <v>249408.4642786741</v>
      </c>
      <c r="D303" s="32">
        <v>249408.4642786741</v>
      </c>
      <c r="E303" s="32">
        <v>0</v>
      </c>
      <c r="F303" s="32">
        <v>0</v>
      </c>
      <c r="G303" s="32">
        <v>0</v>
      </c>
      <c r="H303" s="32">
        <v>0</v>
      </c>
      <c r="I303" s="32">
        <v>0</v>
      </c>
      <c r="J303" s="32">
        <v>0</v>
      </c>
      <c r="K303" s="32">
        <v>0</v>
      </c>
      <c r="L303" s="32">
        <v>0</v>
      </c>
      <c r="M303" s="32">
        <v>0</v>
      </c>
      <c r="N303" s="32">
        <v>0</v>
      </c>
      <c r="O303" s="32">
        <v>0</v>
      </c>
      <c r="P303" s="32">
        <v>0</v>
      </c>
      <c r="Q303" s="32">
        <v>0</v>
      </c>
      <c r="R303" s="32">
        <v>0</v>
      </c>
      <c r="S303" s="32">
        <v>0</v>
      </c>
      <c r="T303" s="32">
        <v>0</v>
      </c>
      <c r="U303" s="32">
        <v>0</v>
      </c>
      <c r="V303" s="32">
        <v>0</v>
      </c>
      <c r="W303" s="32">
        <v>0</v>
      </c>
      <c r="X303" s="32">
        <v>0</v>
      </c>
      <c r="Y303" s="32">
        <v>0</v>
      </c>
      <c r="Z303" s="32">
        <v>0</v>
      </c>
      <c r="AA303" s="32">
        <v>0</v>
      </c>
      <c r="AB303" s="32">
        <v>0</v>
      </c>
      <c r="AC303" s="32">
        <v>0</v>
      </c>
      <c r="AD303" s="32">
        <v>0</v>
      </c>
      <c r="AE303" s="32">
        <v>0</v>
      </c>
      <c r="AF303" s="32">
        <v>0</v>
      </c>
      <c r="AG303"/>
      <c r="AH303" s="17" t="s">
        <v>279</v>
      </c>
    </row>
    <row r="304" spans="2:35" hidden="1" outlineLevel="1" x14ac:dyDescent="0.25">
      <c r="B304" s="31" t="s">
        <v>147</v>
      </c>
      <c r="C304" s="32">
        <v>0</v>
      </c>
      <c r="D304" s="32">
        <v>0</v>
      </c>
      <c r="E304" s="32">
        <v>0</v>
      </c>
      <c r="F304" s="32">
        <v>0</v>
      </c>
      <c r="G304" s="32">
        <v>0</v>
      </c>
      <c r="H304" s="32">
        <v>0</v>
      </c>
      <c r="I304" s="32">
        <v>0</v>
      </c>
      <c r="J304" s="32">
        <v>0</v>
      </c>
      <c r="K304" s="32">
        <v>0</v>
      </c>
      <c r="L304" s="32">
        <v>0</v>
      </c>
      <c r="M304" s="32">
        <v>0</v>
      </c>
      <c r="N304" s="32">
        <v>0</v>
      </c>
      <c r="O304" s="32">
        <v>0</v>
      </c>
      <c r="P304" s="32">
        <v>0</v>
      </c>
      <c r="Q304" s="32">
        <v>0</v>
      </c>
      <c r="R304" s="32">
        <v>0</v>
      </c>
      <c r="S304" s="32">
        <v>0</v>
      </c>
      <c r="T304" s="32">
        <v>0</v>
      </c>
      <c r="U304" s="32">
        <v>0</v>
      </c>
      <c r="V304" s="32">
        <v>0</v>
      </c>
      <c r="W304" s="32">
        <v>0</v>
      </c>
      <c r="X304" s="32">
        <v>0</v>
      </c>
      <c r="Y304" s="32">
        <v>0</v>
      </c>
      <c r="Z304" s="32">
        <v>0</v>
      </c>
      <c r="AA304" s="32">
        <v>0</v>
      </c>
      <c r="AB304" s="32">
        <v>0</v>
      </c>
      <c r="AC304" s="32">
        <v>0</v>
      </c>
      <c r="AD304" s="32">
        <v>0</v>
      </c>
      <c r="AE304" s="32">
        <v>0</v>
      </c>
      <c r="AF304" s="32">
        <v>0</v>
      </c>
      <c r="AG304"/>
      <c r="AH304" s="17" t="s">
        <v>279</v>
      </c>
    </row>
    <row r="305" spans="2:34" hidden="1" outlineLevel="1" x14ac:dyDescent="0.25">
      <c r="B305" s="31" t="s">
        <v>245</v>
      </c>
      <c r="C305" s="32">
        <v>15010.998282483361</v>
      </c>
      <c r="D305" s="32">
        <v>15010.998282483361</v>
      </c>
      <c r="E305" s="32">
        <v>0</v>
      </c>
      <c r="F305" s="32">
        <v>0</v>
      </c>
      <c r="G305" s="32">
        <v>0</v>
      </c>
      <c r="H305" s="32">
        <v>0</v>
      </c>
      <c r="I305" s="32">
        <v>0</v>
      </c>
      <c r="J305" s="32">
        <v>0</v>
      </c>
      <c r="K305" s="32">
        <v>0</v>
      </c>
      <c r="L305" s="32">
        <v>0</v>
      </c>
      <c r="M305" s="32">
        <v>0</v>
      </c>
      <c r="N305" s="32">
        <v>0</v>
      </c>
      <c r="O305" s="32">
        <v>0</v>
      </c>
      <c r="P305" s="32">
        <v>0</v>
      </c>
      <c r="Q305" s="32">
        <v>0</v>
      </c>
      <c r="R305" s="32">
        <v>0</v>
      </c>
      <c r="S305" s="32">
        <v>0</v>
      </c>
      <c r="T305" s="32">
        <v>0</v>
      </c>
      <c r="U305" s="32">
        <v>0</v>
      </c>
      <c r="V305" s="32">
        <v>0</v>
      </c>
      <c r="W305" s="32">
        <v>0</v>
      </c>
      <c r="X305" s="32">
        <v>0</v>
      </c>
      <c r="Y305" s="32">
        <v>0</v>
      </c>
      <c r="Z305" s="32">
        <v>0</v>
      </c>
      <c r="AA305" s="32">
        <v>0</v>
      </c>
      <c r="AB305" s="32">
        <v>0</v>
      </c>
      <c r="AC305" s="32">
        <v>0</v>
      </c>
      <c r="AD305" s="32">
        <v>0</v>
      </c>
      <c r="AE305" s="32">
        <v>0</v>
      </c>
      <c r="AF305" s="32">
        <v>0</v>
      </c>
      <c r="AG305"/>
      <c r="AH305" s="17" t="s">
        <v>279</v>
      </c>
    </row>
    <row r="306" spans="2:34" hidden="1" outlineLevel="1" x14ac:dyDescent="0.25">
      <c r="B306" s="31" t="s">
        <v>149</v>
      </c>
      <c r="C306" s="32">
        <v>704771.46668649488</v>
      </c>
      <c r="D306" s="32">
        <v>704771.46668649488</v>
      </c>
      <c r="E306" s="32">
        <v>0</v>
      </c>
      <c r="F306" s="32">
        <v>0</v>
      </c>
      <c r="G306" s="32">
        <v>0</v>
      </c>
      <c r="H306" s="32">
        <v>0</v>
      </c>
      <c r="I306" s="32">
        <v>0</v>
      </c>
      <c r="J306" s="32">
        <v>0</v>
      </c>
      <c r="K306" s="32">
        <v>0</v>
      </c>
      <c r="L306" s="32">
        <v>0</v>
      </c>
      <c r="M306" s="32">
        <v>0</v>
      </c>
      <c r="N306" s="32">
        <v>0</v>
      </c>
      <c r="O306" s="32">
        <v>0</v>
      </c>
      <c r="P306" s="32">
        <v>0</v>
      </c>
      <c r="Q306" s="32">
        <v>0</v>
      </c>
      <c r="R306" s="32">
        <v>0</v>
      </c>
      <c r="S306" s="32">
        <v>0</v>
      </c>
      <c r="T306" s="32">
        <v>0</v>
      </c>
      <c r="U306" s="32">
        <v>0</v>
      </c>
      <c r="V306" s="32">
        <v>0</v>
      </c>
      <c r="W306" s="32">
        <v>0</v>
      </c>
      <c r="X306" s="32">
        <v>0</v>
      </c>
      <c r="Y306" s="32">
        <v>0</v>
      </c>
      <c r="Z306" s="32">
        <v>0</v>
      </c>
      <c r="AA306" s="32">
        <v>0</v>
      </c>
      <c r="AB306" s="32">
        <v>0</v>
      </c>
      <c r="AC306" s="32">
        <v>0</v>
      </c>
      <c r="AD306" s="32">
        <v>0</v>
      </c>
      <c r="AE306" s="32">
        <v>0</v>
      </c>
      <c r="AF306" s="32">
        <v>0</v>
      </c>
      <c r="AG306"/>
      <c r="AH306" s="17" t="s">
        <v>279</v>
      </c>
    </row>
    <row r="307" spans="2:34" hidden="1" outlineLevel="1" x14ac:dyDescent="0.25">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row>
    <row r="308" spans="2:34" ht="15.75" hidden="1" outlineLevel="1" thickBot="1" x14ac:dyDescent="0.3">
      <c r="B308" s="28" t="s">
        <v>280</v>
      </c>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0"/>
      <c r="AH308" s="20" t="s">
        <v>15</v>
      </c>
    </row>
    <row r="309" spans="2:34" customFormat="1" hidden="1" outlineLevel="1" x14ac:dyDescent="0.25">
      <c r="B309" s="30"/>
      <c r="C309" s="17">
        <v>2025</v>
      </c>
      <c r="D309" s="44">
        <v>2026</v>
      </c>
      <c r="E309" s="44">
        <v>2027</v>
      </c>
      <c r="F309" s="44">
        <v>2028</v>
      </c>
      <c r="G309" s="44">
        <v>2029</v>
      </c>
      <c r="H309" s="44">
        <v>2030</v>
      </c>
      <c r="I309" s="44">
        <v>2031</v>
      </c>
      <c r="J309" s="44">
        <v>2032</v>
      </c>
      <c r="K309" s="44">
        <v>2033</v>
      </c>
      <c r="L309" s="44">
        <v>2034</v>
      </c>
      <c r="M309" s="44">
        <v>2035</v>
      </c>
      <c r="N309" s="44">
        <v>2036</v>
      </c>
      <c r="O309" s="44">
        <v>2037</v>
      </c>
      <c r="P309" s="44">
        <v>2038</v>
      </c>
      <c r="Q309" s="44">
        <v>2039</v>
      </c>
      <c r="R309" s="44">
        <v>2040</v>
      </c>
      <c r="S309" s="44">
        <v>2041</v>
      </c>
      <c r="T309" s="44">
        <v>2042</v>
      </c>
      <c r="U309" s="44">
        <v>2043</v>
      </c>
      <c r="V309" s="44">
        <v>2044</v>
      </c>
      <c r="W309" s="44">
        <v>2045</v>
      </c>
      <c r="X309" s="44">
        <v>2046</v>
      </c>
      <c r="Y309" s="44">
        <v>2047</v>
      </c>
      <c r="Z309" s="44">
        <v>2048</v>
      </c>
      <c r="AA309" s="44">
        <v>2049</v>
      </c>
      <c r="AB309" s="44">
        <v>2050</v>
      </c>
      <c r="AC309" s="44">
        <v>2051</v>
      </c>
      <c r="AD309" s="44">
        <v>2052</v>
      </c>
      <c r="AE309" s="44">
        <v>2053</v>
      </c>
      <c r="AF309" s="44">
        <v>2054</v>
      </c>
      <c r="AH309" s="1"/>
    </row>
    <row r="310" spans="2:34" hidden="1" outlineLevel="1" x14ac:dyDescent="0.25">
      <c r="B310" s="31" t="s">
        <v>144</v>
      </c>
      <c r="C310" s="32">
        <v>0</v>
      </c>
      <c r="D310" s="32">
        <v>0</v>
      </c>
      <c r="E310" s="32">
        <v>342242.65102078754</v>
      </c>
      <c r="F310" s="32">
        <v>305603.30209601083</v>
      </c>
      <c r="G310" s="32">
        <v>305603.30209601083</v>
      </c>
      <c r="H310" s="32">
        <v>301207.80852934415</v>
      </c>
      <c r="I310" s="32">
        <v>301207.80852934415</v>
      </c>
      <c r="J310" s="32">
        <v>291945.6620454957</v>
      </c>
      <c r="K310" s="32">
        <v>291945.6620454957</v>
      </c>
      <c r="L310" s="32">
        <v>291945.6620454957</v>
      </c>
      <c r="M310" s="32">
        <v>291945.6620454957</v>
      </c>
      <c r="N310" s="32">
        <v>291945.6620454957</v>
      </c>
      <c r="O310" s="32">
        <v>291945.6620454957</v>
      </c>
      <c r="P310" s="32">
        <v>291945.6620454957</v>
      </c>
      <c r="Q310" s="32">
        <v>291945.6620454957</v>
      </c>
      <c r="R310" s="32">
        <v>291945.6620454957</v>
      </c>
      <c r="S310" s="32">
        <v>291945.6620454957</v>
      </c>
      <c r="T310" s="32">
        <v>291945.6620454957</v>
      </c>
      <c r="U310" s="32">
        <v>291945.6620454957</v>
      </c>
      <c r="V310" s="32">
        <v>291945.6620454957</v>
      </c>
      <c r="W310" s="32">
        <v>291945.6620454957</v>
      </c>
      <c r="X310" s="32">
        <v>291945.6620454957</v>
      </c>
      <c r="Y310" s="32">
        <v>291945.6620454957</v>
      </c>
      <c r="Z310" s="32">
        <v>291945.6620454957</v>
      </c>
      <c r="AA310" s="32">
        <v>291945.6620454957</v>
      </c>
      <c r="AB310" s="32">
        <v>291945.6620454957</v>
      </c>
      <c r="AC310" s="32">
        <v>291945.6620454957</v>
      </c>
      <c r="AD310" s="32">
        <v>291945.6620454957</v>
      </c>
      <c r="AE310" s="32">
        <v>291945.6620454957</v>
      </c>
      <c r="AF310" s="32">
        <v>291945.6620454957</v>
      </c>
      <c r="AG310"/>
      <c r="AH310" s="17" t="s">
        <v>279</v>
      </c>
    </row>
    <row r="311" spans="2:34" hidden="1" outlineLevel="1" x14ac:dyDescent="0.25">
      <c r="B311" s="31" t="s">
        <v>145</v>
      </c>
      <c r="C311" s="32">
        <v>0</v>
      </c>
      <c r="D311" s="32">
        <v>0</v>
      </c>
      <c r="E311" s="32">
        <v>98109.353104549853</v>
      </c>
      <c r="F311" s="32">
        <v>98109.353104549853</v>
      </c>
      <c r="G311" s="32">
        <v>98109.353104549853</v>
      </c>
      <c r="H311" s="32">
        <v>98109.353104549853</v>
      </c>
      <c r="I311" s="32">
        <v>98109.353104549853</v>
      </c>
      <c r="J311" s="32">
        <v>98109.353104549853</v>
      </c>
      <c r="K311" s="32">
        <v>98109.353104549853</v>
      </c>
      <c r="L311" s="32">
        <v>87477.430959262143</v>
      </c>
      <c r="M311" s="32">
        <v>87477.430959262143</v>
      </c>
      <c r="N311" s="32">
        <v>87477.430959262143</v>
      </c>
      <c r="O311" s="32">
        <v>87477.430959262143</v>
      </c>
      <c r="P311" s="32">
        <v>87287.517599226805</v>
      </c>
      <c r="Q311" s="32">
        <v>87287.517599226805</v>
      </c>
      <c r="R311" s="32">
        <v>86872.013217632499</v>
      </c>
      <c r="S311" s="32">
        <v>86872.013217632499</v>
      </c>
      <c r="T311" s="32">
        <v>85195.012122318236</v>
      </c>
      <c r="U311" s="32">
        <v>85195.012122318236</v>
      </c>
      <c r="V311" s="32">
        <v>85195.012122318236</v>
      </c>
      <c r="W311" s="32">
        <v>85195.012122318236</v>
      </c>
      <c r="X311" s="32">
        <v>85195.012122318236</v>
      </c>
      <c r="Y311" s="32">
        <v>85195.012122318236</v>
      </c>
      <c r="Z311" s="32">
        <v>85195.012122318236</v>
      </c>
      <c r="AA311" s="32">
        <v>85195.012122318236</v>
      </c>
      <c r="AB311" s="32">
        <v>83077.009532805183</v>
      </c>
      <c r="AC311" s="32">
        <v>83077.009532805183</v>
      </c>
      <c r="AD311" s="32">
        <v>83077.009532805183</v>
      </c>
      <c r="AE311" s="32">
        <v>83077.009532805183</v>
      </c>
      <c r="AF311" s="32">
        <v>83077.009532805183</v>
      </c>
      <c r="AG311"/>
      <c r="AH311" s="17" t="s">
        <v>279</v>
      </c>
    </row>
    <row r="312" spans="2:34" hidden="1" outlineLevel="1" x14ac:dyDescent="0.25">
      <c r="B312" s="31" t="s">
        <v>244</v>
      </c>
      <c r="C312" s="32">
        <v>0</v>
      </c>
      <c r="D312" s="32">
        <v>0</v>
      </c>
      <c r="E312" s="32">
        <v>249408.4642786741</v>
      </c>
      <c r="F312" s="32">
        <v>271089.76978868787</v>
      </c>
      <c r="G312" s="32">
        <v>271089.76978868787</v>
      </c>
      <c r="H312" s="32">
        <v>264563.44007260934</v>
      </c>
      <c r="I312" s="32">
        <v>264563.44007260934</v>
      </c>
      <c r="J312" s="32">
        <v>241469.52476634944</v>
      </c>
      <c r="K312" s="32">
        <v>241469.52476634944</v>
      </c>
      <c r="L312" s="32">
        <v>241469.52476634944</v>
      </c>
      <c r="M312" s="32">
        <v>241469.52476634944</v>
      </c>
      <c r="N312" s="32">
        <v>228160.89031826754</v>
      </c>
      <c r="O312" s="32">
        <v>228160.89031826754</v>
      </c>
      <c r="P312" s="32">
        <v>225094.6559789071</v>
      </c>
      <c r="Q312" s="32">
        <v>225094.6559789071</v>
      </c>
      <c r="R312" s="32">
        <v>231209.69947117515</v>
      </c>
      <c r="S312" s="32">
        <v>231209.69947117515</v>
      </c>
      <c r="T312" s="32">
        <v>231209.69947117515</v>
      </c>
      <c r="U312" s="32">
        <v>231209.69947117515</v>
      </c>
      <c r="V312" s="32">
        <v>229096.82281032932</v>
      </c>
      <c r="W312" s="32">
        <v>229096.82281032932</v>
      </c>
      <c r="X312" s="32">
        <v>229096.82281032932</v>
      </c>
      <c r="Y312" s="32">
        <v>229096.82281032932</v>
      </c>
      <c r="Z312" s="32">
        <v>229096.82281032932</v>
      </c>
      <c r="AA312" s="32">
        <v>229096.82281032932</v>
      </c>
      <c r="AB312" s="32">
        <v>229096.82281032932</v>
      </c>
      <c r="AC312" s="32">
        <v>229096.82281032932</v>
      </c>
      <c r="AD312" s="32">
        <v>229096.82281032932</v>
      </c>
      <c r="AE312" s="32">
        <v>229096.82281032932</v>
      </c>
      <c r="AF312" s="32">
        <v>229096.82281032932</v>
      </c>
      <c r="AG312"/>
      <c r="AH312" s="17" t="s">
        <v>279</v>
      </c>
    </row>
    <row r="313" spans="2:34" hidden="1" outlineLevel="1" x14ac:dyDescent="0.25">
      <c r="B313" s="31" t="s">
        <v>147</v>
      </c>
      <c r="C313" s="32">
        <v>0</v>
      </c>
      <c r="D313" s="32">
        <v>0</v>
      </c>
      <c r="E313" s="32">
        <v>0</v>
      </c>
      <c r="F313" s="32">
        <v>0</v>
      </c>
      <c r="G313" s="32">
        <v>0</v>
      </c>
      <c r="H313" s="32">
        <v>0</v>
      </c>
      <c r="I313" s="32">
        <v>0</v>
      </c>
      <c r="J313" s="32">
        <v>0</v>
      </c>
      <c r="K313" s="32">
        <v>0</v>
      </c>
      <c r="L313" s="32">
        <v>0</v>
      </c>
      <c r="M313" s="32">
        <v>0</v>
      </c>
      <c r="N313" s="32">
        <v>0</v>
      </c>
      <c r="O313" s="32">
        <v>0</v>
      </c>
      <c r="P313" s="32">
        <v>0</v>
      </c>
      <c r="Q313" s="32">
        <v>0</v>
      </c>
      <c r="R313" s="32">
        <v>0</v>
      </c>
      <c r="S313" s="32">
        <v>0</v>
      </c>
      <c r="T313" s="32">
        <v>0</v>
      </c>
      <c r="U313" s="32">
        <v>0</v>
      </c>
      <c r="V313" s="32">
        <v>0</v>
      </c>
      <c r="W313" s="32">
        <v>0</v>
      </c>
      <c r="X313" s="32">
        <v>0</v>
      </c>
      <c r="Y313" s="32">
        <v>0</v>
      </c>
      <c r="Z313" s="32">
        <v>0</v>
      </c>
      <c r="AA313" s="32">
        <v>0</v>
      </c>
      <c r="AB313" s="32">
        <v>0</v>
      </c>
      <c r="AC313" s="32">
        <v>0</v>
      </c>
      <c r="AD313" s="32">
        <v>0</v>
      </c>
      <c r="AE313" s="32">
        <v>0</v>
      </c>
      <c r="AF313" s="32">
        <v>0</v>
      </c>
      <c r="AG313"/>
      <c r="AH313" s="17" t="s">
        <v>279</v>
      </c>
    </row>
    <row r="314" spans="2:34" hidden="1" outlineLevel="1" x14ac:dyDescent="0.25">
      <c r="B314" s="31" t="s">
        <v>245</v>
      </c>
      <c r="C314" s="32">
        <v>0</v>
      </c>
      <c r="D314" s="32">
        <v>0</v>
      </c>
      <c r="E314" s="32">
        <v>15010.998282483361</v>
      </c>
      <c r="F314" s="32">
        <v>15010.998282483361</v>
      </c>
      <c r="G314" s="32">
        <v>15010.998282483361</v>
      </c>
      <c r="H314" s="32">
        <v>15010.998282483361</v>
      </c>
      <c r="I314" s="32">
        <v>15010.998282483361</v>
      </c>
      <c r="J314" s="32">
        <v>15010.998282483361</v>
      </c>
      <c r="K314" s="32">
        <v>15010.998282483361</v>
      </c>
      <c r="L314" s="32">
        <v>15010.998282483361</v>
      </c>
      <c r="M314" s="32">
        <v>15010.998282483361</v>
      </c>
      <c r="N314" s="32">
        <v>13436.692112233934</v>
      </c>
      <c r="O314" s="32">
        <v>13436.692112233934</v>
      </c>
      <c r="P314" s="32">
        <v>13436.692112233934</v>
      </c>
      <c r="Q314" s="32">
        <v>13436.692112233934</v>
      </c>
      <c r="R314" s="32">
        <v>51778.373813264858</v>
      </c>
      <c r="S314" s="32">
        <v>51778.373813264858</v>
      </c>
      <c r="T314" s="32">
        <v>51778.373813264858</v>
      </c>
      <c r="U314" s="32">
        <v>51778.373813264858</v>
      </c>
      <c r="V314" s="32">
        <v>51778.373813264858</v>
      </c>
      <c r="W314" s="32">
        <v>51778.373813264858</v>
      </c>
      <c r="X314" s="32">
        <v>51778.373813264858</v>
      </c>
      <c r="Y314" s="32">
        <v>51778.373813264858</v>
      </c>
      <c r="Z314" s="32">
        <v>51778.373813264858</v>
      </c>
      <c r="AA314" s="32">
        <v>51778.373813264858</v>
      </c>
      <c r="AB314" s="32">
        <v>51778.373813264858</v>
      </c>
      <c r="AC314" s="32">
        <v>51778.373813264858</v>
      </c>
      <c r="AD314" s="32">
        <v>51778.373813264858</v>
      </c>
      <c r="AE314" s="32">
        <v>51778.373813264858</v>
      </c>
      <c r="AF314" s="32">
        <v>51778.373813264858</v>
      </c>
      <c r="AG314"/>
      <c r="AH314" s="17" t="s">
        <v>279</v>
      </c>
    </row>
    <row r="315" spans="2:34" hidden="1" outlineLevel="1" x14ac:dyDescent="0.25">
      <c r="B315" s="31" t="s">
        <v>149</v>
      </c>
      <c r="C315" s="32">
        <v>0</v>
      </c>
      <c r="D315" s="32">
        <v>0</v>
      </c>
      <c r="E315" s="32">
        <v>704771.46668649488</v>
      </c>
      <c r="F315" s="32">
        <v>689813.42327173194</v>
      </c>
      <c r="G315" s="32">
        <v>689813.42327173194</v>
      </c>
      <c r="H315" s="32">
        <v>678891.59998898674</v>
      </c>
      <c r="I315" s="32">
        <v>678891.59998898674</v>
      </c>
      <c r="J315" s="32">
        <v>646535.53819887829</v>
      </c>
      <c r="K315" s="32">
        <v>646535.53819887829</v>
      </c>
      <c r="L315" s="32">
        <v>635903.61605359055</v>
      </c>
      <c r="M315" s="32">
        <v>635903.61605359055</v>
      </c>
      <c r="N315" s="32">
        <v>621020.67543525936</v>
      </c>
      <c r="O315" s="32">
        <v>621020.67543525936</v>
      </c>
      <c r="P315" s="32">
        <v>617764.52773586358</v>
      </c>
      <c r="Q315" s="32">
        <v>617764.52773586358</v>
      </c>
      <c r="R315" s="32">
        <v>661805.74854756822</v>
      </c>
      <c r="S315" s="32">
        <v>661805.74854756822</v>
      </c>
      <c r="T315" s="32">
        <v>660128.74745225406</v>
      </c>
      <c r="U315" s="32">
        <v>660128.74745225406</v>
      </c>
      <c r="V315" s="32">
        <v>658015.87079140812</v>
      </c>
      <c r="W315" s="32">
        <v>658015.87079140812</v>
      </c>
      <c r="X315" s="32">
        <v>658015.87079140812</v>
      </c>
      <c r="Y315" s="32">
        <v>658015.87079140812</v>
      </c>
      <c r="Z315" s="32">
        <v>658015.87079140812</v>
      </c>
      <c r="AA315" s="32">
        <v>658015.87079140812</v>
      </c>
      <c r="AB315" s="32">
        <v>655897.86820189503</v>
      </c>
      <c r="AC315" s="32">
        <v>655897.86820189503</v>
      </c>
      <c r="AD315" s="32">
        <v>655897.86820189503</v>
      </c>
      <c r="AE315" s="32">
        <v>655897.86820189503</v>
      </c>
      <c r="AF315" s="32">
        <v>655897.86820189503</v>
      </c>
      <c r="AG315"/>
      <c r="AH315" s="17" t="s">
        <v>279</v>
      </c>
    </row>
    <row r="316" spans="2:34" hidden="1" outlineLevel="1" x14ac:dyDescent="0.25">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row>
    <row r="317" spans="2:34" hidden="1" outlineLevel="1" x14ac:dyDescent="0.25">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row>
    <row r="318" spans="2:34" ht="17.25" hidden="1" outlineLevel="1" thickBot="1" x14ac:dyDescent="0.3">
      <c r="B318" s="26" t="s">
        <v>283</v>
      </c>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row>
    <row r="319" spans="2:34" ht="16.5" hidden="1" outlineLevel="1" thickTop="1" thickBot="1" x14ac:dyDescent="0.3">
      <c r="B319" s="28" t="s">
        <v>278</v>
      </c>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0"/>
      <c r="AH319" s="20" t="s">
        <v>15</v>
      </c>
    </row>
    <row r="320" spans="2:34" customFormat="1" hidden="1" outlineLevel="1" x14ac:dyDescent="0.25">
      <c r="B320" s="30"/>
      <c r="C320" s="17">
        <v>2025</v>
      </c>
      <c r="D320" s="44">
        <v>2026</v>
      </c>
      <c r="E320" s="44">
        <v>2027</v>
      </c>
      <c r="F320" s="44">
        <v>2028</v>
      </c>
      <c r="G320" s="44">
        <v>2029</v>
      </c>
      <c r="H320" s="44">
        <v>2030</v>
      </c>
      <c r="I320" s="44">
        <v>2031</v>
      </c>
      <c r="J320" s="44">
        <v>2032</v>
      </c>
      <c r="K320" s="44">
        <v>2033</v>
      </c>
      <c r="L320" s="44">
        <v>2034</v>
      </c>
      <c r="M320" s="44">
        <v>2035</v>
      </c>
      <c r="N320" s="44">
        <v>2036</v>
      </c>
      <c r="O320" s="44">
        <v>2037</v>
      </c>
      <c r="P320" s="44">
        <v>2038</v>
      </c>
      <c r="Q320" s="44">
        <v>2039</v>
      </c>
      <c r="R320" s="44">
        <v>2040</v>
      </c>
      <c r="S320" s="44">
        <v>2041</v>
      </c>
      <c r="T320" s="44">
        <v>2042</v>
      </c>
      <c r="U320" s="44">
        <v>2043</v>
      </c>
      <c r="V320" s="44">
        <v>2044</v>
      </c>
      <c r="W320" s="44">
        <v>2045</v>
      </c>
      <c r="X320" s="44">
        <v>2046</v>
      </c>
      <c r="Y320" s="44">
        <v>2047</v>
      </c>
      <c r="Z320" s="44">
        <v>2048</v>
      </c>
      <c r="AA320" s="44">
        <v>2049</v>
      </c>
      <c r="AB320" s="44">
        <v>2050</v>
      </c>
      <c r="AC320" s="44">
        <v>2051</v>
      </c>
      <c r="AD320" s="44">
        <v>2052</v>
      </c>
      <c r="AE320" s="44">
        <v>2053</v>
      </c>
      <c r="AF320" s="44">
        <v>2054</v>
      </c>
      <c r="AH320" s="1"/>
    </row>
    <row r="321" spans="2:34" hidden="1" outlineLevel="1" x14ac:dyDescent="0.25">
      <c r="B321" s="31" t="s">
        <v>144</v>
      </c>
      <c r="C321" s="32">
        <v>8678140.1263548788</v>
      </c>
      <c r="D321" s="32">
        <v>8678140.1263548788</v>
      </c>
      <c r="E321" s="32">
        <v>0</v>
      </c>
      <c r="F321" s="32">
        <v>0</v>
      </c>
      <c r="G321" s="32">
        <v>0</v>
      </c>
      <c r="H321" s="32">
        <v>0</v>
      </c>
      <c r="I321" s="32">
        <v>0</v>
      </c>
      <c r="J321" s="32">
        <v>0</v>
      </c>
      <c r="K321" s="32">
        <v>0</v>
      </c>
      <c r="L321" s="32">
        <v>0</v>
      </c>
      <c r="M321" s="32">
        <v>0</v>
      </c>
      <c r="N321" s="32">
        <v>0</v>
      </c>
      <c r="O321" s="32">
        <v>0</v>
      </c>
      <c r="P321" s="32">
        <v>0</v>
      </c>
      <c r="Q321" s="32">
        <v>0</v>
      </c>
      <c r="R321" s="32">
        <v>0</v>
      </c>
      <c r="S321" s="32">
        <v>0</v>
      </c>
      <c r="T321" s="32">
        <v>0</v>
      </c>
      <c r="U321" s="32">
        <v>0</v>
      </c>
      <c r="V321" s="32">
        <v>0</v>
      </c>
      <c r="W321" s="32">
        <v>0</v>
      </c>
      <c r="X321" s="32">
        <v>0</v>
      </c>
      <c r="Y321" s="32">
        <v>0</v>
      </c>
      <c r="Z321" s="32">
        <v>0</v>
      </c>
      <c r="AA321" s="32">
        <v>0</v>
      </c>
      <c r="AB321" s="32">
        <v>0</v>
      </c>
      <c r="AC321" s="32">
        <v>0</v>
      </c>
      <c r="AD321" s="32">
        <v>0</v>
      </c>
      <c r="AE321" s="32">
        <v>0</v>
      </c>
      <c r="AF321" s="32">
        <v>0</v>
      </c>
      <c r="AG321"/>
      <c r="AH321" s="17" t="s">
        <v>279</v>
      </c>
    </row>
    <row r="322" spans="2:34" hidden="1" outlineLevel="1" x14ac:dyDescent="0.25">
      <c r="B322" s="31" t="s">
        <v>145</v>
      </c>
      <c r="C322" s="32">
        <v>3544817.3883669907</v>
      </c>
      <c r="D322" s="32">
        <v>7148037.0083669899</v>
      </c>
      <c r="E322" s="32">
        <v>0</v>
      </c>
      <c r="F322" s="32">
        <v>0</v>
      </c>
      <c r="G322" s="32">
        <v>0</v>
      </c>
      <c r="H322" s="32">
        <v>0</v>
      </c>
      <c r="I322" s="32">
        <v>0</v>
      </c>
      <c r="J322" s="32">
        <v>0</v>
      </c>
      <c r="K322" s="32">
        <v>0</v>
      </c>
      <c r="L322" s="32">
        <v>0</v>
      </c>
      <c r="M322" s="32">
        <v>0</v>
      </c>
      <c r="N322" s="32">
        <v>0</v>
      </c>
      <c r="O322" s="32">
        <v>0</v>
      </c>
      <c r="P322" s="32">
        <v>0</v>
      </c>
      <c r="Q322" s="32">
        <v>0</v>
      </c>
      <c r="R322" s="32">
        <v>0</v>
      </c>
      <c r="S322" s="32">
        <v>0</v>
      </c>
      <c r="T322" s="32">
        <v>0</v>
      </c>
      <c r="U322" s="32">
        <v>0</v>
      </c>
      <c r="V322" s="32">
        <v>0</v>
      </c>
      <c r="W322" s="32">
        <v>0</v>
      </c>
      <c r="X322" s="32">
        <v>0</v>
      </c>
      <c r="Y322" s="32">
        <v>0</v>
      </c>
      <c r="Z322" s="32">
        <v>0</v>
      </c>
      <c r="AA322" s="32">
        <v>0</v>
      </c>
      <c r="AB322" s="32">
        <v>0</v>
      </c>
      <c r="AC322" s="32">
        <v>0</v>
      </c>
      <c r="AD322" s="32">
        <v>0</v>
      </c>
      <c r="AE322" s="32">
        <v>0</v>
      </c>
      <c r="AF322" s="32">
        <v>0</v>
      </c>
      <c r="AG322"/>
      <c r="AH322" s="17" t="s">
        <v>279</v>
      </c>
    </row>
    <row r="323" spans="2:34" hidden="1" outlineLevel="1" x14ac:dyDescent="0.25">
      <c r="B323" s="31" t="s">
        <v>244</v>
      </c>
      <c r="C323" s="32">
        <v>10424562.72955735</v>
      </c>
      <c r="D323" s="32">
        <v>10424562.72955735</v>
      </c>
      <c r="E323" s="32">
        <v>0</v>
      </c>
      <c r="F323" s="32">
        <v>0</v>
      </c>
      <c r="G323" s="32">
        <v>0</v>
      </c>
      <c r="H323" s="32">
        <v>0</v>
      </c>
      <c r="I323" s="32">
        <v>0</v>
      </c>
      <c r="J323" s="32">
        <v>0</v>
      </c>
      <c r="K323" s="32">
        <v>0</v>
      </c>
      <c r="L323" s="32">
        <v>0</v>
      </c>
      <c r="M323" s="32">
        <v>0</v>
      </c>
      <c r="N323" s="32">
        <v>0</v>
      </c>
      <c r="O323" s="32">
        <v>0</v>
      </c>
      <c r="P323" s="32">
        <v>0</v>
      </c>
      <c r="Q323" s="32">
        <v>0</v>
      </c>
      <c r="R323" s="32">
        <v>0</v>
      </c>
      <c r="S323" s="32">
        <v>0</v>
      </c>
      <c r="T323" s="32">
        <v>0</v>
      </c>
      <c r="U323" s="32">
        <v>0</v>
      </c>
      <c r="V323" s="32">
        <v>0</v>
      </c>
      <c r="W323" s="32">
        <v>0</v>
      </c>
      <c r="X323" s="32">
        <v>0</v>
      </c>
      <c r="Y323" s="32">
        <v>0</v>
      </c>
      <c r="Z323" s="32">
        <v>0</v>
      </c>
      <c r="AA323" s="32">
        <v>0</v>
      </c>
      <c r="AB323" s="32">
        <v>0</v>
      </c>
      <c r="AC323" s="32">
        <v>0</v>
      </c>
      <c r="AD323" s="32">
        <v>0</v>
      </c>
      <c r="AE323" s="32">
        <v>0</v>
      </c>
      <c r="AF323" s="32">
        <v>0</v>
      </c>
      <c r="AG323"/>
      <c r="AH323" s="17" t="s">
        <v>279</v>
      </c>
    </row>
    <row r="324" spans="2:34" hidden="1" outlineLevel="1" x14ac:dyDescent="0.25">
      <c r="B324" s="31" t="s">
        <v>147</v>
      </c>
      <c r="C324" s="32">
        <v>0</v>
      </c>
      <c r="D324" s="32">
        <v>0</v>
      </c>
      <c r="E324" s="32">
        <v>0</v>
      </c>
      <c r="F324" s="32">
        <v>0</v>
      </c>
      <c r="G324" s="32">
        <v>0</v>
      </c>
      <c r="H324" s="32">
        <v>0</v>
      </c>
      <c r="I324" s="32">
        <v>0</v>
      </c>
      <c r="J324" s="32">
        <v>0</v>
      </c>
      <c r="K324" s="32">
        <v>0</v>
      </c>
      <c r="L324" s="32">
        <v>0</v>
      </c>
      <c r="M324" s="32">
        <v>0</v>
      </c>
      <c r="N324" s="32">
        <v>0</v>
      </c>
      <c r="O324" s="32">
        <v>0</v>
      </c>
      <c r="P324" s="32">
        <v>0</v>
      </c>
      <c r="Q324" s="32">
        <v>0</v>
      </c>
      <c r="R324" s="32">
        <v>0</v>
      </c>
      <c r="S324" s="32">
        <v>0</v>
      </c>
      <c r="T324" s="32">
        <v>0</v>
      </c>
      <c r="U324" s="32">
        <v>0</v>
      </c>
      <c r="V324" s="32">
        <v>0</v>
      </c>
      <c r="W324" s="32">
        <v>0</v>
      </c>
      <c r="X324" s="32">
        <v>0</v>
      </c>
      <c r="Y324" s="32">
        <v>0</v>
      </c>
      <c r="Z324" s="32">
        <v>0</v>
      </c>
      <c r="AA324" s="32">
        <v>0</v>
      </c>
      <c r="AB324" s="32">
        <v>0</v>
      </c>
      <c r="AC324" s="32">
        <v>0</v>
      </c>
      <c r="AD324" s="32">
        <v>0</v>
      </c>
      <c r="AE324" s="32">
        <v>0</v>
      </c>
      <c r="AF324" s="32">
        <v>0</v>
      </c>
      <c r="AG324"/>
      <c r="AH324" s="17" t="s">
        <v>279</v>
      </c>
    </row>
    <row r="325" spans="2:34" hidden="1" outlineLevel="1" x14ac:dyDescent="0.25">
      <c r="B325" s="31" t="s">
        <v>245</v>
      </c>
      <c r="C325" s="32">
        <v>1207501.7119999998</v>
      </c>
      <c r="D325" s="32">
        <v>1207501.7119999998</v>
      </c>
      <c r="E325" s="32">
        <v>0</v>
      </c>
      <c r="F325" s="32">
        <v>0</v>
      </c>
      <c r="G325" s="32">
        <v>0</v>
      </c>
      <c r="H325" s="32">
        <v>0</v>
      </c>
      <c r="I325" s="32">
        <v>0</v>
      </c>
      <c r="J325" s="32">
        <v>0</v>
      </c>
      <c r="K325" s="32">
        <v>0</v>
      </c>
      <c r="L325" s="32">
        <v>0</v>
      </c>
      <c r="M325" s="32">
        <v>0</v>
      </c>
      <c r="N325" s="32">
        <v>0</v>
      </c>
      <c r="O325" s="32">
        <v>0</v>
      </c>
      <c r="P325" s="32">
        <v>0</v>
      </c>
      <c r="Q325" s="32">
        <v>0</v>
      </c>
      <c r="R325" s="32">
        <v>0</v>
      </c>
      <c r="S325" s="32">
        <v>0</v>
      </c>
      <c r="T325" s="32">
        <v>0</v>
      </c>
      <c r="U325" s="32">
        <v>0</v>
      </c>
      <c r="V325" s="32">
        <v>0</v>
      </c>
      <c r="W325" s="32">
        <v>0</v>
      </c>
      <c r="X325" s="32">
        <v>0</v>
      </c>
      <c r="Y325" s="32">
        <v>0</v>
      </c>
      <c r="Z325" s="32">
        <v>0</v>
      </c>
      <c r="AA325" s="32">
        <v>0</v>
      </c>
      <c r="AB325" s="32">
        <v>0</v>
      </c>
      <c r="AC325" s="32">
        <v>0</v>
      </c>
      <c r="AD325" s="32">
        <v>0</v>
      </c>
      <c r="AE325" s="32">
        <v>0</v>
      </c>
      <c r="AF325" s="32">
        <v>0</v>
      </c>
      <c r="AG325"/>
      <c r="AH325" s="17" t="s">
        <v>279</v>
      </c>
    </row>
    <row r="326" spans="2:34" hidden="1" outlineLevel="1" x14ac:dyDescent="0.25">
      <c r="B326" s="31" t="s">
        <v>149</v>
      </c>
      <c r="C326" s="32">
        <v>23855021.956279222</v>
      </c>
      <c r="D326" s="32">
        <v>27458241.576279219</v>
      </c>
      <c r="E326" s="32">
        <v>0</v>
      </c>
      <c r="F326" s="32">
        <v>0</v>
      </c>
      <c r="G326" s="32">
        <v>0</v>
      </c>
      <c r="H326" s="32">
        <v>0</v>
      </c>
      <c r="I326" s="32">
        <v>0</v>
      </c>
      <c r="J326" s="32">
        <v>0</v>
      </c>
      <c r="K326" s="32">
        <v>0</v>
      </c>
      <c r="L326" s="32">
        <v>0</v>
      </c>
      <c r="M326" s="32">
        <v>0</v>
      </c>
      <c r="N326" s="32">
        <v>0</v>
      </c>
      <c r="O326" s="32">
        <v>0</v>
      </c>
      <c r="P326" s="32">
        <v>0</v>
      </c>
      <c r="Q326" s="32">
        <v>0</v>
      </c>
      <c r="R326" s="32">
        <v>0</v>
      </c>
      <c r="S326" s="32">
        <v>0</v>
      </c>
      <c r="T326" s="32">
        <v>0</v>
      </c>
      <c r="U326" s="32">
        <v>0</v>
      </c>
      <c r="V326" s="32">
        <v>0</v>
      </c>
      <c r="W326" s="32">
        <v>0</v>
      </c>
      <c r="X326" s="32">
        <v>0</v>
      </c>
      <c r="Y326" s="32">
        <v>0</v>
      </c>
      <c r="Z326" s="32">
        <v>0</v>
      </c>
      <c r="AA326" s="32">
        <v>0</v>
      </c>
      <c r="AB326" s="32">
        <v>0</v>
      </c>
      <c r="AC326" s="32">
        <v>0</v>
      </c>
      <c r="AD326" s="32">
        <v>0</v>
      </c>
      <c r="AE326" s="32">
        <v>0</v>
      </c>
      <c r="AF326" s="32">
        <v>0</v>
      </c>
      <c r="AG326"/>
      <c r="AH326" s="17" t="s">
        <v>279</v>
      </c>
    </row>
    <row r="327" spans="2:34" hidden="1" outlineLevel="1" x14ac:dyDescent="0.25">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row>
    <row r="328" spans="2:34" ht="15.75" hidden="1" outlineLevel="1" thickBot="1" x14ac:dyDescent="0.3">
      <c r="B328" s="28" t="s">
        <v>280</v>
      </c>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0"/>
      <c r="AH328" s="20" t="s">
        <v>15</v>
      </c>
    </row>
    <row r="329" spans="2:34" customFormat="1" hidden="1" outlineLevel="1" x14ac:dyDescent="0.25">
      <c r="B329" s="30"/>
      <c r="C329" s="17">
        <v>2025</v>
      </c>
      <c r="D329" s="44">
        <v>2026</v>
      </c>
      <c r="E329" s="44">
        <v>2027</v>
      </c>
      <c r="F329" s="44">
        <v>2028</v>
      </c>
      <c r="G329" s="44">
        <v>2029</v>
      </c>
      <c r="H329" s="44">
        <v>2030</v>
      </c>
      <c r="I329" s="44">
        <v>2031</v>
      </c>
      <c r="J329" s="44">
        <v>2032</v>
      </c>
      <c r="K329" s="44">
        <v>2033</v>
      </c>
      <c r="L329" s="44">
        <v>2034</v>
      </c>
      <c r="M329" s="44">
        <v>2035</v>
      </c>
      <c r="N329" s="44">
        <v>2036</v>
      </c>
      <c r="O329" s="44">
        <v>2037</v>
      </c>
      <c r="P329" s="44">
        <v>2038</v>
      </c>
      <c r="Q329" s="44">
        <v>2039</v>
      </c>
      <c r="R329" s="44">
        <v>2040</v>
      </c>
      <c r="S329" s="44">
        <v>2041</v>
      </c>
      <c r="T329" s="44">
        <v>2042</v>
      </c>
      <c r="U329" s="44">
        <v>2043</v>
      </c>
      <c r="V329" s="44">
        <v>2044</v>
      </c>
      <c r="W329" s="44">
        <v>2045</v>
      </c>
      <c r="X329" s="44">
        <v>2046</v>
      </c>
      <c r="Y329" s="44">
        <v>2047</v>
      </c>
      <c r="Z329" s="44">
        <v>2048</v>
      </c>
      <c r="AA329" s="44">
        <v>2049</v>
      </c>
      <c r="AB329" s="44">
        <v>2050</v>
      </c>
      <c r="AC329" s="44">
        <v>2051</v>
      </c>
      <c r="AD329" s="44">
        <v>2052</v>
      </c>
      <c r="AE329" s="44">
        <v>2053</v>
      </c>
      <c r="AF329" s="44">
        <v>2054</v>
      </c>
      <c r="AH329" s="1"/>
    </row>
    <row r="330" spans="2:34" hidden="1" outlineLevel="1" x14ac:dyDescent="0.25">
      <c r="B330" s="31" t="s">
        <v>144</v>
      </c>
      <c r="C330" s="32">
        <v>0</v>
      </c>
      <c r="D330" s="32">
        <v>0</v>
      </c>
      <c r="E330" s="32">
        <v>8678140.1263548788</v>
      </c>
      <c r="F330" s="32">
        <v>8237611.3694371348</v>
      </c>
      <c r="G330" s="32">
        <v>8237611.3694371348</v>
      </c>
      <c r="H330" s="32">
        <v>9012734.2894371357</v>
      </c>
      <c r="I330" s="32">
        <v>9012734.2894371357</v>
      </c>
      <c r="J330" s="32">
        <v>8552617.6962371375</v>
      </c>
      <c r="K330" s="32">
        <v>8552617.6962371375</v>
      </c>
      <c r="L330" s="32">
        <v>9180639.3762371354</v>
      </c>
      <c r="M330" s="32">
        <v>9180639.3762371354</v>
      </c>
      <c r="N330" s="32">
        <v>9180639.3762371354</v>
      </c>
      <c r="O330" s="32">
        <v>9180639.3762371354</v>
      </c>
      <c r="P330" s="32">
        <v>9180639.3762371354</v>
      </c>
      <c r="Q330" s="32">
        <v>9180639.3762371354</v>
      </c>
      <c r="R330" s="32">
        <v>9180639.3762371354</v>
      </c>
      <c r="S330" s="32">
        <v>9180639.3762371354</v>
      </c>
      <c r="T330" s="32">
        <v>9180639.3762371354</v>
      </c>
      <c r="U330" s="32">
        <v>9180639.3762371354</v>
      </c>
      <c r="V330" s="32">
        <v>9180639.3762371354</v>
      </c>
      <c r="W330" s="32">
        <v>9180639.3762371354</v>
      </c>
      <c r="X330" s="32">
        <v>9180639.3762371354</v>
      </c>
      <c r="Y330" s="32">
        <v>9180639.3762371354</v>
      </c>
      <c r="Z330" s="32">
        <v>9180639.3762371354</v>
      </c>
      <c r="AA330" s="32">
        <v>9180639.3762371354</v>
      </c>
      <c r="AB330" s="32">
        <v>9180639.3762371354</v>
      </c>
      <c r="AC330" s="32">
        <v>9180639.3762371354</v>
      </c>
      <c r="AD330" s="32">
        <v>9180639.3762371354</v>
      </c>
      <c r="AE330" s="32">
        <v>9180639.3762371354</v>
      </c>
      <c r="AF330" s="32">
        <v>9180639.3762371354</v>
      </c>
      <c r="AG330"/>
      <c r="AH330" s="17" t="s">
        <v>279</v>
      </c>
    </row>
    <row r="331" spans="2:34" hidden="1" outlineLevel="1" x14ac:dyDescent="0.25">
      <c r="B331" s="31" t="s">
        <v>145</v>
      </c>
      <c r="C331" s="32">
        <v>0</v>
      </c>
      <c r="D331" s="32">
        <v>0</v>
      </c>
      <c r="E331" s="32">
        <v>7148037.0083669899</v>
      </c>
      <c r="F331" s="32">
        <v>7148037.0083669899</v>
      </c>
      <c r="G331" s="32">
        <v>7148037.0083669899</v>
      </c>
      <c r="H331" s="32">
        <v>7234294.6083669895</v>
      </c>
      <c r="I331" s="32">
        <v>7234294.6083669895</v>
      </c>
      <c r="J331" s="32">
        <v>7234294.6083669895</v>
      </c>
      <c r="K331" s="32">
        <v>7234294.6083669895</v>
      </c>
      <c r="L331" s="32">
        <v>7082106.2166567408</v>
      </c>
      <c r="M331" s="32">
        <v>7082106.2166567408</v>
      </c>
      <c r="N331" s="32">
        <v>7082106.2166567408</v>
      </c>
      <c r="O331" s="32">
        <v>7082106.2166567408</v>
      </c>
      <c r="P331" s="32">
        <v>7070995.9866567403</v>
      </c>
      <c r="Q331" s="32">
        <v>7070995.9866567403</v>
      </c>
      <c r="R331" s="32">
        <v>7414629.3906567395</v>
      </c>
      <c r="S331" s="32">
        <v>7414629.3906567395</v>
      </c>
      <c r="T331" s="32">
        <v>7414629.3906567395</v>
      </c>
      <c r="U331" s="32">
        <v>7414629.3906567395</v>
      </c>
      <c r="V331" s="32">
        <v>7414629.3906567395</v>
      </c>
      <c r="W331" s="32">
        <v>7414629.3906567395</v>
      </c>
      <c r="X331" s="32">
        <v>7414629.3906567395</v>
      </c>
      <c r="Y331" s="32">
        <v>7414629.3906567395</v>
      </c>
      <c r="Z331" s="32">
        <v>7414629.3906567395</v>
      </c>
      <c r="AA331" s="32">
        <v>7414629.3906567395</v>
      </c>
      <c r="AB331" s="32">
        <v>7275034.2137464946</v>
      </c>
      <c r="AC331" s="32">
        <v>7275034.2137464946</v>
      </c>
      <c r="AD331" s="32">
        <v>7275034.2137464946</v>
      </c>
      <c r="AE331" s="32">
        <v>7275034.2137464946</v>
      </c>
      <c r="AF331" s="32">
        <v>7275034.2137464946</v>
      </c>
      <c r="AG331"/>
      <c r="AH331" s="17" t="s">
        <v>279</v>
      </c>
    </row>
    <row r="332" spans="2:34" hidden="1" outlineLevel="1" x14ac:dyDescent="0.25">
      <c r="B332" s="31" t="s">
        <v>244</v>
      </c>
      <c r="C332" s="32">
        <v>0</v>
      </c>
      <c r="D332" s="32">
        <v>0</v>
      </c>
      <c r="E332" s="32">
        <v>10424562.72955735</v>
      </c>
      <c r="F332" s="32">
        <v>14928448.609557347</v>
      </c>
      <c r="G332" s="32">
        <v>14928448.609557347</v>
      </c>
      <c r="H332" s="32">
        <v>16003705.267622186</v>
      </c>
      <c r="I332" s="32">
        <v>16003705.267622186</v>
      </c>
      <c r="J332" s="32">
        <v>15247954.784394085</v>
      </c>
      <c r="K332" s="32">
        <v>15247954.784394085</v>
      </c>
      <c r="L332" s="32">
        <v>15247954.784394085</v>
      </c>
      <c r="M332" s="32">
        <v>15247954.784394085</v>
      </c>
      <c r="N332" s="32">
        <v>15033617.237543011</v>
      </c>
      <c r="O332" s="32">
        <v>15033617.237543011</v>
      </c>
      <c r="P332" s="32">
        <v>14997195.012872687</v>
      </c>
      <c r="Q332" s="32">
        <v>14997195.012872687</v>
      </c>
      <c r="R332" s="32">
        <v>15766985.012872687</v>
      </c>
      <c r="S332" s="32">
        <v>15766985.012872687</v>
      </c>
      <c r="T332" s="32">
        <v>15766985.012872687</v>
      </c>
      <c r="U332" s="32">
        <v>15766985.012872687</v>
      </c>
      <c r="V332" s="32">
        <v>15661982.603749251</v>
      </c>
      <c r="W332" s="32">
        <v>15661982.603749251</v>
      </c>
      <c r="X332" s="32">
        <v>15661982.603749251</v>
      </c>
      <c r="Y332" s="32">
        <v>15661982.603749251</v>
      </c>
      <c r="Z332" s="32">
        <v>15661982.603749251</v>
      </c>
      <c r="AA332" s="32">
        <v>15661982.603749251</v>
      </c>
      <c r="AB332" s="32">
        <v>15661982.603749251</v>
      </c>
      <c r="AC332" s="32">
        <v>15661982.603749251</v>
      </c>
      <c r="AD332" s="32">
        <v>15661982.603749251</v>
      </c>
      <c r="AE332" s="32">
        <v>15661982.603749251</v>
      </c>
      <c r="AF332" s="32">
        <v>15661982.603749251</v>
      </c>
      <c r="AG332"/>
      <c r="AH332" s="17" t="s">
        <v>279</v>
      </c>
    </row>
    <row r="333" spans="2:34" hidden="1" outlineLevel="1" x14ac:dyDescent="0.25">
      <c r="B333" s="31" t="s">
        <v>147</v>
      </c>
      <c r="C333" s="32">
        <v>0</v>
      </c>
      <c r="D333" s="32">
        <v>0</v>
      </c>
      <c r="E333" s="32">
        <v>0</v>
      </c>
      <c r="F333" s="32">
        <v>0</v>
      </c>
      <c r="G333" s="32">
        <v>0</v>
      </c>
      <c r="H333" s="32">
        <v>0</v>
      </c>
      <c r="I333" s="32">
        <v>0</v>
      </c>
      <c r="J333" s="32">
        <v>0</v>
      </c>
      <c r="K333" s="32">
        <v>0</v>
      </c>
      <c r="L333" s="32">
        <v>0</v>
      </c>
      <c r="M333" s="32">
        <v>0</v>
      </c>
      <c r="N333" s="32">
        <v>0</v>
      </c>
      <c r="O333" s="32">
        <v>0</v>
      </c>
      <c r="P333" s="32">
        <v>0</v>
      </c>
      <c r="Q333" s="32">
        <v>0</v>
      </c>
      <c r="R333" s="32">
        <v>0</v>
      </c>
      <c r="S333" s="32">
        <v>0</v>
      </c>
      <c r="T333" s="32">
        <v>0</v>
      </c>
      <c r="U333" s="32">
        <v>0</v>
      </c>
      <c r="V333" s="32">
        <v>0</v>
      </c>
      <c r="W333" s="32">
        <v>0</v>
      </c>
      <c r="X333" s="32">
        <v>0</v>
      </c>
      <c r="Y333" s="32">
        <v>0</v>
      </c>
      <c r="Z333" s="32">
        <v>0</v>
      </c>
      <c r="AA333" s="32">
        <v>0</v>
      </c>
      <c r="AB333" s="32">
        <v>0</v>
      </c>
      <c r="AC333" s="32">
        <v>0</v>
      </c>
      <c r="AD333" s="32">
        <v>0</v>
      </c>
      <c r="AE333" s="32">
        <v>0</v>
      </c>
      <c r="AF333" s="32">
        <v>0</v>
      </c>
      <c r="AG333"/>
      <c r="AH333" s="17" t="s">
        <v>279</v>
      </c>
    </row>
    <row r="334" spans="2:34" hidden="1" outlineLevel="1" x14ac:dyDescent="0.25">
      <c r="B334" s="31" t="s">
        <v>245</v>
      </c>
      <c r="C334" s="32">
        <v>0</v>
      </c>
      <c r="D334" s="32">
        <v>0</v>
      </c>
      <c r="E334" s="32">
        <v>1207501.7119999998</v>
      </c>
      <c r="F334" s="32">
        <v>1207501.7119999998</v>
      </c>
      <c r="G334" s="32">
        <v>1207501.7119999998</v>
      </c>
      <c r="H334" s="32">
        <v>3455696.2320000003</v>
      </c>
      <c r="I334" s="32">
        <v>3455696.2320000003</v>
      </c>
      <c r="J334" s="32">
        <v>3455696.2320000003</v>
      </c>
      <c r="K334" s="32">
        <v>3455696.2320000003</v>
      </c>
      <c r="L334" s="32">
        <v>3455696.2320000003</v>
      </c>
      <c r="M334" s="32">
        <v>3455696.2320000003</v>
      </c>
      <c r="N334" s="32">
        <v>3395321.1464</v>
      </c>
      <c r="O334" s="32">
        <v>3395321.1464</v>
      </c>
      <c r="P334" s="32">
        <v>3395321.1464</v>
      </c>
      <c r="Q334" s="32">
        <v>3395321.1464</v>
      </c>
      <c r="R334" s="32">
        <v>8011631.8983999994</v>
      </c>
      <c r="S334" s="32">
        <v>8011631.8983999994</v>
      </c>
      <c r="T334" s="32">
        <v>8011631.8983999994</v>
      </c>
      <c r="U334" s="32">
        <v>8011631.8983999994</v>
      </c>
      <c r="V334" s="32">
        <v>8011631.8983999994</v>
      </c>
      <c r="W334" s="32">
        <v>8011631.8983999994</v>
      </c>
      <c r="X334" s="32">
        <v>8011631.8983999994</v>
      </c>
      <c r="Y334" s="32">
        <v>8011631.8983999994</v>
      </c>
      <c r="Z334" s="32">
        <v>8011631.8983999994</v>
      </c>
      <c r="AA334" s="32">
        <v>8011631.8983999994</v>
      </c>
      <c r="AB334" s="32">
        <v>8011631.8983999994</v>
      </c>
      <c r="AC334" s="32">
        <v>8011631.8983999994</v>
      </c>
      <c r="AD334" s="32">
        <v>8011631.8983999994</v>
      </c>
      <c r="AE334" s="32">
        <v>8011631.8983999994</v>
      </c>
      <c r="AF334" s="32">
        <v>8011631.8983999994</v>
      </c>
      <c r="AG334"/>
      <c r="AH334" s="17" t="s">
        <v>279</v>
      </c>
    </row>
    <row r="335" spans="2:34" hidden="1" outlineLevel="1" x14ac:dyDescent="0.25">
      <c r="B335" s="31" t="s">
        <v>149</v>
      </c>
      <c r="C335" s="32">
        <v>0</v>
      </c>
      <c r="D335" s="32">
        <v>0</v>
      </c>
      <c r="E335" s="32">
        <v>27458241.576279219</v>
      </c>
      <c r="F335" s="32">
        <v>31521598.699361473</v>
      </c>
      <c r="G335" s="32">
        <v>31521598.699361473</v>
      </c>
      <c r="H335" s="32">
        <v>35706430.397426315</v>
      </c>
      <c r="I335" s="32">
        <v>35706430.397426315</v>
      </c>
      <c r="J335" s="32">
        <v>34490563.320998214</v>
      </c>
      <c r="K335" s="32">
        <v>34490563.320998214</v>
      </c>
      <c r="L335" s="32">
        <v>34966396.609287962</v>
      </c>
      <c r="M335" s="32">
        <v>34966396.609287962</v>
      </c>
      <c r="N335" s="32">
        <v>34691683.976836883</v>
      </c>
      <c r="O335" s="32">
        <v>34691683.976836883</v>
      </c>
      <c r="P335" s="32">
        <v>34644151.522166558</v>
      </c>
      <c r="Q335" s="32">
        <v>34644151.522166558</v>
      </c>
      <c r="R335" s="32">
        <v>40373885.678166561</v>
      </c>
      <c r="S335" s="32">
        <v>40373885.678166561</v>
      </c>
      <c r="T335" s="32">
        <v>40373885.678166561</v>
      </c>
      <c r="U335" s="32">
        <v>40373885.678166561</v>
      </c>
      <c r="V335" s="32">
        <v>40268883.269043125</v>
      </c>
      <c r="W335" s="32">
        <v>40268883.269043125</v>
      </c>
      <c r="X335" s="32">
        <v>40268883.269043125</v>
      </c>
      <c r="Y335" s="32">
        <v>40268883.269043125</v>
      </c>
      <c r="Z335" s="32">
        <v>40268883.269043125</v>
      </c>
      <c r="AA335" s="32">
        <v>40268883.269043125</v>
      </c>
      <c r="AB335" s="32">
        <v>40129288.092132881</v>
      </c>
      <c r="AC335" s="32">
        <v>40129288.092132881</v>
      </c>
      <c r="AD335" s="32">
        <v>40129288.092132881</v>
      </c>
      <c r="AE335" s="32">
        <v>40129288.092132881</v>
      </c>
      <c r="AF335" s="32">
        <v>40129288.092132881</v>
      </c>
      <c r="AG335"/>
      <c r="AH335" s="17" t="s">
        <v>279</v>
      </c>
    </row>
    <row r="336" spans="2:34" hidden="1" outlineLevel="1" x14ac:dyDescent="0.25"/>
    <row r="337" spans="2:35" hidden="1" outlineLevel="1" x14ac:dyDescent="0.25"/>
    <row r="338" spans="2:35" ht="15.75" collapsed="1" thickTop="1" x14ac:dyDescent="0.25"/>
    <row r="339" spans="2:35" ht="20.25" thickBot="1" x14ac:dyDescent="0.35">
      <c r="B339" s="18" t="s">
        <v>287</v>
      </c>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row>
    <row r="340" spans="2:35" ht="18" hidden="1" outlineLevel="1" thickTop="1" thickBot="1" x14ac:dyDescent="0.3">
      <c r="B340" s="26" t="s">
        <v>277</v>
      </c>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19"/>
      <c r="AH340" s="19"/>
    </row>
    <row r="341" spans="2:35" ht="16.5" hidden="1" outlineLevel="1" thickTop="1" thickBot="1" x14ac:dyDescent="0.3">
      <c r="B341" s="28" t="s">
        <v>278</v>
      </c>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0"/>
      <c r="AH341" s="20" t="s">
        <v>15</v>
      </c>
    </row>
    <row r="342" spans="2:35" customFormat="1" hidden="1" outlineLevel="1" x14ac:dyDescent="0.25">
      <c r="B342" s="30"/>
      <c r="C342" s="17">
        <v>2025</v>
      </c>
      <c r="D342" s="44">
        <v>2026</v>
      </c>
      <c r="E342" s="44">
        <v>2027</v>
      </c>
      <c r="F342" s="44">
        <v>2028</v>
      </c>
      <c r="G342" s="44">
        <v>2029</v>
      </c>
      <c r="H342" s="44">
        <v>2030</v>
      </c>
      <c r="I342" s="44">
        <v>2031</v>
      </c>
      <c r="J342" s="44">
        <v>2032</v>
      </c>
      <c r="K342" s="44">
        <v>2033</v>
      </c>
      <c r="L342" s="44">
        <v>2034</v>
      </c>
      <c r="M342" s="44">
        <v>2035</v>
      </c>
      <c r="N342" s="44">
        <v>2036</v>
      </c>
      <c r="O342" s="44">
        <v>2037</v>
      </c>
      <c r="P342" s="44">
        <v>2038</v>
      </c>
      <c r="Q342" s="44">
        <v>2039</v>
      </c>
      <c r="R342" s="44">
        <v>2040</v>
      </c>
      <c r="S342" s="44">
        <v>2041</v>
      </c>
      <c r="T342" s="44">
        <v>2042</v>
      </c>
      <c r="U342" s="44">
        <v>2043</v>
      </c>
      <c r="V342" s="44">
        <v>2044</v>
      </c>
      <c r="W342" s="44">
        <v>2045</v>
      </c>
      <c r="X342" s="44">
        <v>2046</v>
      </c>
      <c r="Y342" s="44">
        <v>2047</v>
      </c>
      <c r="Z342" s="44">
        <v>2048</v>
      </c>
      <c r="AA342" s="44">
        <v>2049</v>
      </c>
      <c r="AB342" s="44">
        <v>2050</v>
      </c>
      <c r="AC342" s="44">
        <v>2051</v>
      </c>
      <c r="AD342" s="44">
        <v>2052</v>
      </c>
      <c r="AE342" s="44">
        <v>2053</v>
      </c>
      <c r="AF342" s="44">
        <v>2054</v>
      </c>
    </row>
    <row r="343" spans="2:35" hidden="1" outlineLevel="1" x14ac:dyDescent="0.25">
      <c r="B343" s="31" t="s">
        <v>144</v>
      </c>
      <c r="C343" s="32">
        <v>41100367.759866863</v>
      </c>
      <c r="D343" s="32">
        <v>41100367.759866863</v>
      </c>
      <c r="E343" s="32">
        <v>41100367.759866863</v>
      </c>
      <c r="F343" s="32">
        <v>39612639.320832737</v>
      </c>
      <c r="G343" s="32">
        <v>39612639.320832737</v>
      </c>
      <c r="H343" s="32">
        <v>39763990.663512737</v>
      </c>
      <c r="I343" s="32">
        <v>39763990.663512737</v>
      </c>
      <c r="J343" s="32">
        <v>38704492.561179683</v>
      </c>
      <c r="K343" s="32">
        <v>38704492.561179683</v>
      </c>
      <c r="L343" s="32">
        <v>38772187.839759685</v>
      </c>
      <c r="M343" s="32">
        <v>27166188.665980995</v>
      </c>
      <c r="N343" s="32">
        <v>27166188.665980995</v>
      </c>
      <c r="O343" s="32">
        <v>27166188.665980995</v>
      </c>
      <c r="P343" s="32">
        <v>27166188.665980995</v>
      </c>
      <c r="Q343" s="32">
        <v>0</v>
      </c>
      <c r="R343" s="32">
        <v>0</v>
      </c>
      <c r="S343" s="32">
        <v>0</v>
      </c>
      <c r="T343" s="32">
        <v>0</v>
      </c>
      <c r="U343" s="32">
        <v>0</v>
      </c>
      <c r="V343" s="32">
        <v>0</v>
      </c>
      <c r="W343" s="32">
        <v>0</v>
      </c>
      <c r="X343" s="32">
        <v>0</v>
      </c>
      <c r="Y343" s="32">
        <v>0</v>
      </c>
      <c r="Z343" s="32">
        <v>0</v>
      </c>
      <c r="AA343" s="32">
        <v>0</v>
      </c>
      <c r="AB343" s="32">
        <v>0</v>
      </c>
      <c r="AC343" s="32">
        <v>0</v>
      </c>
      <c r="AD343" s="32">
        <v>0</v>
      </c>
      <c r="AE343" s="32">
        <v>0</v>
      </c>
      <c r="AF343" s="32">
        <v>0</v>
      </c>
      <c r="AG343"/>
      <c r="AH343" s="17" t="s">
        <v>279</v>
      </c>
    </row>
    <row r="344" spans="2:35" hidden="1" outlineLevel="1" x14ac:dyDescent="0.25">
      <c r="B344" s="31" t="s">
        <v>145</v>
      </c>
      <c r="C344" s="32">
        <v>15277743.907373067</v>
      </c>
      <c r="D344" s="32">
        <v>15770486.74488374</v>
      </c>
      <c r="E344" s="32">
        <v>15770486.74488374</v>
      </c>
      <c r="F344" s="32">
        <v>15770486.74488374</v>
      </c>
      <c r="G344" s="32">
        <v>15770486.74488374</v>
      </c>
      <c r="H344" s="32">
        <v>15787184.845623737</v>
      </c>
      <c r="I344" s="32">
        <v>15787184.845623737</v>
      </c>
      <c r="J344" s="32">
        <v>15787184.845623737</v>
      </c>
      <c r="K344" s="32">
        <v>15787184.845623737</v>
      </c>
      <c r="L344" s="32">
        <v>15390568.910004416</v>
      </c>
      <c r="M344" s="32">
        <v>15390568.910004416</v>
      </c>
      <c r="N344" s="32">
        <v>15390568.910004416</v>
      </c>
      <c r="O344" s="32">
        <v>15390568.910004416</v>
      </c>
      <c r="P344" s="32">
        <v>15364645.040004415</v>
      </c>
      <c r="Q344" s="32">
        <v>0</v>
      </c>
      <c r="R344" s="32">
        <v>0</v>
      </c>
      <c r="S344" s="32">
        <v>0</v>
      </c>
      <c r="T344" s="32">
        <v>0</v>
      </c>
      <c r="U344" s="32">
        <v>0</v>
      </c>
      <c r="V344" s="32">
        <v>0</v>
      </c>
      <c r="W344" s="32">
        <v>0</v>
      </c>
      <c r="X344" s="32">
        <v>0</v>
      </c>
      <c r="Y344" s="32">
        <v>0</v>
      </c>
      <c r="Z344" s="32">
        <v>0</v>
      </c>
      <c r="AA344" s="32">
        <v>0</v>
      </c>
      <c r="AB344" s="32">
        <v>0</v>
      </c>
      <c r="AC344" s="32">
        <v>0</v>
      </c>
      <c r="AD344" s="32">
        <v>0</v>
      </c>
      <c r="AE344" s="32">
        <v>0</v>
      </c>
      <c r="AF344" s="32">
        <v>0</v>
      </c>
      <c r="AG344"/>
      <c r="AH344" s="17" t="s">
        <v>279</v>
      </c>
    </row>
    <row r="345" spans="2:35" hidden="1" outlineLevel="1" x14ac:dyDescent="0.25">
      <c r="B345" s="31" t="s">
        <v>244</v>
      </c>
      <c r="C345" s="32">
        <v>74467327.643795222</v>
      </c>
      <c r="D345" s="32">
        <v>74467327.643795222</v>
      </c>
      <c r="E345" s="32">
        <v>74467327.643795222</v>
      </c>
      <c r="F345" s="32">
        <v>87649721.664786637</v>
      </c>
      <c r="G345" s="32">
        <v>87649721.664786637</v>
      </c>
      <c r="H345" s="32">
        <v>27903533.461767972</v>
      </c>
      <c r="I345" s="32">
        <v>27903533.461767972</v>
      </c>
      <c r="J345" s="32">
        <v>24270222.464846592</v>
      </c>
      <c r="K345" s="32">
        <v>24270222.464846592</v>
      </c>
      <c r="L345" s="32">
        <v>24270222.464846592</v>
      </c>
      <c r="M345" s="32">
        <v>6088282.3250811659</v>
      </c>
      <c r="N345" s="32">
        <v>6088282.3250811659</v>
      </c>
      <c r="O345" s="32">
        <v>6088282.3250811659</v>
      </c>
      <c r="P345" s="32">
        <v>6088282.3250811659</v>
      </c>
      <c r="Q345" s="32">
        <v>0</v>
      </c>
      <c r="R345" s="32">
        <v>0</v>
      </c>
      <c r="S345" s="32">
        <v>0</v>
      </c>
      <c r="T345" s="32">
        <v>0</v>
      </c>
      <c r="U345" s="32">
        <v>0</v>
      </c>
      <c r="V345" s="32">
        <v>0</v>
      </c>
      <c r="W345" s="32">
        <v>0</v>
      </c>
      <c r="X345" s="32">
        <v>0</v>
      </c>
      <c r="Y345" s="32">
        <v>0</v>
      </c>
      <c r="Z345" s="32">
        <v>0</v>
      </c>
      <c r="AA345" s="32">
        <v>0</v>
      </c>
      <c r="AB345" s="32">
        <v>0</v>
      </c>
      <c r="AC345" s="32">
        <v>0</v>
      </c>
      <c r="AD345" s="32">
        <v>0</v>
      </c>
      <c r="AE345" s="32">
        <v>0</v>
      </c>
      <c r="AF345" s="32">
        <v>0</v>
      </c>
      <c r="AG345"/>
      <c r="AH345" s="17" t="s">
        <v>279</v>
      </c>
    </row>
    <row r="346" spans="2:35" hidden="1" outlineLevel="1" x14ac:dyDescent="0.25">
      <c r="B346" s="31" t="s">
        <v>147</v>
      </c>
      <c r="C346" s="32">
        <v>0</v>
      </c>
      <c r="D346" s="32">
        <v>0</v>
      </c>
      <c r="E346" s="32">
        <v>0</v>
      </c>
      <c r="F346" s="32">
        <v>0</v>
      </c>
      <c r="G346" s="32">
        <v>0</v>
      </c>
      <c r="H346" s="32">
        <v>0</v>
      </c>
      <c r="I346" s="32">
        <v>0</v>
      </c>
      <c r="J346" s="32">
        <v>0</v>
      </c>
      <c r="K346" s="32">
        <v>0</v>
      </c>
      <c r="L346" s="32">
        <v>0</v>
      </c>
      <c r="M346" s="32">
        <v>0</v>
      </c>
      <c r="N346" s="32">
        <v>0</v>
      </c>
      <c r="O346" s="32">
        <v>0</v>
      </c>
      <c r="P346" s="32">
        <v>0</v>
      </c>
      <c r="Q346" s="32">
        <v>0</v>
      </c>
      <c r="R346" s="32">
        <v>0</v>
      </c>
      <c r="S346" s="32">
        <v>0</v>
      </c>
      <c r="T346" s="32">
        <v>0</v>
      </c>
      <c r="U346" s="32">
        <v>0</v>
      </c>
      <c r="V346" s="32">
        <v>0</v>
      </c>
      <c r="W346" s="32">
        <v>0</v>
      </c>
      <c r="X346" s="32">
        <v>0</v>
      </c>
      <c r="Y346" s="32">
        <v>0</v>
      </c>
      <c r="Z346" s="32">
        <v>0</v>
      </c>
      <c r="AA346" s="32">
        <v>0</v>
      </c>
      <c r="AB346" s="32">
        <v>0</v>
      </c>
      <c r="AC346" s="32">
        <v>0</v>
      </c>
      <c r="AD346" s="32">
        <v>0</v>
      </c>
      <c r="AE346" s="32">
        <v>0</v>
      </c>
      <c r="AF346" s="32">
        <v>0</v>
      </c>
      <c r="AG346"/>
      <c r="AH346" s="17" t="s">
        <v>279</v>
      </c>
    </row>
    <row r="347" spans="2:35" hidden="1" outlineLevel="1" x14ac:dyDescent="0.25">
      <c r="B347" s="31" t="s">
        <v>245</v>
      </c>
      <c r="C347" s="32">
        <v>5531260.8599999994</v>
      </c>
      <c r="D347" s="32">
        <v>5531260.8599999994</v>
      </c>
      <c r="E347" s="32">
        <v>5531260.8599999994</v>
      </c>
      <c r="F347" s="32">
        <v>5531260.8599999994</v>
      </c>
      <c r="G347" s="32">
        <v>5531260.8599999994</v>
      </c>
      <c r="H347" s="32">
        <v>5911722.2974800002</v>
      </c>
      <c r="I347" s="32">
        <v>5911722.2974800002</v>
      </c>
      <c r="J347" s="32">
        <v>5911722.2974800002</v>
      </c>
      <c r="K347" s="32">
        <v>5911722.2974800002</v>
      </c>
      <c r="L347" s="32">
        <v>5911722.2974800002</v>
      </c>
      <c r="M347" s="32">
        <v>5911722.2974800002</v>
      </c>
      <c r="N347" s="32">
        <v>5743970.637480001</v>
      </c>
      <c r="O347" s="32">
        <v>5743970.637480001</v>
      </c>
      <c r="P347" s="32">
        <v>5743970.637480001</v>
      </c>
      <c r="Q347" s="32">
        <v>0</v>
      </c>
      <c r="R347" s="32">
        <v>0</v>
      </c>
      <c r="S347" s="32">
        <v>0</v>
      </c>
      <c r="T347" s="32">
        <v>0</v>
      </c>
      <c r="U347" s="32">
        <v>0</v>
      </c>
      <c r="V347" s="32">
        <v>0</v>
      </c>
      <c r="W347" s="32">
        <v>0</v>
      </c>
      <c r="X347" s="32">
        <v>0</v>
      </c>
      <c r="Y347" s="32">
        <v>0</v>
      </c>
      <c r="Z347" s="32">
        <v>0</v>
      </c>
      <c r="AA347" s="32">
        <v>0</v>
      </c>
      <c r="AB347" s="32">
        <v>0</v>
      </c>
      <c r="AC347" s="32">
        <v>0</v>
      </c>
      <c r="AD347" s="32">
        <v>0</v>
      </c>
      <c r="AE347" s="32">
        <v>0</v>
      </c>
      <c r="AF347" s="32">
        <v>0</v>
      </c>
      <c r="AG347"/>
      <c r="AH347" s="17" t="s">
        <v>279</v>
      </c>
    </row>
    <row r="348" spans="2:35" hidden="1" outlineLevel="1" x14ac:dyDescent="0.25">
      <c r="B348" s="31" t="s">
        <v>149</v>
      </c>
      <c r="C348" s="32">
        <v>136376700.17103517</v>
      </c>
      <c r="D348" s="32">
        <v>136869443.00854582</v>
      </c>
      <c r="E348" s="32">
        <v>136869443.00854582</v>
      </c>
      <c r="F348" s="32">
        <v>148564108.5905031</v>
      </c>
      <c r="G348" s="32">
        <v>148564108.5905031</v>
      </c>
      <c r="H348" s="32">
        <v>89366431.268384442</v>
      </c>
      <c r="I348" s="32">
        <v>89366431.268384442</v>
      </c>
      <c r="J348" s="32">
        <v>84673622.169130012</v>
      </c>
      <c r="K348" s="32">
        <v>84673622.169130012</v>
      </c>
      <c r="L348" s="32">
        <v>84344701.512090698</v>
      </c>
      <c r="M348" s="32">
        <v>54556762.198546574</v>
      </c>
      <c r="N348" s="32">
        <v>54389010.53854657</v>
      </c>
      <c r="O348" s="32">
        <v>54389010.53854657</v>
      </c>
      <c r="P348" s="32">
        <v>54363086.66854658</v>
      </c>
      <c r="Q348" s="32">
        <v>0</v>
      </c>
      <c r="R348" s="32">
        <v>0</v>
      </c>
      <c r="S348" s="32">
        <v>0</v>
      </c>
      <c r="T348" s="32">
        <v>0</v>
      </c>
      <c r="U348" s="32">
        <v>0</v>
      </c>
      <c r="V348" s="32">
        <v>0</v>
      </c>
      <c r="W348" s="32">
        <v>0</v>
      </c>
      <c r="X348" s="32">
        <v>0</v>
      </c>
      <c r="Y348" s="32">
        <v>0</v>
      </c>
      <c r="Z348" s="32">
        <v>0</v>
      </c>
      <c r="AA348" s="32">
        <v>0</v>
      </c>
      <c r="AB348" s="32">
        <v>0</v>
      </c>
      <c r="AC348" s="32">
        <v>0</v>
      </c>
      <c r="AD348" s="32">
        <v>0</v>
      </c>
      <c r="AE348" s="32">
        <v>0</v>
      </c>
      <c r="AF348" s="32">
        <v>0</v>
      </c>
      <c r="AG348"/>
      <c r="AH348" s="17" t="s">
        <v>279</v>
      </c>
      <c r="AI348"/>
    </row>
    <row r="349" spans="2:35" hidden="1" outlineLevel="1" x14ac:dyDescent="0.25">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c r="AH349"/>
      <c r="AI349"/>
    </row>
    <row r="350" spans="2:35" customFormat="1" ht="15.75" hidden="1" outlineLevel="1" thickBot="1" x14ac:dyDescent="0.3">
      <c r="B350" s="28" t="s">
        <v>280</v>
      </c>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0"/>
      <c r="AH350" s="20" t="s">
        <v>15</v>
      </c>
    </row>
    <row r="351" spans="2:35" customFormat="1" hidden="1" outlineLevel="1" x14ac:dyDescent="0.25">
      <c r="B351" s="30"/>
      <c r="C351" s="17">
        <v>2025</v>
      </c>
      <c r="D351" s="44">
        <v>2026</v>
      </c>
      <c r="E351" s="44">
        <v>2027</v>
      </c>
      <c r="F351" s="44">
        <v>2028</v>
      </c>
      <c r="G351" s="44">
        <v>2029</v>
      </c>
      <c r="H351" s="44">
        <v>2030</v>
      </c>
      <c r="I351" s="44">
        <v>2031</v>
      </c>
      <c r="J351" s="44">
        <v>2032</v>
      </c>
      <c r="K351" s="44">
        <v>2033</v>
      </c>
      <c r="L351" s="44">
        <v>2034</v>
      </c>
      <c r="M351" s="44">
        <v>2035</v>
      </c>
      <c r="N351" s="44">
        <v>2036</v>
      </c>
      <c r="O351" s="44">
        <v>2037</v>
      </c>
      <c r="P351" s="44">
        <v>2038</v>
      </c>
      <c r="Q351" s="44">
        <v>2039</v>
      </c>
      <c r="R351" s="44">
        <v>2040</v>
      </c>
      <c r="S351" s="44">
        <v>2041</v>
      </c>
      <c r="T351" s="44">
        <v>2042</v>
      </c>
      <c r="U351" s="44">
        <v>2043</v>
      </c>
      <c r="V351" s="44">
        <v>2044</v>
      </c>
      <c r="W351" s="44">
        <v>2045</v>
      </c>
      <c r="X351" s="44">
        <v>2046</v>
      </c>
      <c r="Y351" s="44">
        <v>2047</v>
      </c>
      <c r="Z351" s="44">
        <v>2048</v>
      </c>
      <c r="AA351" s="44">
        <v>2049</v>
      </c>
      <c r="AB351" s="44">
        <v>2050</v>
      </c>
      <c r="AC351" s="44">
        <v>2051</v>
      </c>
      <c r="AD351" s="44">
        <v>2052</v>
      </c>
      <c r="AE351" s="44">
        <v>2053</v>
      </c>
      <c r="AF351" s="44">
        <v>2054</v>
      </c>
    </row>
    <row r="352" spans="2:35" hidden="1" outlineLevel="1" x14ac:dyDescent="0.25">
      <c r="B352" s="31" t="s">
        <v>144</v>
      </c>
      <c r="C352" s="32">
        <v>0</v>
      </c>
      <c r="D352" s="32">
        <v>0</v>
      </c>
      <c r="E352" s="32">
        <v>0</v>
      </c>
      <c r="F352" s="32">
        <v>0</v>
      </c>
      <c r="G352" s="32">
        <v>0</v>
      </c>
      <c r="H352" s="32">
        <v>0</v>
      </c>
      <c r="I352" s="32">
        <v>0</v>
      </c>
      <c r="J352" s="32">
        <v>0</v>
      </c>
      <c r="K352" s="32">
        <v>0</v>
      </c>
      <c r="L352" s="32">
        <v>0</v>
      </c>
      <c r="M352" s="32">
        <v>11605999.173778696</v>
      </c>
      <c r="N352" s="32">
        <v>11605999.173778696</v>
      </c>
      <c r="O352" s="32">
        <v>11605999.173778696</v>
      </c>
      <c r="P352" s="32">
        <v>11605999.173778696</v>
      </c>
      <c r="Q352" s="32">
        <v>38772187.839759685</v>
      </c>
      <c r="R352" s="32">
        <v>38772187.839759685</v>
      </c>
      <c r="S352" s="32">
        <v>38772187.839759685</v>
      </c>
      <c r="T352" s="32">
        <v>38772187.839759685</v>
      </c>
      <c r="U352" s="32">
        <v>38772187.839759685</v>
      </c>
      <c r="V352" s="32">
        <v>38772187.839759685</v>
      </c>
      <c r="W352" s="32">
        <v>38772187.839759685</v>
      </c>
      <c r="X352" s="32">
        <v>38772187.839759685</v>
      </c>
      <c r="Y352" s="32">
        <v>38772187.839759685</v>
      </c>
      <c r="Z352" s="32">
        <v>38772187.839759685</v>
      </c>
      <c r="AA352" s="32">
        <v>38772187.839759685</v>
      </c>
      <c r="AB352" s="32">
        <v>38772187.839759685</v>
      </c>
      <c r="AC352" s="32">
        <v>38772187.839759685</v>
      </c>
      <c r="AD352" s="32">
        <v>38772187.839759685</v>
      </c>
      <c r="AE352" s="32">
        <v>38772187.839759685</v>
      </c>
      <c r="AF352" s="32">
        <v>38772187.839759685</v>
      </c>
      <c r="AG352"/>
      <c r="AH352" s="17" t="s">
        <v>279</v>
      </c>
    </row>
    <row r="353" spans="2:34" hidden="1" outlineLevel="1" x14ac:dyDescent="0.25">
      <c r="B353" s="31" t="s">
        <v>145</v>
      </c>
      <c r="C353" s="32">
        <v>0</v>
      </c>
      <c r="D353" s="32">
        <v>0</v>
      </c>
      <c r="E353" s="32">
        <v>0</v>
      </c>
      <c r="F353" s="32">
        <v>0</v>
      </c>
      <c r="G353" s="32">
        <v>0</v>
      </c>
      <c r="H353" s="32">
        <v>0</v>
      </c>
      <c r="I353" s="32">
        <v>0</v>
      </c>
      <c r="J353" s="32">
        <v>0</v>
      </c>
      <c r="K353" s="32">
        <v>0</v>
      </c>
      <c r="L353" s="32">
        <v>0</v>
      </c>
      <c r="M353" s="32">
        <v>0</v>
      </c>
      <c r="N353" s="32">
        <v>0</v>
      </c>
      <c r="O353" s="32">
        <v>0</v>
      </c>
      <c r="P353" s="32">
        <v>0</v>
      </c>
      <c r="Q353" s="32">
        <v>15364645.040004415</v>
      </c>
      <c r="R353" s="32">
        <v>15384699.734404417</v>
      </c>
      <c r="S353" s="32">
        <v>15384699.734404417</v>
      </c>
      <c r="T353" s="32">
        <v>15384699.734404417</v>
      </c>
      <c r="U353" s="32">
        <v>15384699.734404417</v>
      </c>
      <c r="V353" s="32">
        <v>15384699.734404417</v>
      </c>
      <c r="W353" s="32">
        <v>15384699.734404417</v>
      </c>
      <c r="X353" s="32">
        <v>15384699.734404417</v>
      </c>
      <c r="Y353" s="32">
        <v>15384699.734404417</v>
      </c>
      <c r="Z353" s="32">
        <v>15384699.734404417</v>
      </c>
      <c r="AA353" s="32">
        <v>15384699.734404417</v>
      </c>
      <c r="AB353" s="32">
        <v>14843250.017475424</v>
      </c>
      <c r="AC353" s="32">
        <v>14843250.017475424</v>
      </c>
      <c r="AD353" s="32">
        <v>14843250.017475424</v>
      </c>
      <c r="AE353" s="32">
        <v>14843250.017475424</v>
      </c>
      <c r="AF353" s="32">
        <v>14843250.017475424</v>
      </c>
      <c r="AG353"/>
      <c r="AH353" s="17" t="s">
        <v>279</v>
      </c>
    </row>
    <row r="354" spans="2:34" hidden="1" outlineLevel="1" x14ac:dyDescent="0.25">
      <c r="B354" s="31" t="s">
        <v>244</v>
      </c>
      <c r="C354" s="32">
        <v>0</v>
      </c>
      <c r="D354" s="32">
        <v>0</v>
      </c>
      <c r="E354" s="32">
        <v>0</v>
      </c>
      <c r="F354" s="32">
        <v>0</v>
      </c>
      <c r="G354" s="32">
        <v>0</v>
      </c>
      <c r="H354" s="32">
        <v>60333364.314719193</v>
      </c>
      <c r="I354" s="32">
        <v>60333364.314719193</v>
      </c>
      <c r="J354" s="32">
        <v>55732744.148340926</v>
      </c>
      <c r="K354" s="32">
        <v>55732744.148340926</v>
      </c>
      <c r="L354" s="32">
        <v>55732744.148340926</v>
      </c>
      <c r="M354" s="32">
        <v>73914684.288106352</v>
      </c>
      <c r="N354" s="32">
        <v>73336980.133961201</v>
      </c>
      <c r="O354" s="32">
        <v>73336980.133961201</v>
      </c>
      <c r="P354" s="32">
        <v>73336980.133961201</v>
      </c>
      <c r="Q354" s="32">
        <v>79425262.459042355</v>
      </c>
      <c r="R354" s="32">
        <v>82311974.959042355</v>
      </c>
      <c r="S354" s="32">
        <v>82311974.959042355</v>
      </c>
      <c r="T354" s="32">
        <v>82311974.959042355</v>
      </c>
      <c r="U354" s="32">
        <v>82311974.959042355</v>
      </c>
      <c r="V354" s="32">
        <v>81863454.238701224</v>
      </c>
      <c r="W354" s="32">
        <v>81863454.238701224</v>
      </c>
      <c r="X354" s="32">
        <v>81863454.238701224</v>
      </c>
      <c r="Y354" s="32">
        <v>81863454.238701224</v>
      </c>
      <c r="Z354" s="32">
        <v>81863454.238701224</v>
      </c>
      <c r="AA354" s="32">
        <v>81863454.238701224</v>
      </c>
      <c r="AB354" s="32">
        <v>81863454.238701224</v>
      </c>
      <c r="AC354" s="32">
        <v>81863454.238701224</v>
      </c>
      <c r="AD354" s="32">
        <v>81863454.238701224</v>
      </c>
      <c r="AE354" s="32">
        <v>81863454.238701224</v>
      </c>
      <c r="AF354" s="32">
        <v>81863454.238701224</v>
      </c>
      <c r="AG354"/>
      <c r="AH354" s="17" t="s">
        <v>279</v>
      </c>
    </row>
    <row r="355" spans="2:34" hidden="1" outlineLevel="1" x14ac:dyDescent="0.25">
      <c r="B355" s="31" t="s">
        <v>147</v>
      </c>
      <c r="C355" s="32">
        <v>0</v>
      </c>
      <c r="D355" s="32">
        <v>0</v>
      </c>
      <c r="E355" s="32">
        <v>0</v>
      </c>
      <c r="F355" s="32">
        <v>0</v>
      </c>
      <c r="G355" s="32">
        <v>0</v>
      </c>
      <c r="H355" s="32">
        <v>0</v>
      </c>
      <c r="I355" s="32">
        <v>0</v>
      </c>
      <c r="J355" s="32">
        <v>0</v>
      </c>
      <c r="K355" s="32">
        <v>0</v>
      </c>
      <c r="L355" s="32">
        <v>0</v>
      </c>
      <c r="M355" s="32">
        <v>0</v>
      </c>
      <c r="N355" s="32">
        <v>0</v>
      </c>
      <c r="O355" s="32">
        <v>0</v>
      </c>
      <c r="P355" s="32">
        <v>0</v>
      </c>
      <c r="Q355" s="32">
        <v>0</v>
      </c>
      <c r="R355" s="32">
        <v>0</v>
      </c>
      <c r="S355" s="32">
        <v>0</v>
      </c>
      <c r="T355" s="32">
        <v>0</v>
      </c>
      <c r="U355" s="32">
        <v>0</v>
      </c>
      <c r="V355" s="32">
        <v>0</v>
      </c>
      <c r="W355" s="32">
        <v>0</v>
      </c>
      <c r="X355" s="32">
        <v>0</v>
      </c>
      <c r="Y355" s="32">
        <v>0</v>
      </c>
      <c r="Z355" s="32">
        <v>0</v>
      </c>
      <c r="AA355" s="32">
        <v>0</v>
      </c>
      <c r="AB355" s="32">
        <v>0</v>
      </c>
      <c r="AC355" s="32">
        <v>0</v>
      </c>
      <c r="AD355" s="32">
        <v>0</v>
      </c>
      <c r="AE355" s="32">
        <v>0</v>
      </c>
      <c r="AF355" s="32">
        <v>0</v>
      </c>
      <c r="AG355"/>
      <c r="AH355" s="17" t="s">
        <v>279</v>
      </c>
    </row>
    <row r="356" spans="2:34" hidden="1" outlineLevel="1" x14ac:dyDescent="0.25">
      <c r="B356" s="31" t="s">
        <v>245</v>
      </c>
      <c r="C356" s="32">
        <v>0</v>
      </c>
      <c r="D356" s="32">
        <v>0</v>
      </c>
      <c r="E356" s="32">
        <v>0</v>
      </c>
      <c r="F356" s="32">
        <v>0</v>
      </c>
      <c r="G356" s="32">
        <v>0</v>
      </c>
      <c r="H356" s="32">
        <v>0</v>
      </c>
      <c r="I356" s="32">
        <v>0</v>
      </c>
      <c r="J356" s="32">
        <v>0</v>
      </c>
      <c r="K356" s="32">
        <v>0</v>
      </c>
      <c r="L356" s="32">
        <v>0</v>
      </c>
      <c r="M356" s="32">
        <v>0</v>
      </c>
      <c r="N356" s="32">
        <v>0</v>
      </c>
      <c r="O356" s="32">
        <v>0</v>
      </c>
      <c r="P356" s="32">
        <v>0</v>
      </c>
      <c r="Q356" s="32">
        <v>5743970.637480001</v>
      </c>
      <c r="R356" s="32">
        <v>36060627.457479998</v>
      </c>
      <c r="S356" s="32">
        <v>36060627.457479998</v>
      </c>
      <c r="T356" s="32">
        <v>36060627.457479998</v>
      </c>
      <c r="U356" s="32">
        <v>36060627.457479998</v>
      </c>
      <c r="V356" s="32">
        <v>36060627.457479998</v>
      </c>
      <c r="W356" s="32">
        <v>36060627.457479998</v>
      </c>
      <c r="X356" s="32">
        <v>36060627.457479998</v>
      </c>
      <c r="Y356" s="32">
        <v>36060627.457479998</v>
      </c>
      <c r="Z356" s="32">
        <v>36060627.457479998</v>
      </c>
      <c r="AA356" s="32">
        <v>36060627.457479998</v>
      </c>
      <c r="AB356" s="32">
        <v>36060627.457479998</v>
      </c>
      <c r="AC356" s="32">
        <v>36060627.457479998</v>
      </c>
      <c r="AD356" s="32">
        <v>36060627.457479998</v>
      </c>
      <c r="AE356" s="32">
        <v>36060627.457479998</v>
      </c>
      <c r="AF356" s="32">
        <v>36060627.457479998</v>
      </c>
      <c r="AG356"/>
      <c r="AH356" s="17" t="s">
        <v>279</v>
      </c>
    </row>
    <row r="357" spans="2:34" hidden="1" outlineLevel="1" x14ac:dyDescent="0.25">
      <c r="B357" s="31" t="s">
        <v>149</v>
      </c>
      <c r="C357" s="32">
        <v>0</v>
      </c>
      <c r="D357" s="32">
        <v>0</v>
      </c>
      <c r="E357" s="32">
        <v>0</v>
      </c>
      <c r="F357" s="32">
        <v>0</v>
      </c>
      <c r="G357" s="32">
        <v>0</v>
      </c>
      <c r="H357" s="32">
        <v>60333364.314719193</v>
      </c>
      <c r="I357" s="32">
        <v>60333364.314719193</v>
      </c>
      <c r="J357" s="32">
        <v>55732744.148340926</v>
      </c>
      <c r="K357" s="32">
        <v>55732744.148340926</v>
      </c>
      <c r="L357" s="32">
        <v>55732744.148340926</v>
      </c>
      <c r="M357" s="32">
        <v>85520683.46188505</v>
      </c>
      <c r="N357" s="32">
        <v>84942979.307739899</v>
      </c>
      <c r="O357" s="32">
        <v>84942979.307739899</v>
      </c>
      <c r="P357" s="32">
        <v>84942979.307739899</v>
      </c>
      <c r="Q357" s="32">
        <v>139306065.97628644</v>
      </c>
      <c r="R357" s="32">
        <v>172529489.99068648</v>
      </c>
      <c r="S357" s="32">
        <v>172529489.99068648</v>
      </c>
      <c r="T357" s="32">
        <v>172529489.99068648</v>
      </c>
      <c r="U357" s="32">
        <v>172529489.99068648</v>
      </c>
      <c r="V357" s="32">
        <v>172080969.27034533</v>
      </c>
      <c r="W357" s="32">
        <v>172080969.27034533</v>
      </c>
      <c r="X357" s="32">
        <v>172080969.27034533</v>
      </c>
      <c r="Y357" s="32">
        <v>172080969.27034533</v>
      </c>
      <c r="Z357" s="32">
        <v>172080969.27034533</v>
      </c>
      <c r="AA357" s="32">
        <v>172080969.27034533</v>
      </c>
      <c r="AB357" s="32">
        <v>171539519.55341631</v>
      </c>
      <c r="AC357" s="32">
        <v>171539519.55341631</v>
      </c>
      <c r="AD357" s="32">
        <v>171539519.55341631</v>
      </c>
      <c r="AE357" s="32">
        <v>171539519.55341631</v>
      </c>
      <c r="AF357" s="32">
        <v>171539519.55341631</v>
      </c>
      <c r="AG357"/>
      <c r="AH357" s="17" t="s">
        <v>279</v>
      </c>
    </row>
    <row r="358" spans="2:34" customFormat="1" hidden="1" outlineLevel="1" x14ac:dyDescent="0.25">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row>
    <row r="359" spans="2:34" hidden="1" outlineLevel="1" x14ac:dyDescent="0.25">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c r="AH359"/>
    </row>
    <row r="360" spans="2:34" ht="17.25" hidden="1" outlineLevel="1" thickBot="1" x14ac:dyDescent="0.3">
      <c r="B360" s="26" t="s">
        <v>281</v>
      </c>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row>
    <row r="361" spans="2:34" ht="16.5" hidden="1" outlineLevel="1" thickTop="1" thickBot="1" x14ac:dyDescent="0.3">
      <c r="B361" s="28" t="s">
        <v>278</v>
      </c>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0"/>
      <c r="AH361" s="20" t="s">
        <v>15</v>
      </c>
    </row>
    <row r="362" spans="2:34" customFormat="1" hidden="1" outlineLevel="1" x14ac:dyDescent="0.25">
      <c r="B362" s="30"/>
      <c r="C362" s="17">
        <v>2025</v>
      </c>
      <c r="D362" s="44">
        <v>2026</v>
      </c>
      <c r="E362" s="44">
        <v>2027</v>
      </c>
      <c r="F362" s="44">
        <v>2028</v>
      </c>
      <c r="G362" s="44">
        <v>2029</v>
      </c>
      <c r="H362" s="44">
        <v>2030</v>
      </c>
      <c r="I362" s="44">
        <v>2031</v>
      </c>
      <c r="J362" s="44">
        <v>2032</v>
      </c>
      <c r="K362" s="44">
        <v>2033</v>
      </c>
      <c r="L362" s="44">
        <v>2034</v>
      </c>
      <c r="M362" s="44">
        <v>2035</v>
      </c>
      <c r="N362" s="44">
        <v>2036</v>
      </c>
      <c r="O362" s="44">
        <v>2037</v>
      </c>
      <c r="P362" s="44">
        <v>2038</v>
      </c>
      <c r="Q362" s="44">
        <v>2039</v>
      </c>
      <c r="R362" s="44">
        <v>2040</v>
      </c>
      <c r="S362" s="44">
        <v>2041</v>
      </c>
      <c r="T362" s="44">
        <v>2042</v>
      </c>
      <c r="U362" s="44">
        <v>2043</v>
      </c>
      <c r="V362" s="44">
        <v>2044</v>
      </c>
      <c r="W362" s="44">
        <v>2045</v>
      </c>
      <c r="X362" s="44">
        <v>2046</v>
      </c>
      <c r="Y362" s="44">
        <v>2047</v>
      </c>
      <c r="Z362" s="44">
        <v>2048</v>
      </c>
      <c r="AA362" s="44">
        <v>2049</v>
      </c>
      <c r="AB362" s="44">
        <v>2050</v>
      </c>
      <c r="AC362" s="44">
        <v>2051</v>
      </c>
      <c r="AD362" s="44">
        <v>2052</v>
      </c>
      <c r="AE362" s="44">
        <v>2053</v>
      </c>
      <c r="AF362" s="44">
        <v>2054</v>
      </c>
      <c r="AH362" s="17" t="s">
        <v>279</v>
      </c>
    </row>
    <row r="363" spans="2:34" hidden="1" outlineLevel="1" x14ac:dyDescent="0.25">
      <c r="B363" s="31" t="s">
        <v>144</v>
      </c>
      <c r="C363" s="32">
        <v>91218518.516397119</v>
      </c>
      <c r="D363" s="32">
        <v>91218518.516397119</v>
      </c>
      <c r="E363" s="32">
        <v>91218518.516397119</v>
      </c>
      <c r="F363" s="32">
        <v>91218518.516397119</v>
      </c>
      <c r="G363" s="32">
        <v>91218518.516397119</v>
      </c>
      <c r="H363" s="32">
        <v>89605158.712475568</v>
      </c>
      <c r="I363" s="32">
        <v>89605158.712475568</v>
      </c>
      <c r="J363" s="32">
        <v>89605158.712475568</v>
      </c>
      <c r="K363" s="32">
        <v>89605158.712475568</v>
      </c>
      <c r="L363" s="32">
        <v>89605158.712475568</v>
      </c>
      <c r="M363" s="32">
        <v>54355738.940860339</v>
      </c>
      <c r="N363" s="32">
        <v>54355738.940860339</v>
      </c>
      <c r="O363" s="32">
        <v>54355738.940860339</v>
      </c>
      <c r="P363" s="32">
        <v>54355738.940860339</v>
      </c>
      <c r="Q363" s="32">
        <v>0</v>
      </c>
      <c r="R363" s="32">
        <v>0</v>
      </c>
      <c r="S363" s="32">
        <v>0</v>
      </c>
      <c r="T363" s="32">
        <v>0</v>
      </c>
      <c r="U363" s="32">
        <v>0</v>
      </c>
      <c r="V363" s="32">
        <v>0</v>
      </c>
      <c r="W363" s="32">
        <v>0</v>
      </c>
      <c r="X363" s="32">
        <v>0</v>
      </c>
      <c r="Y363" s="32">
        <v>0</v>
      </c>
      <c r="Z363" s="32">
        <v>0</v>
      </c>
      <c r="AA363" s="32">
        <v>0</v>
      </c>
      <c r="AB363" s="32">
        <v>0</v>
      </c>
      <c r="AC363" s="32">
        <v>0</v>
      </c>
      <c r="AD363" s="32">
        <v>0</v>
      </c>
      <c r="AE363" s="32">
        <v>0</v>
      </c>
      <c r="AF363" s="32">
        <v>0</v>
      </c>
      <c r="AG363"/>
      <c r="AH363" s="17" t="s">
        <v>279</v>
      </c>
    </row>
    <row r="364" spans="2:34" hidden="1" outlineLevel="1" x14ac:dyDescent="0.25">
      <c r="B364" s="31" t="s">
        <v>145</v>
      </c>
      <c r="C364" s="32">
        <v>11884388.380107559</v>
      </c>
      <c r="D364" s="32">
        <v>11884388.380107559</v>
      </c>
      <c r="E364" s="32">
        <v>11884388.380107559</v>
      </c>
      <c r="F364" s="32">
        <v>11884388.380107559</v>
      </c>
      <c r="G364" s="32">
        <v>11884388.380107559</v>
      </c>
      <c r="H364" s="32">
        <v>11884388.380107559</v>
      </c>
      <c r="I364" s="32">
        <v>11884388.380107559</v>
      </c>
      <c r="J364" s="32">
        <v>11884388.380107559</v>
      </c>
      <c r="K364" s="32">
        <v>11884388.380107559</v>
      </c>
      <c r="L364" s="32">
        <v>11884388.380107559</v>
      </c>
      <c r="M364" s="32">
        <v>11884388.380107559</v>
      </c>
      <c r="N364" s="32">
        <v>11884388.380107559</v>
      </c>
      <c r="O364" s="32">
        <v>11884388.380107559</v>
      </c>
      <c r="P364" s="32">
        <v>11884388.380107559</v>
      </c>
      <c r="Q364" s="32">
        <v>0</v>
      </c>
      <c r="R364" s="32">
        <v>0</v>
      </c>
      <c r="S364" s="32">
        <v>0</v>
      </c>
      <c r="T364" s="32">
        <v>0</v>
      </c>
      <c r="U364" s="32">
        <v>0</v>
      </c>
      <c r="V364" s="32">
        <v>0</v>
      </c>
      <c r="W364" s="32">
        <v>0</v>
      </c>
      <c r="X364" s="32">
        <v>0</v>
      </c>
      <c r="Y364" s="32">
        <v>0</v>
      </c>
      <c r="Z364" s="32">
        <v>0</v>
      </c>
      <c r="AA364" s="32">
        <v>0</v>
      </c>
      <c r="AB364" s="32">
        <v>0</v>
      </c>
      <c r="AC364" s="32">
        <v>0</v>
      </c>
      <c r="AD364" s="32">
        <v>0</v>
      </c>
      <c r="AE364" s="32">
        <v>0</v>
      </c>
      <c r="AF364" s="32">
        <v>0</v>
      </c>
      <c r="AG364"/>
      <c r="AH364" s="17" t="s">
        <v>279</v>
      </c>
    </row>
    <row r="365" spans="2:34" hidden="1" outlineLevel="1" x14ac:dyDescent="0.25">
      <c r="B365" s="31" t="s">
        <v>244</v>
      </c>
      <c r="C365" s="32">
        <v>35030010.666666664</v>
      </c>
      <c r="D365" s="32">
        <v>35030010.666666664</v>
      </c>
      <c r="E365" s="32">
        <v>35030010.666666664</v>
      </c>
      <c r="F365" s="32">
        <v>33517716.333333336</v>
      </c>
      <c r="G365" s="32">
        <v>33517716.333333336</v>
      </c>
      <c r="H365" s="32">
        <v>27281130.833333336</v>
      </c>
      <c r="I365" s="32">
        <v>27281130.833333336</v>
      </c>
      <c r="J365" s="32">
        <v>27281130.833333336</v>
      </c>
      <c r="K365" s="32">
        <v>27281130.833333336</v>
      </c>
      <c r="L365" s="32">
        <v>27281130.833333336</v>
      </c>
      <c r="M365" s="32">
        <v>0</v>
      </c>
      <c r="N365" s="32">
        <v>0</v>
      </c>
      <c r="O365" s="32">
        <v>0</v>
      </c>
      <c r="P365" s="32">
        <v>0</v>
      </c>
      <c r="Q365" s="32">
        <v>0</v>
      </c>
      <c r="R365" s="32">
        <v>0</v>
      </c>
      <c r="S365" s="32">
        <v>0</v>
      </c>
      <c r="T365" s="32">
        <v>0</v>
      </c>
      <c r="U365" s="32">
        <v>0</v>
      </c>
      <c r="V365" s="32">
        <v>0</v>
      </c>
      <c r="W365" s="32">
        <v>0</v>
      </c>
      <c r="X365" s="32">
        <v>0</v>
      </c>
      <c r="Y365" s="32">
        <v>0</v>
      </c>
      <c r="Z365" s="32">
        <v>0</v>
      </c>
      <c r="AA365" s="32">
        <v>0</v>
      </c>
      <c r="AB365" s="32">
        <v>0</v>
      </c>
      <c r="AC365" s="32">
        <v>0</v>
      </c>
      <c r="AD365" s="32">
        <v>0</v>
      </c>
      <c r="AE365" s="32">
        <v>0</v>
      </c>
      <c r="AF365" s="32">
        <v>0</v>
      </c>
      <c r="AG365"/>
      <c r="AH365" s="17" t="s">
        <v>279</v>
      </c>
    </row>
    <row r="366" spans="2:34" customFormat="1" hidden="1" outlineLevel="1" x14ac:dyDescent="0.25">
      <c r="B366" s="31" t="s">
        <v>147</v>
      </c>
      <c r="C366" s="32">
        <v>0</v>
      </c>
      <c r="D366" s="32">
        <v>0</v>
      </c>
      <c r="E366" s="32">
        <v>0</v>
      </c>
      <c r="F366" s="32">
        <v>0</v>
      </c>
      <c r="G366" s="32">
        <v>0</v>
      </c>
      <c r="H366" s="32">
        <v>0</v>
      </c>
      <c r="I366" s="32">
        <v>0</v>
      </c>
      <c r="J366" s="32">
        <v>0</v>
      </c>
      <c r="K366" s="32">
        <v>0</v>
      </c>
      <c r="L366" s="32">
        <v>0</v>
      </c>
      <c r="M366" s="32">
        <v>0</v>
      </c>
      <c r="N366" s="32">
        <v>0</v>
      </c>
      <c r="O366" s="32">
        <v>0</v>
      </c>
      <c r="P366" s="32">
        <v>0</v>
      </c>
      <c r="Q366" s="32">
        <v>0</v>
      </c>
      <c r="R366" s="32">
        <v>0</v>
      </c>
      <c r="S366" s="32">
        <v>0</v>
      </c>
      <c r="T366" s="32">
        <v>0</v>
      </c>
      <c r="U366" s="32">
        <v>0</v>
      </c>
      <c r="V366" s="32">
        <v>0</v>
      </c>
      <c r="W366" s="32">
        <v>0</v>
      </c>
      <c r="X366" s="32">
        <v>0</v>
      </c>
      <c r="Y366" s="32">
        <v>0</v>
      </c>
      <c r="Z366" s="32">
        <v>0</v>
      </c>
      <c r="AA366" s="32">
        <v>0</v>
      </c>
      <c r="AB366" s="32">
        <v>0</v>
      </c>
      <c r="AC366" s="32">
        <v>0</v>
      </c>
      <c r="AD366" s="32">
        <v>0</v>
      </c>
      <c r="AE366" s="32">
        <v>0</v>
      </c>
      <c r="AF366" s="32">
        <v>0</v>
      </c>
      <c r="AH366" s="17" t="s">
        <v>279</v>
      </c>
    </row>
    <row r="367" spans="2:34" hidden="1" outlineLevel="1" x14ac:dyDescent="0.25">
      <c r="B367" s="31" t="s">
        <v>245</v>
      </c>
      <c r="C367" s="32">
        <v>0</v>
      </c>
      <c r="D367" s="32">
        <v>0</v>
      </c>
      <c r="E367" s="32">
        <v>0</v>
      </c>
      <c r="F367" s="32">
        <v>0</v>
      </c>
      <c r="G367" s="32">
        <v>0</v>
      </c>
      <c r="H367" s="32">
        <v>0</v>
      </c>
      <c r="I367" s="32">
        <v>0</v>
      </c>
      <c r="J367" s="32">
        <v>0</v>
      </c>
      <c r="K367" s="32">
        <v>0</v>
      </c>
      <c r="L367" s="32">
        <v>0</v>
      </c>
      <c r="M367" s="32">
        <v>0</v>
      </c>
      <c r="N367" s="32">
        <v>0</v>
      </c>
      <c r="O367" s="32">
        <v>0</v>
      </c>
      <c r="P367" s="32">
        <v>0</v>
      </c>
      <c r="Q367" s="32">
        <v>0</v>
      </c>
      <c r="R367" s="32">
        <v>0</v>
      </c>
      <c r="S367" s="32">
        <v>0</v>
      </c>
      <c r="T367" s="32">
        <v>0</v>
      </c>
      <c r="U367" s="32">
        <v>0</v>
      </c>
      <c r="V367" s="32">
        <v>0</v>
      </c>
      <c r="W367" s="32">
        <v>0</v>
      </c>
      <c r="X367" s="32">
        <v>0</v>
      </c>
      <c r="Y367" s="32">
        <v>0</v>
      </c>
      <c r="Z367" s="32">
        <v>0</v>
      </c>
      <c r="AA367" s="32">
        <v>0</v>
      </c>
      <c r="AB367" s="32">
        <v>0</v>
      </c>
      <c r="AC367" s="32">
        <v>0</v>
      </c>
      <c r="AD367" s="32">
        <v>0</v>
      </c>
      <c r="AE367" s="32">
        <v>0</v>
      </c>
      <c r="AF367" s="32">
        <v>0</v>
      </c>
      <c r="AG367"/>
      <c r="AH367" s="17" t="s">
        <v>279</v>
      </c>
    </row>
    <row r="368" spans="2:34" hidden="1" outlineLevel="1" x14ac:dyDescent="0.25">
      <c r="B368" s="31" t="s">
        <v>149</v>
      </c>
      <c r="C368" s="32">
        <v>138132917.56317133</v>
      </c>
      <c r="D368" s="32">
        <v>138132917.56317133</v>
      </c>
      <c r="E368" s="32">
        <v>138132917.56317133</v>
      </c>
      <c r="F368" s="32">
        <v>136620623.22983801</v>
      </c>
      <c r="G368" s="32">
        <v>136620623.22983801</v>
      </c>
      <c r="H368" s="32">
        <v>128770677.92591646</v>
      </c>
      <c r="I368" s="32">
        <v>128770677.92591646</v>
      </c>
      <c r="J368" s="32">
        <v>128770677.92591646</v>
      </c>
      <c r="K368" s="32">
        <v>128770677.92591646</v>
      </c>
      <c r="L368" s="32">
        <v>128770677.92591646</v>
      </c>
      <c r="M368" s="32">
        <v>66240127.320967898</v>
      </c>
      <c r="N368" s="32">
        <v>66240127.320967898</v>
      </c>
      <c r="O368" s="32">
        <v>66240127.320967898</v>
      </c>
      <c r="P368" s="32">
        <v>66240127.320967898</v>
      </c>
      <c r="Q368" s="32">
        <v>0</v>
      </c>
      <c r="R368" s="32">
        <v>0</v>
      </c>
      <c r="S368" s="32">
        <v>0</v>
      </c>
      <c r="T368" s="32">
        <v>0</v>
      </c>
      <c r="U368" s="32">
        <v>0</v>
      </c>
      <c r="V368" s="32">
        <v>0</v>
      </c>
      <c r="W368" s="32">
        <v>0</v>
      </c>
      <c r="X368" s="32">
        <v>0</v>
      </c>
      <c r="Y368" s="32">
        <v>0</v>
      </c>
      <c r="Z368" s="32">
        <v>0</v>
      </c>
      <c r="AA368" s="32">
        <v>0</v>
      </c>
      <c r="AB368" s="32">
        <v>0</v>
      </c>
      <c r="AC368" s="32">
        <v>0</v>
      </c>
      <c r="AD368" s="32">
        <v>0</v>
      </c>
      <c r="AE368" s="32">
        <v>0</v>
      </c>
      <c r="AF368" s="32">
        <v>0</v>
      </c>
      <c r="AG368"/>
      <c r="AH368" s="17" t="s">
        <v>279</v>
      </c>
    </row>
    <row r="369" spans="2:35" hidden="1" outlineLevel="1" x14ac:dyDescent="0.25">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c r="AH369"/>
    </row>
    <row r="370" spans="2:35" ht="15.75" hidden="1" outlineLevel="1" thickBot="1" x14ac:dyDescent="0.3">
      <c r="B370" s="28" t="s">
        <v>280</v>
      </c>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0"/>
      <c r="AH370" s="20" t="s">
        <v>15</v>
      </c>
    </row>
    <row r="371" spans="2:35" customFormat="1" hidden="1" outlineLevel="1" x14ac:dyDescent="0.25">
      <c r="B371" s="30"/>
      <c r="C371" s="17">
        <v>2025</v>
      </c>
      <c r="D371" s="44">
        <v>2026</v>
      </c>
      <c r="E371" s="44">
        <v>2027</v>
      </c>
      <c r="F371" s="44">
        <v>2028</v>
      </c>
      <c r="G371" s="44">
        <v>2029</v>
      </c>
      <c r="H371" s="44">
        <v>2030</v>
      </c>
      <c r="I371" s="44">
        <v>2031</v>
      </c>
      <c r="J371" s="44">
        <v>2032</v>
      </c>
      <c r="K371" s="44">
        <v>2033</v>
      </c>
      <c r="L371" s="44">
        <v>2034</v>
      </c>
      <c r="M371" s="44">
        <v>2035</v>
      </c>
      <c r="N371" s="44">
        <v>2036</v>
      </c>
      <c r="O371" s="44">
        <v>2037</v>
      </c>
      <c r="P371" s="44">
        <v>2038</v>
      </c>
      <c r="Q371" s="44">
        <v>2039</v>
      </c>
      <c r="R371" s="44">
        <v>2040</v>
      </c>
      <c r="S371" s="44">
        <v>2041</v>
      </c>
      <c r="T371" s="44">
        <v>2042</v>
      </c>
      <c r="U371" s="44">
        <v>2043</v>
      </c>
      <c r="V371" s="44">
        <v>2044</v>
      </c>
      <c r="W371" s="44">
        <v>2045</v>
      </c>
      <c r="X371" s="44">
        <v>2046</v>
      </c>
      <c r="Y371" s="44">
        <v>2047</v>
      </c>
      <c r="Z371" s="44">
        <v>2048</v>
      </c>
      <c r="AA371" s="44">
        <v>2049</v>
      </c>
      <c r="AB371" s="44">
        <v>2050</v>
      </c>
      <c r="AC371" s="44">
        <v>2051</v>
      </c>
      <c r="AD371" s="44">
        <v>2052</v>
      </c>
      <c r="AE371" s="44">
        <v>2053</v>
      </c>
      <c r="AF371" s="44">
        <v>2054</v>
      </c>
      <c r="AG371" s="1"/>
      <c r="AH371" s="1"/>
    </row>
    <row r="372" spans="2:35" hidden="1" outlineLevel="1" x14ac:dyDescent="0.25">
      <c r="B372" s="31" t="s">
        <v>144</v>
      </c>
      <c r="C372" s="32">
        <v>0</v>
      </c>
      <c r="D372" s="32">
        <v>0</v>
      </c>
      <c r="E372" s="32">
        <v>0</v>
      </c>
      <c r="F372" s="32">
        <v>0</v>
      </c>
      <c r="G372" s="32">
        <v>0</v>
      </c>
      <c r="H372" s="32">
        <v>0</v>
      </c>
      <c r="I372" s="32">
        <v>0</v>
      </c>
      <c r="J372" s="32">
        <v>0</v>
      </c>
      <c r="K372" s="32">
        <v>0</v>
      </c>
      <c r="L372" s="32">
        <v>0</v>
      </c>
      <c r="M372" s="32">
        <v>35249419.771615222</v>
      </c>
      <c r="N372" s="32">
        <v>35249419.771615222</v>
      </c>
      <c r="O372" s="32">
        <v>35249419.771615222</v>
      </c>
      <c r="P372" s="32">
        <v>35249419.771615222</v>
      </c>
      <c r="Q372" s="32">
        <v>89605158.712475568</v>
      </c>
      <c r="R372" s="32">
        <v>89605158.712475568</v>
      </c>
      <c r="S372" s="32">
        <v>89605158.712475568</v>
      </c>
      <c r="T372" s="32">
        <v>89605158.712475568</v>
      </c>
      <c r="U372" s="32">
        <v>89605158.712475568</v>
      </c>
      <c r="V372" s="32">
        <v>89605158.712475568</v>
      </c>
      <c r="W372" s="32">
        <v>89605158.712475568</v>
      </c>
      <c r="X372" s="32">
        <v>89605158.712475568</v>
      </c>
      <c r="Y372" s="32">
        <v>89605158.712475568</v>
      </c>
      <c r="Z372" s="32">
        <v>89605158.712475568</v>
      </c>
      <c r="AA372" s="32">
        <v>89605158.712475568</v>
      </c>
      <c r="AB372" s="32">
        <v>89605158.712475568</v>
      </c>
      <c r="AC372" s="32">
        <v>89605158.712475568</v>
      </c>
      <c r="AD372" s="32">
        <v>89605158.712475568</v>
      </c>
      <c r="AE372" s="32">
        <v>89605158.712475568</v>
      </c>
      <c r="AF372" s="32">
        <v>89605158.712475568</v>
      </c>
      <c r="AG372"/>
      <c r="AH372" s="17" t="s">
        <v>279</v>
      </c>
    </row>
    <row r="373" spans="2:35" hidden="1" outlineLevel="1" x14ac:dyDescent="0.25">
      <c r="B373" s="31" t="s">
        <v>145</v>
      </c>
      <c r="C373" s="32">
        <v>0</v>
      </c>
      <c r="D373" s="32">
        <v>0</v>
      </c>
      <c r="E373" s="32">
        <v>0</v>
      </c>
      <c r="F373" s="32">
        <v>0</v>
      </c>
      <c r="G373" s="32">
        <v>0</v>
      </c>
      <c r="H373" s="32">
        <v>0</v>
      </c>
      <c r="I373" s="32">
        <v>0</v>
      </c>
      <c r="J373" s="32">
        <v>0</v>
      </c>
      <c r="K373" s="32">
        <v>0</v>
      </c>
      <c r="L373" s="32">
        <v>0</v>
      </c>
      <c r="M373" s="32">
        <v>0</v>
      </c>
      <c r="N373" s="32">
        <v>0</v>
      </c>
      <c r="O373" s="32">
        <v>0</v>
      </c>
      <c r="P373" s="32">
        <v>0</v>
      </c>
      <c r="Q373" s="32">
        <v>11884388.380107559</v>
      </c>
      <c r="R373" s="32">
        <v>11884388.380107559</v>
      </c>
      <c r="S373" s="32">
        <v>11884388.380107559</v>
      </c>
      <c r="T373" s="32">
        <v>11525540.601956299</v>
      </c>
      <c r="U373" s="32">
        <v>11525540.601956299</v>
      </c>
      <c r="V373" s="32">
        <v>11525540.601956299</v>
      </c>
      <c r="W373" s="32">
        <v>11525540.601956299</v>
      </c>
      <c r="X373" s="32">
        <v>11525540.601956299</v>
      </c>
      <c r="Y373" s="32">
        <v>11525540.601956299</v>
      </c>
      <c r="Z373" s="32">
        <v>11525540.601956299</v>
      </c>
      <c r="AA373" s="32">
        <v>11525540.601956299</v>
      </c>
      <c r="AB373" s="32">
        <v>11525540.601956299</v>
      </c>
      <c r="AC373" s="32">
        <v>11525540.601956299</v>
      </c>
      <c r="AD373" s="32">
        <v>11525540.601956299</v>
      </c>
      <c r="AE373" s="32">
        <v>11525540.601956299</v>
      </c>
      <c r="AF373" s="32">
        <v>11525540.601956299</v>
      </c>
      <c r="AG373"/>
      <c r="AH373" s="17" t="s">
        <v>279</v>
      </c>
    </row>
    <row r="374" spans="2:35" customFormat="1" hidden="1" outlineLevel="1" x14ac:dyDescent="0.25">
      <c r="B374" s="31" t="s">
        <v>244</v>
      </c>
      <c r="C374" s="32">
        <v>0</v>
      </c>
      <c r="D374" s="32">
        <v>0</v>
      </c>
      <c r="E374" s="32">
        <v>0</v>
      </c>
      <c r="F374" s="32">
        <v>0</v>
      </c>
      <c r="G374" s="32">
        <v>0</v>
      </c>
      <c r="H374" s="32">
        <v>4717161.5</v>
      </c>
      <c r="I374" s="32">
        <v>4717161.5</v>
      </c>
      <c r="J374" s="32">
        <v>4717161.5</v>
      </c>
      <c r="K374" s="32">
        <v>4717161.5</v>
      </c>
      <c r="L374" s="32">
        <v>4717161.5</v>
      </c>
      <c r="M374" s="32">
        <v>31998292.333333336</v>
      </c>
      <c r="N374" s="32">
        <v>29833701.969607845</v>
      </c>
      <c r="O374" s="32">
        <v>29833701.969607845</v>
      </c>
      <c r="P374" s="32">
        <v>28875000.884313725</v>
      </c>
      <c r="Q374" s="32">
        <v>28875000.884313725</v>
      </c>
      <c r="R374" s="32">
        <v>28875000.884313725</v>
      </c>
      <c r="S374" s="32">
        <v>28875000.884313725</v>
      </c>
      <c r="T374" s="32">
        <v>28875000.884313725</v>
      </c>
      <c r="U374" s="32">
        <v>28875000.884313725</v>
      </c>
      <c r="V374" s="32">
        <v>28875000.884313725</v>
      </c>
      <c r="W374" s="32">
        <v>28875000.884313725</v>
      </c>
      <c r="X374" s="32">
        <v>28875000.884313725</v>
      </c>
      <c r="Y374" s="32">
        <v>28875000.884313725</v>
      </c>
      <c r="Z374" s="32">
        <v>28875000.884313725</v>
      </c>
      <c r="AA374" s="32">
        <v>28875000.884313725</v>
      </c>
      <c r="AB374" s="32">
        <v>28875000.884313725</v>
      </c>
      <c r="AC374" s="32">
        <v>28875000.884313725</v>
      </c>
      <c r="AD374" s="32">
        <v>28875000.884313725</v>
      </c>
      <c r="AE374" s="32">
        <v>28875000.884313725</v>
      </c>
      <c r="AF374" s="32">
        <v>28875000.884313725</v>
      </c>
      <c r="AH374" s="17" t="s">
        <v>279</v>
      </c>
    </row>
    <row r="375" spans="2:35" hidden="1" outlineLevel="1" x14ac:dyDescent="0.25">
      <c r="B375" s="31" t="s">
        <v>147</v>
      </c>
      <c r="C375" s="32">
        <v>0</v>
      </c>
      <c r="D375" s="32">
        <v>0</v>
      </c>
      <c r="E375" s="32">
        <v>0</v>
      </c>
      <c r="F375" s="32">
        <v>0</v>
      </c>
      <c r="G375" s="32">
        <v>0</v>
      </c>
      <c r="H375" s="32">
        <v>0</v>
      </c>
      <c r="I375" s="32">
        <v>0</v>
      </c>
      <c r="J375" s="32">
        <v>0</v>
      </c>
      <c r="K375" s="32">
        <v>0</v>
      </c>
      <c r="L375" s="32">
        <v>0</v>
      </c>
      <c r="M375" s="32">
        <v>0</v>
      </c>
      <c r="N375" s="32">
        <v>0</v>
      </c>
      <c r="O375" s="32">
        <v>0</v>
      </c>
      <c r="P375" s="32">
        <v>0</v>
      </c>
      <c r="Q375" s="32">
        <v>0</v>
      </c>
      <c r="R375" s="32">
        <v>0</v>
      </c>
      <c r="S375" s="32">
        <v>0</v>
      </c>
      <c r="T375" s="32">
        <v>0</v>
      </c>
      <c r="U375" s="32">
        <v>0</v>
      </c>
      <c r="V375" s="32">
        <v>0</v>
      </c>
      <c r="W375" s="32">
        <v>0</v>
      </c>
      <c r="X375" s="32">
        <v>0</v>
      </c>
      <c r="Y375" s="32">
        <v>0</v>
      </c>
      <c r="Z375" s="32">
        <v>0</v>
      </c>
      <c r="AA375" s="32">
        <v>0</v>
      </c>
      <c r="AB375" s="32">
        <v>0</v>
      </c>
      <c r="AC375" s="32">
        <v>0</v>
      </c>
      <c r="AD375" s="32">
        <v>0</v>
      </c>
      <c r="AE375" s="32">
        <v>0</v>
      </c>
      <c r="AF375" s="32">
        <v>0</v>
      </c>
      <c r="AG375"/>
      <c r="AH375" s="17" t="s">
        <v>279</v>
      </c>
    </row>
    <row r="376" spans="2:35" hidden="1" outlineLevel="1" x14ac:dyDescent="0.25">
      <c r="B376" s="31" t="s">
        <v>245</v>
      </c>
      <c r="C376" s="32">
        <v>0</v>
      </c>
      <c r="D376" s="32">
        <v>0</v>
      </c>
      <c r="E376" s="32">
        <v>0</v>
      </c>
      <c r="F376" s="32">
        <v>0</v>
      </c>
      <c r="G376" s="32">
        <v>0</v>
      </c>
      <c r="H376" s="32">
        <v>0</v>
      </c>
      <c r="I376" s="32">
        <v>0</v>
      </c>
      <c r="J376" s="32">
        <v>0</v>
      </c>
      <c r="K376" s="32">
        <v>0</v>
      </c>
      <c r="L376" s="32">
        <v>0</v>
      </c>
      <c r="M376" s="32">
        <v>0</v>
      </c>
      <c r="N376" s="32">
        <v>0</v>
      </c>
      <c r="O376" s="32">
        <v>0</v>
      </c>
      <c r="P376" s="32">
        <v>0</v>
      </c>
      <c r="Q376" s="32">
        <v>0</v>
      </c>
      <c r="R376" s="32">
        <v>4623100.2231905619</v>
      </c>
      <c r="S376" s="32">
        <v>4623100.2231905619</v>
      </c>
      <c r="T376" s="32">
        <v>4623100.2231905619</v>
      </c>
      <c r="U376" s="32">
        <v>4623100.2231905619</v>
      </c>
      <c r="V376" s="32">
        <v>4623100.2231905619</v>
      </c>
      <c r="W376" s="32">
        <v>4623100.2231905619</v>
      </c>
      <c r="X376" s="32">
        <v>4623100.2231905619</v>
      </c>
      <c r="Y376" s="32">
        <v>4623100.2231905619</v>
      </c>
      <c r="Z376" s="32">
        <v>4623100.2231905619</v>
      </c>
      <c r="AA376" s="32">
        <v>4623100.2231905619</v>
      </c>
      <c r="AB376" s="32">
        <v>4623100.2231905619</v>
      </c>
      <c r="AC376" s="32">
        <v>4623100.2231905619</v>
      </c>
      <c r="AD376" s="32">
        <v>4623100.2231905619</v>
      </c>
      <c r="AE376" s="32">
        <v>4623100.2231905619</v>
      </c>
      <c r="AF376" s="32">
        <v>4623100.2231905619</v>
      </c>
      <c r="AG376"/>
      <c r="AH376" s="17" t="s">
        <v>279</v>
      </c>
    </row>
    <row r="377" spans="2:35" hidden="1" outlineLevel="1" x14ac:dyDescent="0.25">
      <c r="B377" s="31" t="s">
        <v>149</v>
      </c>
      <c r="C377" s="32">
        <v>0</v>
      </c>
      <c r="D377" s="32">
        <v>0</v>
      </c>
      <c r="E377" s="32">
        <v>0</v>
      </c>
      <c r="F377" s="32">
        <v>0</v>
      </c>
      <c r="G377" s="32">
        <v>0</v>
      </c>
      <c r="H377" s="32">
        <v>4717161.5</v>
      </c>
      <c r="I377" s="32">
        <v>4717161.5</v>
      </c>
      <c r="J377" s="32">
        <v>4717161.5</v>
      </c>
      <c r="K377" s="32">
        <v>4717161.5</v>
      </c>
      <c r="L377" s="32">
        <v>4717161.5</v>
      </c>
      <c r="M377" s="32">
        <v>67247712.10494855</v>
      </c>
      <c r="N377" s="32">
        <v>65083121.741223067</v>
      </c>
      <c r="O377" s="32">
        <v>65083121.741223067</v>
      </c>
      <c r="P377" s="32">
        <v>64124420.655928947</v>
      </c>
      <c r="Q377" s="32">
        <v>130364547.97689685</v>
      </c>
      <c r="R377" s="32">
        <v>134987648.20008743</v>
      </c>
      <c r="S377" s="32">
        <v>134987648.20008743</v>
      </c>
      <c r="T377" s="32">
        <v>134628800.42193615</v>
      </c>
      <c r="U377" s="32">
        <v>134628800.42193615</v>
      </c>
      <c r="V377" s="32">
        <v>134628800.42193615</v>
      </c>
      <c r="W377" s="32">
        <v>134628800.42193615</v>
      </c>
      <c r="X377" s="32">
        <v>134628800.42193615</v>
      </c>
      <c r="Y377" s="32">
        <v>134628800.42193615</v>
      </c>
      <c r="Z377" s="32">
        <v>134628800.42193615</v>
      </c>
      <c r="AA377" s="32">
        <v>134628800.42193615</v>
      </c>
      <c r="AB377" s="32">
        <v>134628800.42193615</v>
      </c>
      <c r="AC377" s="32">
        <v>134628800.42193615</v>
      </c>
      <c r="AD377" s="32">
        <v>134628800.42193615</v>
      </c>
      <c r="AE377" s="32">
        <v>134628800.42193615</v>
      </c>
      <c r="AF377" s="32">
        <v>134628800.42193615</v>
      </c>
      <c r="AG377"/>
      <c r="AH377" s="17" t="s">
        <v>279</v>
      </c>
    </row>
    <row r="378" spans="2:35" hidden="1" outlineLevel="1" x14ac:dyDescent="0.25">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c r="AH378"/>
    </row>
    <row r="379" spans="2:35" hidden="1" outlineLevel="1" x14ac:dyDescent="0.25">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c r="AH379"/>
    </row>
    <row r="380" spans="2:35" ht="17.25" hidden="1" outlineLevel="1" thickBot="1" x14ac:dyDescent="0.3">
      <c r="B380" s="26" t="s">
        <v>282</v>
      </c>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row>
    <row r="381" spans="2:35" ht="16.5" hidden="1" outlineLevel="1" thickTop="1" thickBot="1" x14ac:dyDescent="0.3">
      <c r="B381" s="28" t="s">
        <v>278</v>
      </c>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0"/>
      <c r="AH381" s="20" t="s">
        <v>15</v>
      </c>
    </row>
    <row r="382" spans="2:35" customFormat="1" hidden="1" outlineLevel="1" x14ac:dyDescent="0.25">
      <c r="B382" s="30"/>
      <c r="C382" s="17">
        <v>2025</v>
      </c>
      <c r="D382" s="44">
        <v>2026</v>
      </c>
      <c r="E382" s="44">
        <v>2027</v>
      </c>
      <c r="F382" s="44">
        <v>2028</v>
      </c>
      <c r="G382" s="44">
        <v>2029</v>
      </c>
      <c r="H382" s="44">
        <v>2030</v>
      </c>
      <c r="I382" s="44">
        <v>2031</v>
      </c>
      <c r="J382" s="44">
        <v>2032</v>
      </c>
      <c r="K382" s="44">
        <v>2033</v>
      </c>
      <c r="L382" s="44">
        <v>2034</v>
      </c>
      <c r="M382" s="44">
        <v>2035</v>
      </c>
      <c r="N382" s="44">
        <v>2036</v>
      </c>
      <c r="O382" s="44">
        <v>2037</v>
      </c>
      <c r="P382" s="44">
        <v>2038</v>
      </c>
      <c r="Q382" s="44">
        <v>2039</v>
      </c>
      <c r="R382" s="44">
        <v>2040</v>
      </c>
      <c r="S382" s="44">
        <v>2041</v>
      </c>
      <c r="T382" s="44">
        <v>2042</v>
      </c>
      <c r="U382" s="44">
        <v>2043</v>
      </c>
      <c r="V382" s="44">
        <v>2044</v>
      </c>
      <c r="W382" s="44">
        <v>2045</v>
      </c>
      <c r="X382" s="44">
        <v>2046</v>
      </c>
      <c r="Y382" s="44">
        <v>2047</v>
      </c>
      <c r="Z382" s="44">
        <v>2048</v>
      </c>
      <c r="AA382" s="44">
        <v>2049</v>
      </c>
      <c r="AB382" s="44">
        <v>2050</v>
      </c>
      <c r="AC382" s="44">
        <v>2051</v>
      </c>
      <c r="AD382" s="44">
        <v>2052</v>
      </c>
      <c r="AE382" s="44">
        <v>2053</v>
      </c>
      <c r="AF382" s="44">
        <v>2054</v>
      </c>
      <c r="AH382" s="1"/>
      <c r="AI382" s="1"/>
    </row>
    <row r="383" spans="2:35" hidden="1" outlineLevel="1" x14ac:dyDescent="0.25">
      <c r="B383" s="31" t="s">
        <v>144</v>
      </c>
      <c r="C383" s="32">
        <v>342242.65102078754</v>
      </c>
      <c r="D383" s="32">
        <v>342242.65102078754</v>
      </c>
      <c r="E383" s="32">
        <v>342242.65102078754</v>
      </c>
      <c r="F383" s="32">
        <v>305603.30209601083</v>
      </c>
      <c r="G383" s="32">
        <v>305603.30209601083</v>
      </c>
      <c r="H383" s="32">
        <v>301207.80852934415</v>
      </c>
      <c r="I383" s="32">
        <v>301207.80852934415</v>
      </c>
      <c r="J383" s="32">
        <v>291945.6620454957</v>
      </c>
      <c r="K383" s="32">
        <v>291945.6620454957</v>
      </c>
      <c r="L383" s="32">
        <v>291945.6620454957</v>
      </c>
      <c r="M383" s="32">
        <v>171048.38041967916</v>
      </c>
      <c r="N383" s="32">
        <v>171048.38041967916</v>
      </c>
      <c r="O383" s="32">
        <v>171048.38041967916</v>
      </c>
      <c r="P383" s="32">
        <v>171048.38041967916</v>
      </c>
      <c r="Q383" s="32">
        <v>0</v>
      </c>
      <c r="R383" s="32">
        <v>0</v>
      </c>
      <c r="S383" s="32">
        <v>0</v>
      </c>
      <c r="T383" s="32">
        <v>0</v>
      </c>
      <c r="U383" s="32">
        <v>0</v>
      </c>
      <c r="V383" s="32">
        <v>0</v>
      </c>
      <c r="W383" s="32">
        <v>0</v>
      </c>
      <c r="X383" s="32">
        <v>0</v>
      </c>
      <c r="Y383" s="32">
        <v>0</v>
      </c>
      <c r="Z383" s="32">
        <v>0</v>
      </c>
      <c r="AA383" s="32">
        <v>0</v>
      </c>
      <c r="AB383" s="32">
        <v>0</v>
      </c>
      <c r="AC383" s="32">
        <v>0</v>
      </c>
      <c r="AD383" s="32">
        <v>0</v>
      </c>
      <c r="AE383" s="32">
        <v>0</v>
      </c>
      <c r="AF383" s="32">
        <v>0</v>
      </c>
      <c r="AG383"/>
      <c r="AH383" s="17" t="s">
        <v>279</v>
      </c>
    </row>
    <row r="384" spans="2:35" customFormat="1" hidden="1" outlineLevel="1" x14ac:dyDescent="0.25">
      <c r="B384" s="31" t="s">
        <v>145</v>
      </c>
      <c r="C384" s="32">
        <v>98109.353104549853</v>
      </c>
      <c r="D384" s="32">
        <v>98109.353104549853</v>
      </c>
      <c r="E384" s="32">
        <v>98109.353104549853</v>
      </c>
      <c r="F384" s="32">
        <v>98109.353104549853</v>
      </c>
      <c r="G384" s="32">
        <v>98109.353104549853</v>
      </c>
      <c r="H384" s="32">
        <v>98109.353104549853</v>
      </c>
      <c r="I384" s="32">
        <v>98109.353104549853</v>
      </c>
      <c r="J384" s="32">
        <v>98109.353104549853</v>
      </c>
      <c r="K384" s="32">
        <v>98109.353104549853</v>
      </c>
      <c r="L384" s="32">
        <v>87477.430959262143</v>
      </c>
      <c r="M384" s="32">
        <v>87477.430959262143</v>
      </c>
      <c r="N384" s="32">
        <v>87477.430959262143</v>
      </c>
      <c r="O384" s="32">
        <v>87477.430959262143</v>
      </c>
      <c r="P384" s="32">
        <v>87287.517599226805</v>
      </c>
      <c r="Q384" s="32">
        <v>0</v>
      </c>
      <c r="R384" s="32">
        <v>0</v>
      </c>
      <c r="S384" s="32">
        <v>0</v>
      </c>
      <c r="T384" s="32">
        <v>0</v>
      </c>
      <c r="U384" s="32">
        <v>0</v>
      </c>
      <c r="V384" s="32">
        <v>0</v>
      </c>
      <c r="W384" s="32">
        <v>0</v>
      </c>
      <c r="X384" s="32">
        <v>0</v>
      </c>
      <c r="Y384" s="32">
        <v>0</v>
      </c>
      <c r="Z384" s="32">
        <v>0</v>
      </c>
      <c r="AA384" s="32">
        <v>0</v>
      </c>
      <c r="AB384" s="32">
        <v>0</v>
      </c>
      <c r="AC384" s="32">
        <v>0</v>
      </c>
      <c r="AD384" s="32">
        <v>0</v>
      </c>
      <c r="AE384" s="32">
        <v>0</v>
      </c>
      <c r="AF384" s="32">
        <v>0</v>
      </c>
      <c r="AH384" s="17" t="s">
        <v>279</v>
      </c>
    </row>
    <row r="385" spans="2:34" hidden="1" outlineLevel="1" x14ac:dyDescent="0.25">
      <c r="B385" s="31" t="s">
        <v>244</v>
      </c>
      <c r="C385" s="32">
        <v>249408.4642786741</v>
      </c>
      <c r="D385" s="32">
        <v>249408.4642786741</v>
      </c>
      <c r="E385" s="32">
        <v>249408.4642786741</v>
      </c>
      <c r="F385" s="32">
        <v>271089.76978868787</v>
      </c>
      <c r="G385" s="32">
        <v>271089.76978868787</v>
      </c>
      <c r="H385" s="32">
        <v>143967.48679243695</v>
      </c>
      <c r="I385" s="32">
        <v>143967.48679243695</v>
      </c>
      <c r="J385" s="32">
        <v>128749.73854326934</v>
      </c>
      <c r="K385" s="32">
        <v>128749.73854326934</v>
      </c>
      <c r="L385" s="32">
        <v>128749.73854326934</v>
      </c>
      <c r="M385" s="32">
        <v>25437.408615120967</v>
      </c>
      <c r="N385" s="32">
        <v>23970.958709958686</v>
      </c>
      <c r="O385" s="32">
        <v>23970.958709958686</v>
      </c>
      <c r="P385" s="32">
        <v>23638.245441036677</v>
      </c>
      <c r="Q385" s="32">
        <v>0</v>
      </c>
      <c r="R385" s="32">
        <v>0</v>
      </c>
      <c r="S385" s="32">
        <v>0</v>
      </c>
      <c r="T385" s="32">
        <v>0</v>
      </c>
      <c r="U385" s="32">
        <v>0</v>
      </c>
      <c r="V385" s="32">
        <v>0</v>
      </c>
      <c r="W385" s="32">
        <v>0</v>
      </c>
      <c r="X385" s="32">
        <v>0</v>
      </c>
      <c r="Y385" s="32">
        <v>0</v>
      </c>
      <c r="Z385" s="32">
        <v>0</v>
      </c>
      <c r="AA385" s="32">
        <v>0</v>
      </c>
      <c r="AB385" s="32">
        <v>0</v>
      </c>
      <c r="AC385" s="32">
        <v>0</v>
      </c>
      <c r="AD385" s="32">
        <v>0</v>
      </c>
      <c r="AE385" s="32">
        <v>0</v>
      </c>
      <c r="AF385" s="32">
        <v>0</v>
      </c>
      <c r="AG385"/>
      <c r="AH385" s="17" t="s">
        <v>279</v>
      </c>
    </row>
    <row r="386" spans="2:34" hidden="1" outlineLevel="1" x14ac:dyDescent="0.25">
      <c r="B386" s="31" t="s">
        <v>147</v>
      </c>
      <c r="C386" s="32">
        <v>0</v>
      </c>
      <c r="D386" s="32">
        <v>0</v>
      </c>
      <c r="E386" s="32">
        <v>0</v>
      </c>
      <c r="F386" s="32">
        <v>0</v>
      </c>
      <c r="G386" s="32">
        <v>0</v>
      </c>
      <c r="H386" s="32">
        <v>0</v>
      </c>
      <c r="I386" s="32">
        <v>0</v>
      </c>
      <c r="J386" s="32">
        <v>0</v>
      </c>
      <c r="K386" s="32">
        <v>0</v>
      </c>
      <c r="L386" s="32">
        <v>0</v>
      </c>
      <c r="M386" s="32">
        <v>0</v>
      </c>
      <c r="N386" s="32">
        <v>0</v>
      </c>
      <c r="O386" s="32">
        <v>0</v>
      </c>
      <c r="P386" s="32">
        <v>0</v>
      </c>
      <c r="Q386" s="32">
        <v>0</v>
      </c>
      <c r="R386" s="32">
        <v>0</v>
      </c>
      <c r="S386" s="32">
        <v>0</v>
      </c>
      <c r="T386" s="32">
        <v>0</v>
      </c>
      <c r="U386" s="32">
        <v>0</v>
      </c>
      <c r="V386" s="32">
        <v>0</v>
      </c>
      <c r="W386" s="32">
        <v>0</v>
      </c>
      <c r="X386" s="32">
        <v>0</v>
      </c>
      <c r="Y386" s="32">
        <v>0</v>
      </c>
      <c r="Z386" s="32">
        <v>0</v>
      </c>
      <c r="AA386" s="32">
        <v>0</v>
      </c>
      <c r="AB386" s="32">
        <v>0</v>
      </c>
      <c r="AC386" s="32">
        <v>0</v>
      </c>
      <c r="AD386" s="32">
        <v>0</v>
      </c>
      <c r="AE386" s="32">
        <v>0</v>
      </c>
      <c r="AF386" s="32">
        <v>0</v>
      </c>
      <c r="AG386"/>
      <c r="AH386" s="17" t="s">
        <v>279</v>
      </c>
    </row>
    <row r="387" spans="2:34" hidden="1" outlineLevel="1" x14ac:dyDescent="0.25">
      <c r="B387" s="31" t="s">
        <v>245</v>
      </c>
      <c r="C387" s="32">
        <v>15010.998282483361</v>
      </c>
      <c r="D387" s="32">
        <v>15010.998282483361</v>
      </c>
      <c r="E387" s="32">
        <v>15010.998282483361</v>
      </c>
      <c r="F387" s="32">
        <v>15010.998282483361</v>
      </c>
      <c r="G387" s="32">
        <v>15010.998282483361</v>
      </c>
      <c r="H387" s="32">
        <v>15010.998282483361</v>
      </c>
      <c r="I387" s="32">
        <v>15010.998282483361</v>
      </c>
      <c r="J387" s="32">
        <v>15010.998282483361</v>
      </c>
      <c r="K387" s="32">
        <v>15010.998282483361</v>
      </c>
      <c r="L387" s="32">
        <v>15010.998282483361</v>
      </c>
      <c r="M387" s="32">
        <v>15010.998282483361</v>
      </c>
      <c r="N387" s="32">
        <v>13436.692112233934</v>
      </c>
      <c r="O387" s="32">
        <v>13436.692112233934</v>
      </c>
      <c r="P387" s="32">
        <v>13436.692112233934</v>
      </c>
      <c r="Q387" s="32">
        <v>0</v>
      </c>
      <c r="R387" s="32">
        <v>0</v>
      </c>
      <c r="S387" s="32">
        <v>0</v>
      </c>
      <c r="T387" s="32">
        <v>0</v>
      </c>
      <c r="U387" s="32">
        <v>0</v>
      </c>
      <c r="V387" s="32">
        <v>0</v>
      </c>
      <c r="W387" s="32">
        <v>0</v>
      </c>
      <c r="X387" s="32">
        <v>0</v>
      </c>
      <c r="Y387" s="32">
        <v>0</v>
      </c>
      <c r="Z387" s="32">
        <v>0</v>
      </c>
      <c r="AA387" s="32">
        <v>0</v>
      </c>
      <c r="AB387" s="32">
        <v>0</v>
      </c>
      <c r="AC387" s="32">
        <v>0</v>
      </c>
      <c r="AD387" s="32">
        <v>0</v>
      </c>
      <c r="AE387" s="32">
        <v>0</v>
      </c>
      <c r="AF387" s="32">
        <v>0</v>
      </c>
      <c r="AG387"/>
      <c r="AH387" s="17" t="s">
        <v>279</v>
      </c>
    </row>
    <row r="388" spans="2:34" hidden="1" outlineLevel="1" x14ac:dyDescent="0.25">
      <c r="B388" s="31" t="s">
        <v>149</v>
      </c>
      <c r="C388" s="32">
        <v>704771.46668649488</v>
      </c>
      <c r="D388" s="32">
        <v>704771.46668649488</v>
      </c>
      <c r="E388" s="32">
        <v>704771.46668649488</v>
      </c>
      <c r="F388" s="32">
        <v>689813.42327173194</v>
      </c>
      <c r="G388" s="32">
        <v>689813.42327173194</v>
      </c>
      <c r="H388" s="32">
        <v>558295.64670881431</v>
      </c>
      <c r="I388" s="32">
        <v>558295.64670881431</v>
      </c>
      <c r="J388" s="32">
        <v>533815.75197579828</v>
      </c>
      <c r="K388" s="32">
        <v>533815.75197579828</v>
      </c>
      <c r="L388" s="32">
        <v>523183.82983051054</v>
      </c>
      <c r="M388" s="32">
        <v>298974.21827654564</v>
      </c>
      <c r="N388" s="32">
        <v>295933.46220113395</v>
      </c>
      <c r="O388" s="32">
        <v>295933.46220113395</v>
      </c>
      <c r="P388" s="32">
        <v>295410.83557217661</v>
      </c>
      <c r="Q388" s="32">
        <v>0</v>
      </c>
      <c r="R388" s="32">
        <v>0</v>
      </c>
      <c r="S388" s="32">
        <v>0</v>
      </c>
      <c r="T388" s="32">
        <v>0</v>
      </c>
      <c r="U388" s="32">
        <v>0</v>
      </c>
      <c r="V388" s="32">
        <v>0</v>
      </c>
      <c r="W388" s="32">
        <v>0</v>
      </c>
      <c r="X388" s="32">
        <v>0</v>
      </c>
      <c r="Y388" s="32">
        <v>0</v>
      </c>
      <c r="Z388" s="32">
        <v>0</v>
      </c>
      <c r="AA388" s="32">
        <v>0</v>
      </c>
      <c r="AB388" s="32">
        <v>0</v>
      </c>
      <c r="AC388" s="32">
        <v>0</v>
      </c>
      <c r="AD388" s="32">
        <v>0</v>
      </c>
      <c r="AE388" s="32">
        <v>0</v>
      </c>
      <c r="AF388" s="32">
        <v>0</v>
      </c>
      <c r="AG388"/>
      <c r="AH388" s="17" t="s">
        <v>279</v>
      </c>
    </row>
    <row r="389" spans="2:34" hidden="1" outlineLevel="1" x14ac:dyDescent="0.25">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row>
    <row r="390" spans="2:34" ht="15.75" hidden="1" outlineLevel="1" thickBot="1" x14ac:dyDescent="0.3">
      <c r="B390" s="28" t="s">
        <v>280</v>
      </c>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0"/>
      <c r="AH390" s="20" t="s">
        <v>15</v>
      </c>
    </row>
    <row r="391" spans="2:34" customFormat="1" hidden="1" outlineLevel="1" x14ac:dyDescent="0.25">
      <c r="B391" s="30"/>
      <c r="C391" s="17">
        <v>2025</v>
      </c>
      <c r="D391" s="44">
        <v>2026</v>
      </c>
      <c r="E391" s="44">
        <v>2027</v>
      </c>
      <c r="F391" s="44">
        <v>2028</v>
      </c>
      <c r="G391" s="44">
        <v>2029</v>
      </c>
      <c r="H391" s="44">
        <v>2030</v>
      </c>
      <c r="I391" s="44">
        <v>2031</v>
      </c>
      <c r="J391" s="44">
        <v>2032</v>
      </c>
      <c r="K391" s="44">
        <v>2033</v>
      </c>
      <c r="L391" s="44">
        <v>2034</v>
      </c>
      <c r="M391" s="44">
        <v>2035</v>
      </c>
      <c r="N391" s="44">
        <v>2036</v>
      </c>
      <c r="O391" s="44">
        <v>2037</v>
      </c>
      <c r="P391" s="44">
        <v>2038</v>
      </c>
      <c r="Q391" s="44">
        <v>2039</v>
      </c>
      <c r="R391" s="44">
        <v>2040</v>
      </c>
      <c r="S391" s="44">
        <v>2041</v>
      </c>
      <c r="T391" s="44">
        <v>2042</v>
      </c>
      <c r="U391" s="44">
        <v>2043</v>
      </c>
      <c r="V391" s="44">
        <v>2044</v>
      </c>
      <c r="W391" s="44">
        <v>2045</v>
      </c>
      <c r="X391" s="44">
        <v>2046</v>
      </c>
      <c r="Y391" s="44">
        <v>2047</v>
      </c>
      <c r="Z391" s="44">
        <v>2048</v>
      </c>
      <c r="AA391" s="44">
        <v>2049</v>
      </c>
      <c r="AB391" s="44">
        <v>2050</v>
      </c>
      <c r="AC391" s="44">
        <v>2051</v>
      </c>
      <c r="AD391" s="44">
        <v>2052</v>
      </c>
      <c r="AE391" s="44">
        <v>2053</v>
      </c>
      <c r="AF391" s="44">
        <v>2054</v>
      </c>
      <c r="AH391" s="1"/>
    </row>
    <row r="392" spans="2:34" hidden="1" outlineLevel="1" x14ac:dyDescent="0.25">
      <c r="B392" s="31" t="s">
        <v>144</v>
      </c>
      <c r="C392" s="32">
        <v>0</v>
      </c>
      <c r="D392" s="32">
        <v>0</v>
      </c>
      <c r="E392" s="32">
        <v>0</v>
      </c>
      <c r="F392" s="32">
        <v>0</v>
      </c>
      <c r="G392" s="32">
        <v>0</v>
      </c>
      <c r="H392" s="32">
        <v>0</v>
      </c>
      <c r="I392" s="32">
        <v>0</v>
      </c>
      <c r="J392" s="32">
        <v>0</v>
      </c>
      <c r="K392" s="32">
        <v>0</v>
      </c>
      <c r="L392" s="32">
        <v>0</v>
      </c>
      <c r="M392" s="32">
        <v>120897.28162581658</v>
      </c>
      <c r="N392" s="32">
        <v>120897.28162581658</v>
      </c>
      <c r="O392" s="32">
        <v>120897.28162581658</v>
      </c>
      <c r="P392" s="32">
        <v>120897.28162581658</v>
      </c>
      <c r="Q392" s="32">
        <v>291945.6620454957</v>
      </c>
      <c r="R392" s="32">
        <v>291945.6620454957</v>
      </c>
      <c r="S392" s="32">
        <v>291945.6620454957</v>
      </c>
      <c r="T392" s="32">
        <v>291945.6620454957</v>
      </c>
      <c r="U392" s="32">
        <v>291945.6620454957</v>
      </c>
      <c r="V392" s="32">
        <v>291945.6620454957</v>
      </c>
      <c r="W392" s="32">
        <v>291945.6620454957</v>
      </c>
      <c r="X392" s="32">
        <v>291945.6620454957</v>
      </c>
      <c r="Y392" s="32">
        <v>291945.6620454957</v>
      </c>
      <c r="Z392" s="32">
        <v>291945.6620454957</v>
      </c>
      <c r="AA392" s="32">
        <v>291945.6620454957</v>
      </c>
      <c r="AB392" s="32">
        <v>291945.6620454957</v>
      </c>
      <c r="AC392" s="32">
        <v>291945.6620454957</v>
      </c>
      <c r="AD392" s="32">
        <v>291945.6620454957</v>
      </c>
      <c r="AE392" s="32">
        <v>291945.6620454957</v>
      </c>
      <c r="AF392" s="32">
        <v>291945.6620454957</v>
      </c>
      <c r="AG392"/>
      <c r="AH392" s="17" t="s">
        <v>279</v>
      </c>
    </row>
    <row r="393" spans="2:34" hidden="1" outlineLevel="1" x14ac:dyDescent="0.25">
      <c r="B393" s="31" t="s">
        <v>145</v>
      </c>
      <c r="C393" s="32">
        <v>0</v>
      </c>
      <c r="D393" s="32">
        <v>0</v>
      </c>
      <c r="E393" s="32">
        <v>0</v>
      </c>
      <c r="F393" s="32">
        <v>0</v>
      </c>
      <c r="G393" s="32">
        <v>0</v>
      </c>
      <c r="H393" s="32">
        <v>0</v>
      </c>
      <c r="I393" s="32">
        <v>0</v>
      </c>
      <c r="J393" s="32">
        <v>0</v>
      </c>
      <c r="K393" s="32">
        <v>0</v>
      </c>
      <c r="L393" s="32">
        <v>0</v>
      </c>
      <c r="M393" s="32">
        <v>0</v>
      </c>
      <c r="N393" s="32">
        <v>0</v>
      </c>
      <c r="O393" s="32">
        <v>0</v>
      </c>
      <c r="P393" s="32">
        <v>0</v>
      </c>
      <c r="Q393" s="32">
        <v>87287.517599226805</v>
      </c>
      <c r="R393" s="32">
        <v>86872.013217632499</v>
      </c>
      <c r="S393" s="32">
        <v>86872.013217632499</v>
      </c>
      <c r="T393" s="32">
        <v>85195.012122318236</v>
      </c>
      <c r="U393" s="32">
        <v>85195.012122318236</v>
      </c>
      <c r="V393" s="32">
        <v>85195.012122318236</v>
      </c>
      <c r="W393" s="32">
        <v>85195.012122318236</v>
      </c>
      <c r="X393" s="32">
        <v>85195.012122318236</v>
      </c>
      <c r="Y393" s="32">
        <v>85195.012122318236</v>
      </c>
      <c r="Z393" s="32">
        <v>85195.012122318236</v>
      </c>
      <c r="AA393" s="32">
        <v>85195.012122318236</v>
      </c>
      <c r="AB393" s="32">
        <v>83077.009532805183</v>
      </c>
      <c r="AC393" s="32">
        <v>83077.009532805183</v>
      </c>
      <c r="AD393" s="32">
        <v>83077.009532805183</v>
      </c>
      <c r="AE393" s="32">
        <v>83077.009532805183</v>
      </c>
      <c r="AF393" s="32">
        <v>83077.009532805183</v>
      </c>
      <c r="AG393"/>
      <c r="AH393" s="17" t="s">
        <v>279</v>
      </c>
    </row>
    <row r="394" spans="2:34" hidden="1" outlineLevel="1" x14ac:dyDescent="0.25">
      <c r="B394" s="31" t="s">
        <v>244</v>
      </c>
      <c r="C394" s="32">
        <v>0</v>
      </c>
      <c r="D394" s="32">
        <v>0</v>
      </c>
      <c r="E394" s="32">
        <v>0</v>
      </c>
      <c r="F394" s="32">
        <v>0</v>
      </c>
      <c r="G394" s="32">
        <v>0</v>
      </c>
      <c r="H394" s="32">
        <v>120595.95328017237</v>
      </c>
      <c r="I394" s="32">
        <v>120595.95328017237</v>
      </c>
      <c r="J394" s="32">
        <v>112719.78622308007</v>
      </c>
      <c r="K394" s="32">
        <v>112719.78622308007</v>
      </c>
      <c r="L394" s="32">
        <v>112719.78622308007</v>
      </c>
      <c r="M394" s="32">
        <v>216032.11615122846</v>
      </c>
      <c r="N394" s="32">
        <v>204189.93160830886</v>
      </c>
      <c r="O394" s="32">
        <v>204189.93160830886</v>
      </c>
      <c r="P394" s="32">
        <v>201456.41053787043</v>
      </c>
      <c r="Q394" s="32">
        <v>225094.6559789071</v>
      </c>
      <c r="R394" s="32">
        <v>231209.69947117515</v>
      </c>
      <c r="S394" s="32">
        <v>231209.69947117515</v>
      </c>
      <c r="T394" s="32">
        <v>231209.69947117515</v>
      </c>
      <c r="U394" s="32">
        <v>231209.69947117515</v>
      </c>
      <c r="V394" s="32">
        <v>229096.82281032932</v>
      </c>
      <c r="W394" s="32">
        <v>229096.82281032932</v>
      </c>
      <c r="X394" s="32">
        <v>229096.82281032932</v>
      </c>
      <c r="Y394" s="32">
        <v>229096.82281032932</v>
      </c>
      <c r="Z394" s="32">
        <v>229096.82281032932</v>
      </c>
      <c r="AA394" s="32">
        <v>229096.82281032932</v>
      </c>
      <c r="AB394" s="32">
        <v>229096.82281032932</v>
      </c>
      <c r="AC394" s="32">
        <v>229096.82281032932</v>
      </c>
      <c r="AD394" s="32">
        <v>229096.82281032932</v>
      </c>
      <c r="AE394" s="32">
        <v>229096.82281032932</v>
      </c>
      <c r="AF394" s="32">
        <v>229096.82281032932</v>
      </c>
      <c r="AG394"/>
      <c r="AH394" s="17" t="s">
        <v>279</v>
      </c>
    </row>
    <row r="395" spans="2:34" hidden="1" outlineLevel="1" x14ac:dyDescent="0.25">
      <c r="B395" s="31" t="s">
        <v>147</v>
      </c>
      <c r="C395" s="32">
        <v>0</v>
      </c>
      <c r="D395" s="32">
        <v>0</v>
      </c>
      <c r="E395" s="32">
        <v>0</v>
      </c>
      <c r="F395" s="32">
        <v>0</v>
      </c>
      <c r="G395" s="32">
        <v>0</v>
      </c>
      <c r="H395" s="32">
        <v>0</v>
      </c>
      <c r="I395" s="32">
        <v>0</v>
      </c>
      <c r="J395" s="32">
        <v>0</v>
      </c>
      <c r="K395" s="32">
        <v>0</v>
      </c>
      <c r="L395" s="32">
        <v>0</v>
      </c>
      <c r="M395" s="32">
        <v>0</v>
      </c>
      <c r="N395" s="32">
        <v>0</v>
      </c>
      <c r="O395" s="32">
        <v>0</v>
      </c>
      <c r="P395" s="32">
        <v>0</v>
      </c>
      <c r="Q395" s="32">
        <v>0</v>
      </c>
      <c r="R395" s="32">
        <v>0</v>
      </c>
      <c r="S395" s="32">
        <v>0</v>
      </c>
      <c r="T395" s="32">
        <v>0</v>
      </c>
      <c r="U395" s="32">
        <v>0</v>
      </c>
      <c r="V395" s="32">
        <v>0</v>
      </c>
      <c r="W395" s="32">
        <v>0</v>
      </c>
      <c r="X395" s="32">
        <v>0</v>
      </c>
      <c r="Y395" s="32">
        <v>0</v>
      </c>
      <c r="Z395" s="32">
        <v>0</v>
      </c>
      <c r="AA395" s="32">
        <v>0</v>
      </c>
      <c r="AB395" s="32">
        <v>0</v>
      </c>
      <c r="AC395" s="32">
        <v>0</v>
      </c>
      <c r="AD395" s="32">
        <v>0</v>
      </c>
      <c r="AE395" s="32">
        <v>0</v>
      </c>
      <c r="AF395" s="32">
        <v>0</v>
      </c>
      <c r="AG395"/>
      <c r="AH395" s="17" t="s">
        <v>279</v>
      </c>
    </row>
    <row r="396" spans="2:34" hidden="1" outlineLevel="1" x14ac:dyDescent="0.25">
      <c r="B396" s="31" t="s">
        <v>245</v>
      </c>
      <c r="C396" s="32">
        <v>0</v>
      </c>
      <c r="D396" s="32">
        <v>0</v>
      </c>
      <c r="E396" s="32">
        <v>0</v>
      </c>
      <c r="F396" s="32">
        <v>0</v>
      </c>
      <c r="G396" s="32">
        <v>0</v>
      </c>
      <c r="H396" s="32">
        <v>0</v>
      </c>
      <c r="I396" s="32">
        <v>0</v>
      </c>
      <c r="J396" s="32">
        <v>0</v>
      </c>
      <c r="K396" s="32">
        <v>0</v>
      </c>
      <c r="L396" s="32">
        <v>0</v>
      </c>
      <c r="M396" s="32">
        <v>0</v>
      </c>
      <c r="N396" s="32">
        <v>0</v>
      </c>
      <c r="O396" s="32">
        <v>0</v>
      </c>
      <c r="P396" s="32">
        <v>0</v>
      </c>
      <c r="Q396" s="32">
        <v>13436.692112233934</v>
      </c>
      <c r="R396" s="32">
        <v>51778.373813264858</v>
      </c>
      <c r="S396" s="32">
        <v>51778.373813264858</v>
      </c>
      <c r="T396" s="32">
        <v>51778.373813264858</v>
      </c>
      <c r="U396" s="32">
        <v>51778.373813264858</v>
      </c>
      <c r="V396" s="32">
        <v>51778.373813264858</v>
      </c>
      <c r="W396" s="32">
        <v>51778.373813264858</v>
      </c>
      <c r="X396" s="32">
        <v>51778.373813264858</v>
      </c>
      <c r="Y396" s="32">
        <v>51778.373813264858</v>
      </c>
      <c r="Z396" s="32">
        <v>51778.373813264858</v>
      </c>
      <c r="AA396" s="32">
        <v>51778.373813264858</v>
      </c>
      <c r="AB396" s="32">
        <v>51778.373813264858</v>
      </c>
      <c r="AC396" s="32">
        <v>51778.373813264858</v>
      </c>
      <c r="AD396" s="32">
        <v>51778.373813264858</v>
      </c>
      <c r="AE396" s="32">
        <v>51778.373813264858</v>
      </c>
      <c r="AF396" s="32">
        <v>51778.373813264858</v>
      </c>
      <c r="AG396"/>
      <c r="AH396" s="17" t="s">
        <v>279</v>
      </c>
    </row>
    <row r="397" spans="2:34" hidden="1" outlineLevel="1" x14ac:dyDescent="0.25">
      <c r="B397" s="31" t="s">
        <v>149</v>
      </c>
      <c r="C397" s="32">
        <v>0</v>
      </c>
      <c r="D397" s="32">
        <v>0</v>
      </c>
      <c r="E397" s="32">
        <v>0</v>
      </c>
      <c r="F397" s="32">
        <v>0</v>
      </c>
      <c r="G397" s="32">
        <v>0</v>
      </c>
      <c r="H397" s="32">
        <v>120595.95328017237</v>
      </c>
      <c r="I397" s="32">
        <v>120595.95328017237</v>
      </c>
      <c r="J397" s="32">
        <v>112719.78622308007</v>
      </c>
      <c r="K397" s="32">
        <v>112719.78622308007</v>
      </c>
      <c r="L397" s="32">
        <v>112719.78622308007</v>
      </c>
      <c r="M397" s="32">
        <v>336929.39777704503</v>
      </c>
      <c r="N397" s="32">
        <v>325087.21323412546</v>
      </c>
      <c r="O397" s="32">
        <v>325087.21323412546</v>
      </c>
      <c r="P397" s="32">
        <v>322353.69216368702</v>
      </c>
      <c r="Q397" s="32">
        <v>617764.52773586358</v>
      </c>
      <c r="R397" s="32">
        <v>661805.74854756822</v>
      </c>
      <c r="S397" s="32">
        <v>661805.74854756822</v>
      </c>
      <c r="T397" s="32">
        <v>660128.74745225406</v>
      </c>
      <c r="U397" s="32">
        <v>660128.74745225406</v>
      </c>
      <c r="V397" s="32">
        <v>658015.87079140812</v>
      </c>
      <c r="W397" s="32">
        <v>658015.87079140812</v>
      </c>
      <c r="X397" s="32">
        <v>658015.87079140812</v>
      </c>
      <c r="Y397" s="32">
        <v>658015.87079140812</v>
      </c>
      <c r="Z397" s="32">
        <v>658015.87079140812</v>
      </c>
      <c r="AA397" s="32">
        <v>658015.87079140812</v>
      </c>
      <c r="AB397" s="32">
        <v>655897.86820189503</v>
      </c>
      <c r="AC397" s="32">
        <v>655897.86820189503</v>
      </c>
      <c r="AD397" s="32">
        <v>655897.86820189503</v>
      </c>
      <c r="AE397" s="32">
        <v>655897.86820189503</v>
      </c>
      <c r="AF397" s="32">
        <v>655897.86820189503</v>
      </c>
      <c r="AG397"/>
      <c r="AH397" s="17" t="s">
        <v>279</v>
      </c>
    </row>
    <row r="398" spans="2:34" hidden="1" outlineLevel="1" x14ac:dyDescent="0.25">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row>
    <row r="399" spans="2:34" hidden="1" outlineLevel="1" x14ac:dyDescent="0.25">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row>
    <row r="400" spans="2:34" ht="17.25" hidden="1" outlineLevel="1" thickBot="1" x14ac:dyDescent="0.3">
      <c r="B400" s="26" t="s">
        <v>283</v>
      </c>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row>
    <row r="401" spans="2:34" ht="16.5" hidden="1" outlineLevel="1" thickTop="1" thickBot="1" x14ac:dyDescent="0.3">
      <c r="B401" s="28" t="s">
        <v>278</v>
      </c>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0"/>
      <c r="AH401" s="20" t="s">
        <v>15</v>
      </c>
    </row>
    <row r="402" spans="2:34" customFormat="1" hidden="1" outlineLevel="1" x14ac:dyDescent="0.25">
      <c r="B402" s="30"/>
      <c r="C402" s="17">
        <v>2025</v>
      </c>
      <c r="D402" s="44">
        <v>2026</v>
      </c>
      <c r="E402" s="44">
        <v>2027</v>
      </c>
      <c r="F402" s="44">
        <v>2028</v>
      </c>
      <c r="G402" s="44">
        <v>2029</v>
      </c>
      <c r="H402" s="44">
        <v>2030</v>
      </c>
      <c r="I402" s="44">
        <v>2031</v>
      </c>
      <c r="J402" s="44">
        <v>2032</v>
      </c>
      <c r="K402" s="44">
        <v>2033</v>
      </c>
      <c r="L402" s="44">
        <v>2034</v>
      </c>
      <c r="M402" s="44">
        <v>2035</v>
      </c>
      <c r="N402" s="44">
        <v>2036</v>
      </c>
      <c r="O402" s="44">
        <v>2037</v>
      </c>
      <c r="P402" s="44">
        <v>2038</v>
      </c>
      <c r="Q402" s="44">
        <v>2039</v>
      </c>
      <c r="R402" s="44">
        <v>2040</v>
      </c>
      <c r="S402" s="44">
        <v>2041</v>
      </c>
      <c r="T402" s="44">
        <v>2042</v>
      </c>
      <c r="U402" s="44">
        <v>2043</v>
      </c>
      <c r="V402" s="44">
        <v>2044</v>
      </c>
      <c r="W402" s="44">
        <v>2045</v>
      </c>
      <c r="X402" s="44">
        <v>2046</v>
      </c>
      <c r="Y402" s="44">
        <v>2047</v>
      </c>
      <c r="Z402" s="44">
        <v>2048</v>
      </c>
      <c r="AA402" s="44">
        <v>2049</v>
      </c>
      <c r="AB402" s="44">
        <v>2050</v>
      </c>
      <c r="AC402" s="44">
        <v>2051</v>
      </c>
      <c r="AD402" s="44">
        <v>2052</v>
      </c>
      <c r="AE402" s="44">
        <v>2053</v>
      </c>
      <c r="AF402" s="44">
        <v>2054</v>
      </c>
      <c r="AH402" s="1"/>
    </row>
    <row r="403" spans="2:34" hidden="1" outlineLevel="1" x14ac:dyDescent="0.25">
      <c r="B403" s="31" t="s">
        <v>144</v>
      </c>
      <c r="C403" s="32">
        <v>8678140.1263548788</v>
      </c>
      <c r="D403" s="32">
        <v>8678140.1263548788</v>
      </c>
      <c r="E403" s="32">
        <v>8678140.1263548788</v>
      </c>
      <c r="F403" s="32">
        <v>8237611.3694371348</v>
      </c>
      <c r="G403" s="32">
        <v>8237611.3694371348</v>
      </c>
      <c r="H403" s="32">
        <v>9012734.2894371357</v>
      </c>
      <c r="I403" s="32">
        <v>9012734.2894371357</v>
      </c>
      <c r="J403" s="32">
        <v>8552617.6962371375</v>
      </c>
      <c r="K403" s="32">
        <v>8552617.6962371375</v>
      </c>
      <c r="L403" s="32">
        <v>9180639.3762371354</v>
      </c>
      <c r="M403" s="32">
        <v>5064964.101999999</v>
      </c>
      <c r="N403" s="32">
        <v>5064964.101999999</v>
      </c>
      <c r="O403" s="32">
        <v>5064964.101999999</v>
      </c>
      <c r="P403" s="32">
        <v>5064964.101999999</v>
      </c>
      <c r="Q403" s="32">
        <v>0</v>
      </c>
      <c r="R403" s="32">
        <v>0</v>
      </c>
      <c r="S403" s="32">
        <v>0</v>
      </c>
      <c r="T403" s="32">
        <v>0</v>
      </c>
      <c r="U403" s="32">
        <v>0</v>
      </c>
      <c r="V403" s="32">
        <v>0</v>
      </c>
      <c r="W403" s="32">
        <v>0</v>
      </c>
      <c r="X403" s="32">
        <v>0</v>
      </c>
      <c r="Y403" s="32">
        <v>0</v>
      </c>
      <c r="Z403" s="32">
        <v>0</v>
      </c>
      <c r="AA403" s="32">
        <v>0</v>
      </c>
      <c r="AB403" s="32">
        <v>0</v>
      </c>
      <c r="AC403" s="32">
        <v>0</v>
      </c>
      <c r="AD403" s="32">
        <v>0</v>
      </c>
      <c r="AE403" s="32">
        <v>0</v>
      </c>
      <c r="AF403" s="32">
        <v>0</v>
      </c>
      <c r="AG403"/>
      <c r="AH403" s="17" t="s">
        <v>279</v>
      </c>
    </row>
    <row r="404" spans="2:34" hidden="1" outlineLevel="1" x14ac:dyDescent="0.25">
      <c r="B404" s="31" t="s">
        <v>145</v>
      </c>
      <c r="C404" s="32">
        <v>3544817.3883669907</v>
      </c>
      <c r="D404" s="32">
        <v>7148037.0083669899</v>
      </c>
      <c r="E404" s="32">
        <v>7148037.0083669899</v>
      </c>
      <c r="F404" s="32">
        <v>7148037.0083669899</v>
      </c>
      <c r="G404" s="32">
        <v>7148037.0083669899</v>
      </c>
      <c r="H404" s="32">
        <v>7234294.6083669895</v>
      </c>
      <c r="I404" s="32">
        <v>7234294.6083669895</v>
      </c>
      <c r="J404" s="32">
        <v>7234294.6083669895</v>
      </c>
      <c r="K404" s="32">
        <v>7234294.6083669895</v>
      </c>
      <c r="L404" s="32">
        <v>7082106.2166567408</v>
      </c>
      <c r="M404" s="32">
        <v>7082106.2166567408</v>
      </c>
      <c r="N404" s="32">
        <v>7082106.2166567408</v>
      </c>
      <c r="O404" s="32">
        <v>7082106.2166567408</v>
      </c>
      <c r="P404" s="32">
        <v>7070995.9866567403</v>
      </c>
      <c r="Q404" s="32">
        <v>0</v>
      </c>
      <c r="R404" s="32">
        <v>0</v>
      </c>
      <c r="S404" s="32">
        <v>0</v>
      </c>
      <c r="T404" s="32">
        <v>0</v>
      </c>
      <c r="U404" s="32">
        <v>0</v>
      </c>
      <c r="V404" s="32">
        <v>0</v>
      </c>
      <c r="W404" s="32">
        <v>0</v>
      </c>
      <c r="X404" s="32">
        <v>0</v>
      </c>
      <c r="Y404" s="32">
        <v>0</v>
      </c>
      <c r="Z404" s="32">
        <v>0</v>
      </c>
      <c r="AA404" s="32">
        <v>0</v>
      </c>
      <c r="AB404" s="32">
        <v>0</v>
      </c>
      <c r="AC404" s="32">
        <v>0</v>
      </c>
      <c r="AD404" s="32">
        <v>0</v>
      </c>
      <c r="AE404" s="32">
        <v>0</v>
      </c>
      <c r="AF404" s="32">
        <v>0</v>
      </c>
      <c r="AG404"/>
      <c r="AH404" s="17" t="s">
        <v>279</v>
      </c>
    </row>
    <row r="405" spans="2:34" hidden="1" outlineLevel="1" x14ac:dyDescent="0.25">
      <c r="B405" s="31" t="s">
        <v>244</v>
      </c>
      <c r="C405" s="32">
        <v>10424562.72955735</v>
      </c>
      <c r="D405" s="32">
        <v>10424562.72955735</v>
      </c>
      <c r="E405" s="32">
        <v>10424562.72955735</v>
      </c>
      <c r="F405" s="32">
        <v>14928448.609557347</v>
      </c>
      <c r="G405" s="32">
        <v>14928448.609557347</v>
      </c>
      <c r="H405" s="32">
        <v>6973484.3262776919</v>
      </c>
      <c r="I405" s="32">
        <v>6973484.3262776919</v>
      </c>
      <c r="J405" s="32">
        <v>6629207.9921415634</v>
      </c>
      <c r="K405" s="32">
        <v>6629207.9921415634</v>
      </c>
      <c r="L405" s="32">
        <v>6629207.9921415634</v>
      </c>
      <c r="M405" s="32">
        <v>2965166.7972395755</v>
      </c>
      <c r="N405" s="32">
        <v>2961275.4139773296</v>
      </c>
      <c r="O405" s="32">
        <v>2961275.4139773296</v>
      </c>
      <c r="P405" s="32">
        <v>2953492.6474528383</v>
      </c>
      <c r="Q405" s="32">
        <v>0</v>
      </c>
      <c r="R405" s="32">
        <v>0</v>
      </c>
      <c r="S405" s="32">
        <v>0</v>
      </c>
      <c r="T405" s="32">
        <v>0</v>
      </c>
      <c r="U405" s="32">
        <v>0</v>
      </c>
      <c r="V405" s="32">
        <v>0</v>
      </c>
      <c r="W405" s="32">
        <v>0</v>
      </c>
      <c r="X405" s="32">
        <v>0</v>
      </c>
      <c r="Y405" s="32">
        <v>0</v>
      </c>
      <c r="Z405" s="32">
        <v>0</v>
      </c>
      <c r="AA405" s="32">
        <v>0</v>
      </c>
      <c r="AB405" s="32">
        <v>0</v>
      </c>
      <c r="AC405" s="32">
        <v>0</v>
      </c>
      <c r="AD405" s="32">
        <v>0</v>
      </c>
      <c r="AE405" s="32">
        <v>0</v>
      </c>
      <c r="AF405" s="32">
        <v>0</v>
      </c>
      <c r="AG405"/>
      <c r="AH405" s="17" t="s">
        <v>279</v>
      </c>
    </row>
    <row r="406" spans="2:34" hidden="1" outlineLevel="1" x14ac:dyDescent="0.25">
      <c r="B406" s="31" t="s">
        <v>147</v>
      </c>
      <c r="C406" s="32">
        <v>0</v>
      </c>
      <c r="D406" s="32">
        <v>0</v>
      </c>
      <c r="E406" s="32">
        <v>0</v>
      </c>
      <c r="F406" s="32">
        <v>0</v>
      </c>
      <c r="G406" s="32">
        <v>0</v>
      </c>
      <c r="H406" s="32">
        <v>0</v>
      </c>
      <c r="I406" s="32">
        <v>0</v>
      </c>
      <c r="J406" s="32">
        <v>0</v>
      </c>
      <c r="K406" s="32">
        <v>0</v>
      </c>
      <c r="L406" s="32">
        <v>0</v>
      </c>
      <c r="M406" s="32">
        <v>0</v>
      </c>
      <c r="N406" s="32">
        <v>0</v>
      </c>
      <c r="O406" s="32">
        <v>0</v>
      </c>
      <c r="P406" s="32">
        <v>0</v>
      </c>
      <c r="Q406" s="32">
        <v>0</v>
      </c>
      <c r="R406" s="32">
        <v>0</v>
      </c>
      <c r="S406" s="32">
        <v>0</v>
      </c>
      <c r="T406" s="32">
        <v>0</v>
      </c>
      <c r="U406" s="32">
        <v>0</v>
      </c>
      <c r="V406" s="32">
        <v>0</v>
      </c>
      <c r="W406" s="32">
        <v>0</v>
      </c>
      <c r="X406" s="32">
        <v>0</v>
      </c>
      <c r="Y406" s="32">
        <v>0</v>
      </c>
      <c r="Z406" s="32">
        <v>0</v>
      </c>
      <c r="AA406" s="32">
        <v>0</v>
      </c>
      <c r="AB406" s="32">
        <v>0</v>
      </c>
      <c r="AC406" s="32">
        <v>0</v>
      </c>
      <c r="AD406" s="32">
        <v>0</v>
      </c>
      <c r="AE406" s="32">
        <v>0</v>
      </c>
      <c r="AF406" s="32">
        <v>0</v>
      </c>
      <c r="AG406"/>
      <c r="AH406" s="17" t="s">
        <v>279</v>
      </c>
    </row>
    <row r="407" spans="2:34" hidden="1" outlineLevel="1" x14ac:dyDescent="0.25">
      <c r="B407" s="31" t="s">
        <v>245</v>
      </c>
      <c r="C407" s="32">
        <v>1207501.7119999998</v>
      </c>
      <c r="D407" s="32">
        <v>1207501.7119999998</v>
      </c>
      <c r="E407" s="32">
        <v>1207501.7119999998</v>
      </c>
      <c r="F407" s="32">
        <v>1207501.7119999998</v>
      </c>
      <c r="G407" s="32">
        <v>1207501.7119999998</v>
      </c>
      <c r="H407" s="32">
        <v>3455696.2320000003</v>
      </c>
      <c r="I407" s="32">
        <v>3455696.2320000003</v>
      </c>
      <c r="J407" s="32">
        <v>3455696.2320000003</v>
      </c>
      <c r="K407" s="32">
        <v>3455696.2320000003</v>
      </c>
      <c r="L407" s="32">
        <v>3455696.2320000003</v>
      </c>
      <c r="M407" s="32">
        <v>3455696.2320000003</v>
      </c>
      <c r="N407" s="32">
        <v>3395321.1464</v>
      </c>
      <c r="O407" s="32">
        <v>3395321.1464</v>
      </c>
      <c r="P407" s="32">
        <v>3395321.1464</v>
      </c>
      <c r="Q407" s="32">
        <v>0</v>
      </c>
      <c r="R407" s="32">
        <v>0</v>
      </c>
      <c r="S407" s="32">
        <v>0</v>
      </c>
      <c r="T407" s="32">
        <v>0</v>
      </c>
      <c r="U407" s="32">
        <v>0</v>
      </c>
      <c r="V407" s="32">
        <v>0</v>
      </c>
      <c r="W407" s="32">
        <v>0</v>
      </c>
      <c r="X407" s="32">
        <v>0</v>
      </c>
      <c r="Y407" s="32">
        <v>0</v>
      </c>
      <c r="Z407" s="32">
        <v>0</v>
      </c>
      <c r="AA407" s="32">
        <v>0</v>
      </c>
      <c r="AB407" s="32">
        <v>0</v>
      </c>
      <c r="AC407" s="32">
        <v>0</v>
      </c>
      <c r="AD407" s="32">
        <v>0</v>
      </c>
      <c r="AE407" s="32">
        <v>0</v>
      </c>
      <c r="AF407" s="32">
        <v>0</v>
      </c>
      <c r="AG407"/>
      <c r="AH407" s="17" t="s">
        <v>279</v>
      </c>
    </row>
    <row r="408" spans="2:34" hidden="1" outlineLevel="1" x14ac:dyDescent="0.25">
      <c r="B408" s="31" t="s">
        <v>149</v>
      </c>
      <c r="C408" s="32">
        <v>23855021.956279222</v>
      </c>
      <c r="D408" s="32">
        <v>27458241.576279219</v>
      </c>
      <c r="E408" s="32">
        <v>27458241.576279219</v>
      </c>
      <c r="F408" s="32">
        <v>31521598.699361473</v>
      </c>
      <c r="G408" s="32">
        <v>31521598.699361473</v>
      </c>
      <c r="H408" s="32">
        <v>26676209.456081819</v>
      </c>
      <c r="I408" s="32">
        <v>26676209.456081819</v>
      </c>
      <c r="J408" s="32">
        <v>25871816.528745692</v>
      </c>
      <c r="K408" s="32">
        <v>25871816.528745692</v>
      </c>
      <c r="L408" s="32">
        <v>26347649.81703544</v>
      </c>
      <c r="M408" s="32">
        <v>18567933.347896315</v>
      </c>
      <c r="N408" s="32">
        <v>18503666.879034068</v>
      </c>
      <c r="O408" s="32">
        <v>18503666.879034068</v>
      </c>
      <c r="P408" s="32">
        <v>18484773.882509578</v>
      </c>
      <c r="Q408" s="32">
        <v>0</v>
      </c>
      <c r="R408" s="32">
        <v>0</v>
      </c>
      <c r="S408" s="32">
        <v>0</v>
      </c>
      <c r="T408" s="32">
        <v>0</v>
      </c>
      <c r="U408" s="32">
        <v>0</v>
      </c>
      <c r="V408" s="32">
        <v>0</v>
      </c>
      <c r="W408" s="32">
        <v>0</v>
      </c>
      <c r="X408" s="32">
        <v>0</v>
      </c>
      <c r="Y408" s="32">
        <v>0</v>
      </c>
      <c r="Z408" s="32">
        <v>0</v>
      </c>
      <c r="AA408" s="32">
        <v>0</v>
      </c>
      <c r="AB408" s="32">
        <v>0</v>
      </c>
      <c r="AC408" s="32">
        <v>0</v>
      </c>
      <c r="AD408" s="32">
        <v>0</v>
      </c>
      <c r="AE408" s="32">
        <v>0</v>
      </c>
      <c r="AF408" s="32">
        <v>0</v>
      </c>
      <c r="AG408"/>
      <c r="AH408" s="17" t="s">
        <v>279</v>
      </c>
    </row>
    <row r="409" spans="2:34" hidden="1" outlineLevel="1" x14ac:dyDescent="0.25">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row>
    <row r="410" spans="2:34" ht="15.75" hidden="1" outlineLevel="1" thickBot="1" x14ac:dyDescent="0.3">
      <c r="B410" s="28" t="s">
        <v>280</v>
      </c>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0"/>
      <c r="AH410" s="20" t="s">
        <v>15</v>
      </c>
    </row>
    <row r="411" spans="2:34" customFormat="1" hidden="1" outlineLevel="1" x14ac:dyDescent="0.25">
      <c r="B411" s="30"/>
      <c r="C411" s="17">
        <v>2025</v>
      </c>
      <c r="D411" s="44">
        <v>2026</v>
      </c>
      <c r="E411" s="44">
        <v>2027</v>
      </c>
      <c r="F411" s="44">
        <v>2028</v>
      </c>
      <c r="G411" s="44">
        <v>2029</v>
      </c>
      <c r="H411" s="44">
        <v>2030</v>
      </c>
      <c r="I411" s="44">
        <v>2031</v>
      </c>
      <c r="J411" s="44">
        <v>2032</v>
      </c>
      <c r="K411" s="44">
        <v>2033</v>
      </c>
      <c r="L411" s="44">
        <v>2034</v>
      </c>
      <c r="M411" s="44">
        <v>2035</v>
      </c>
      <c r="N411" s="44">
        <v>2036</v>
      </c>
      <c r="O411" s="44">
        <v>2037</v>
      </c>
      <c r="P411" s="44">
        <v>2038</v>
      </c>
      <c r="Q411" s="44">
        <v>2039</v>
      </c>
      <c r="R411" s="44">
        <v>2040</v>
      </c>
      <c r="S411" s="44">
        <v>2041</v>
      </c>
      <c r="T411" s="44">
        <v>2042</v>
      </c>
      <c r="U411" s="44">
        <v>2043</v>
      </c>
      <c r="V411" s="44">
        <v>2044</v>
      </c>
      <c r="W411" s="44">
        <v>2045</v>
      </c>
      <c r="X411" s="44">
        <v>2046</v>
      </c>
      <c r="Y411" s="44">
        <v>2047</v>
      </c>
      <c r="Z411" s="44">
        <v>2048</v>
      </c>
      <c r="AA411" s="44">
        <v>2049</v>
      </c>
      <c r="AB411" s="44">
        <v>2050</v>
      </c>
      <c r="AC411" s="44">
        <v>2051</v>
      </c>
      <c r="AD411" s="44">
        <v>2052</v>
      </c>
      <c r="AE411" s="44">
        <v>2053</v>
      </c>
      <c r="AF411" s="44">
        <v>2054</v>
      </c>
      <c r="AH411" s="1"/>
    </row>
    <row r="412" spans="2:34" hidden="1" outlineLevel="1" x14ac:dyDescent="0.25">
      <c r="B412" s="31" t="s">
        <v>144</v>
      </c>
      <c r="C412" s="32">
        <v>0</v>
      </c>
      <c r="D412" s="32">
        <v>0</v>
      </c>
      <c r="E412" s="32">
        <v>0</v>
      </c>
      <c r="F412" s="32">
        <v>0</v>
      </c>
      <c r="G412" s="32">
        <v>0</v>
      </c>
      <c r="H412" s="32">
        <v>0</v>
      </c>
      <c r="I412" s="32">
        <v>0</v>
      </c>
      <c r="J412" s="32">
        <v>0</v>
      </c>
      <c r="K412" s="32">
        <v>0</v>
      </c>
      <c r="L412" s="32">
        <v>0</v>
      </c>
      <c r="M412" s="32">
        <v>4115675.2742371354</v>
      </c>
      <c r="N412" s="32">
        <v>4115675.2742371354</v>
      </c>
      <c r="O412" s="32">
        <v>4115675.2742371354</v>
      </c>
      <c r="P412" s="32">
        <v>4115675.2742371354</v>
      </c>
      <c r="Q412" s="32">
        <v>9180639.3762371354</v>
      </c>
      <c r="R412" s="32">
        <v>9180639.3762371354</v>
      </c>
      <c r="S412" s="32">
        <v>9180639.3762371354</v>
      </c>
      <c r="T412" s="32">
        <v>9180639.3762371354</v>
      </c>
      <c r="U412" s="32">
        <v>9180639.3762371354</v>
      </c>
      <c r="V412" s="32">
        <v>9180639.3762371354</v>
      </c>
      <c r="W412" s="32">
        <v>9180639.3762371354</v>
      </c>
      <c r="X412" s="32">
        <v>9180639.3762371354</v>
      </c>
      <c r="Y412" s="32">
        <v>9180639.3762371354</v>
      </c>
      <c r="Z412" s="32">
        <v>9180639.3762371354</v>
      </c>
      <c r="AA412" s="32">
        <v>9180639.3762371354</v>
      </c>
      <c r="AB412" s="32">
        <v>9180639.3762371354</v>
      </c>
      <c r="AC412" s="32">
        <v>9180639.3762371354</v>
      </c>
      <c r="AD412" s="32">
        <v>9180639.3762371354</v>
      </c>
      <c r="AE412" s="32">
        <v>9180639.3762371354</v>
      </c>
      <c r="AF412" s="32">
        <v>9180639.3762371354</v>
      </c>
      <c r="AG412"/>
      <c r="AH412" s="17" t="s">
        <v>279</v>
      </c>
    </row>
    <row r="413" spans="2:34" hidden="1" outlineLevel="1" x14ac:dyDescent="0.25">
      <c r="B413" s="31" t="s">
        <v>145</v>
      </c>
      <c r="C413" s="32">
        <v>0</v>
      </c>
      <c r="D413" s="32">
        <v>0</v>
      </c>
      <c r="E413" s="32">
        <v>0</v>
      </c>
      <c r="F413" s="32">
        <v>0</v>
      </c>
      <c r="G413" s="32">
        <v>0</v>
      </c>
      <c r="H413" s="32">
        <v>0</v>
      </c>
      <c r="I413" s="32">
        <v>0</v>
      </c>
      <c r="J413" s="32">
        <v>0</v>
      </c>
      <c r="K413" s="32">
        <v>0</v>
      </c>
      <c r="L413" s="32">
        <v>0</v>
      </c>
      <c r="M413" s="32">
        <v>0</v>
      </c>
      <c r="N413" s="32">
        <v>0</v>
      </c>
      <c r="O413" s="32">
        <v>0</v>
      </c>
      <c r="P413" s="32">
        <v>0</v>
      </c>
      <c r="Q413" s="32">
        <v>7070995.9866567403</v>
      </c>
      <c r="R413" s="32">
        <v>7414629.3906567395</v>
      </c>
      <c r="S413" s="32">
        <v>7414629.3906567395</v>
      </c>
      <c r="T413" s="32">
        <v>7414629.3906567395</v>
      </c>
      <c r="U413" s="32">
        <v>7414629.3906567395</v>
      </c>
      <c r="V413" s="32">
        <v>7414629.3906567395</v>
      </c>
      <c r="W413" s="32">
        <v>7414629.3906567395</v>
      </c>
      <c r="X413" s="32">
        <v>7414629.3906567395</v>
      </c>
      <c r="Y413" s="32">
        <v>7414629.3906567395</v>
      </c>
      <c r="Z413" s="32">
        <v>7414629.3906567395</v>
      </c>
      <c r="AA413" s="32">
        <v>7414629.3906567395</v>
      </c>
      <c r="AB413" s="32">
        <v>7275034.2137464946</v>
      </c>
      <c r="AC413" s="32">
        <v>7275034.2137464946</v>
      </c>
      <c r="AD413" s="32">
        <v>7275034.2137464946</v>
      </c>
      <c r="AE413" s="32">
        <v>7275034.2137464946</v>
      </c>
      <c r="AF413" s="32">
        <v>7275034.2137464946</v>
      </c>
      <c r="AG413"/>
      <c r="AH413" s="17" t="s">
        <v>279</v>
      </c>
    </row>
    <row r="414" spans="2:34" hidden="1" outlineLevel="1" x14ac:dyDescent="0.25">
      <c r="B414" s="31" t="s">
        <v>244</v>
      </c>
      <c r="C414" s="32">
        <v>0</v>
      </c>
      <c r="D414" s="32">
        <v>0</v>
      </c>
      <c r="E414" s="32">
        <v>0</v>
      </c>
      <c r="F414" s="32">
        <v>0</v>
      </c>
      <c r="G414" s="32">
        <v>0</v>
      </c>
      <c r="H414" s="32">
        <v>9030220.9413444977</v>
      </c>
      <c r="I414" s="32">
        <v>9030220.9413444977</v>
      </c>
      <c r="J414" s="32">
        <v>8618746.7922525238</v>
      </c>
      <c r="K414" s="32">
        <v>8618746.7922525238</v>
      </c>
      <c r="L414" s="32">
        <v>8618746.7922525238</v>
      </c>
      <c r="M414" s="32">
        <v>12282787.987154512</v>
      </c>
      <c r="N414" s="32">
        <v>12072341.823565682</v>
      </c>
      <c r="O414" s="32">
        <v>12072341.823565682</v>
      </c>
      <c r="P414" s="32">
        <v>12043702.36541985</v>
      </c>
      <c r="Q414" s="32">
        <v>14997195.012872687</v>
      </c>
      <c r="R414" s="32">
        <v>15766985.012872687</v>
      </c>
      <c r="S414" s="32">
        <v>15766985.012872687</v>
      </c>
      <c r="T414" s="32">
        <v>15766985.012872687</v>
      </c>
      <c r="U414" s="32">
        <v>15766985.012872687</v>
      </c>
      <c r="V414" s="32">
        <v>15661982.603749251</v>
      </c>
      <c r="W414" s="32">
        <v>15661982.603749251</v>
      </c>
      <c r="X414" s="32">
        <v>15661982.603749251</v>
      </c>
      <c r="Y414" s="32">
        <v>15661982.603749251</v>
      </c>
      <c r="Z414" s="32">
        <v>15661982.603749251</v>
      </c>
      <c r="AA414" s="32">
        <v>15661982.603749251</v>
      </c>
      <c r="AB414" s="32">
        <v>15661982.603749251</v>
      </c>
      <c r="AC414" s="32">
        <v>15661982.603749251</v>
      </c>
      <c r="AD414" s="32">
        <v>15661982.603749251</v>
      </c>
      <c r="AE414" s="32">
        <v>15661982.603749251</v>
      </c>
      <c r="AF414" s="32">
        <v>15661982.603749251</v>
      </c>
      <c r="AG414"/>
      <c r="AH414" s="17" t="s">
        <v>279</v>
      </c>
    </row>
    <row r="415" spans="2:34" hidden="1" outlineLevel="1" x14ac:dyDescent="0.25">
      <c r="B415" s="31" t="s">
        <v>147</v>
      </c>
      <c r="C415" s="32">
        <v>0</v>
      </c>
      <c r="D415" s="32">
        <v>0</v>
      </c>
      <c r="E415" s="32">
        <v>0</v>
      </c>
      <c r="F415" s="32">
        <v>0</v>
      </c>
      <c r="G415" s="32">
        <v>0</v>
      </c>
      <c r="H415" s="32">
        <v>0</v>
      </c>
      <c r="I415" s="32">
        <v>0</v>
      </c>
      <c r="J415" s="32">
        <v>0</v>
      </c>
      <c r="K415" s="32">
        <v>0</v>
      </c>
      <c r="L415" s="32">
        <v>0</v>
      </c>
      <c r="M415" s="32">
        <v>0</v>
      </c>
      <c r="N415" s="32">
        <v>0</v>
      </c>
      <c r="O415" s="32">
        <v>0</v>
      </c>
      <c r="P415" s="32">
        <v>0</v>
      </c>
      <c r="Q415" s="32">
        <v>0</v>
      </c>
      <c r="R415" s="32">
        <v>0</v>
      </c>
      <c r="S415" s="32">
        <v>0</v>
      </c>
      <c r="T415" s="32">
        <v>0</v>
      </c>
      <c r="U415" s="32">
        <v>0</v>
      </c>
      <c r="V415" s="32">
        <v>0</v>
      </c>
      <c r="W415" s="32">
        <v>0</v>
      </c>
      <c r="X415" s="32">
        <v>0</v>
      </c>
      <c r="Y415" s="32">
        <v>0</v>
      </c>
      <c r="Z415" s="32">
        <v>0</v>
      </c>
      <c r="AA415" s="32">
        <v>0</v>
      </c>
      <c r="AB415" s="32">
        <v>0</v>
      </c>
      <c r="AC415" s="32">
        <v>0</v>
      </c>
      <c r="AD415" s="32">
        <v>0</v>
      </c>
      <c r="AE415" s="32">
        <v>0</v>
      </c>
      <c r="AF415" s="32">
        <v>0</v>
      </c>
      <c r="AG415"/>
      <c r="AH415" s="17" t="s">
        <v>279</v>
      </c>
    </row>
    <row r="416" spans="2:34" hidden="1" outlineLevel="1" x14ac:dyDescent="0.25">
      <c r="B416" s="31" t="s">
        <v>245</v>
      </c>
      <c r="C416" s="32">
        <v>0</v>
      </c>
      <c r="D416" s="32">
        <v>0</v>
      </c>
      <c r="E416" s="32">
        <v>0</v>
      </c>
      <c r="F416" s="32">
        <v>0</v>
      </c>
      <c r="G416" s="32">
        <v>0</v>
      </c>
      <c r="H416" s="32">
        <v>0</v>
      </c>
      <c r="I416" s="32">
        <v>0</v>
      </c>
      <c r="J416" s="32">
        <v>0</v>
      </c>
      <c r="K416" s="32">
        <v>0</v>
      </c>
      <c r="L416" s="32">
        <v>0</v>
      </c>
      <c r="M416" s="32">
        <v>0</v>
      </c>
      <c r="N416" s="32">
        <v>0</v>
      </c>
      <c r="O416" s="32">
        <v>0</v>
      </c>
      <c r="P416" s="32">
        <v>0</v>
      </c>
      <c r="Q416" s="32">
        <v>3395321.1464</v>
      </c>
      <c r="R416" s="32">
        <v>8011631.8983999994</v>
      </c>
      <c r="S416" s="32">
        <v>8011631.8983999994</v>
      </c>
      <c r="T416" s="32">
        <v>8011631.8983999994</v>
      </c>
      <c r="U416" s="32">
        <v>8011631.8983999994</v>
      </c>
      <c r="V416" s="32">
        <v>8011631.8983999994</v>
      </c>
      <c r="W416" s="32">
        <v>8011631.8983999994</v>
      </c>
      <c r="X416" s="32">
        <v>8011631.8983999994</v>
      </c>
      <c r="Y416" s="32">
        <v>8011631.8983999994</v>
      </c>
      <c r="Z416" s="32">
        <v>8011631.8983999994</v>
      </c>
      <c r="AA416" s="32">
        <v>8011631.8983999994</v>
      </c>
      <c r="AB416" s="32">
        <v>8011631.8983999994</v>
      </c>
      <c r="AC416" s="32">
        <v>8011631.8983999994</v>
      </c>
      <c r="AD416" s="32">
        <v>8011631.8983999994</v>
      </c>
      <c r="AE416" s="32">
        <v>8011631.8983999994</v>
      </c>
      <c r="AF416" s="32">
        <v>8011631.8983999994</v>
      </c>
      <c r="AG416"/>
      <c r="AH416" s="17" t="s">
        <v>279</v>
      </c>
    </row>
    <row r="417" spans="2:35" hidden="1" outlineLevel="1" x14ac:dyDescent="0.25">
      <c r="B417" s="31" t="s">
        <v>149</v>
      </c>
      <c r="C417" s="32">
        <v>0</v>
      </c>
      <c r="D417" s="32">
        <v>0</v>
      </c>
      <c r="E417" s="32">
        <v>0</v>
      </c>
      <c r="F417" s="32">
        <v>0</v>
      </c>
      <c r="G417" s="32">
        <v>0</v>
      </c>
      <c r="H417" s="32">
        <v>9030220.9413444977</v>
      </c>
      <c r="I417" s="32">
        <v>9030220.9413444977</v>
      </c>
      <c r="J417" s="32">
        <v>8618746.7922525238</v>
      </c>
      <c r="K417" s="32">
        <v>8618746.7922525238</v>
      </c>
      <c r="L417" s="32">
        <v>8618746.7922525238</v>
      </c>
      <c r="M417" s="32">
        <v>16398463.261391647</v>
      </c>
      <c r="N417" s="32">
        <v>16188017.097802818</v>
      </c>
      <c r="O417" s="32">
        <v>16188017.097802818</v>
      </c>
      <c r="P417" s="32">
        <v>16159377.639656985</v>
      </c>
      <c r="Q417" s="32">
        <v>34644151.522166558</v>
      </c>
      <c r="R417" s="32">
        <v>40373885.678166561</v>
      </c>
      <c r="S417" s="32">
        <v>40373885.678166561</v>
      </c>
      <c r="T417" s="32">
        <v>40373885.678166561</v>
      </c>
      <c r="U417" s="32">
        <v>40373885.678166561</v>
      </c>
      <c r="V417" s="32">
        <v>40268883.269043125</v>
      </c>
      <c r="W417" s="32">
        <v>40268883.269043125</v>
      </c>
      <c r="X417" s="32">
        <v>40268883.269043125</v>
      </c>
      <c r="Y417" s="32">
        <v>40268883.269043125</v>
      </c>
      <c r="Z417" s="32">
        <v>40268883.269043125</v>
      </c>
      <c r="AA417" s="32">
        <v>40268883.269043125</v>
      </c>
      <c r="AB417" s="32">
        <v>40129288.092132881</v>
      </c>
      <c r="AC417" s="32">
        <v>40129288.092132881</v>
      </c>
      <c r="AD417" s="32">
        <v>40129288.092132881</v>
      </c>
      <c r="AE417" s="32">
        <v>40129288.092132881</v>
      </c>
      <c r="AF417" s="32">
        <v>40129288.092132881</v>
      </c>
      <c r="AG417"/>
      <c r="AH417" s="17" t="s">
        <v>279</v>
      </c>
    </row>
    <row r="418" spans="2:35" hidden="1" outlineLevel="1" x14ac:dyDescent="0.25"/>
    <row r="419" spans="2:35" hidden="1" outlineLevel="1" x14ac:dyDescent="0.25"/>
    <row r="420" spans="2:35" ht="15.75" collapsed="1" thickTop="1" x14ac:dyDescent="0.25"/>
    <row r="421" spans="2:35" ht="20.25" thickBot="1" x14ac:dyDescent="0.35">
      <c r="B421" s="18" t="s">
        <v>288</v>
      </c>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row>
    <row r="422" spans="2:35" ht="18" hidden="1" outlineLevel="1" thickTop="1" thickBot="1" x14ac:dyDescent="0.3">
      <c r="B422" s="26" t="s">
        <v>277</v>
      </c>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19"/>
      <c r="AH422" s="19"/>
    </row>
    <row r="423" spans="2:35" ht="16.5" hidden="1" outlineLevel="1" thickTop="1" thickBot="1" x14ac:dyDescent="0.3">
      <c r="B423" s="28" t="s">
        <v>278</v>
      </c>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0"/>
      <c r="AH423" s="20" t="s">
        <v>15</v>
      </c>
    </row>
    <row r="424" spans="2:35" customFormat="1" hidden="1" outlineLevel="1" x14ac:dyDescent="0.25">
      <c r="B424" s="30"/>
      <c r="C424" s="17">
        <v>2025</v>
      </c>
      <c r="D424" s="44">
        <v>2026</v>
      </c>
      <c r="E424" s="44">
        <v>2027</v>
      </c>
      <c r="F424" s="44">
        <v>2028</v>
      </c>
      <c r="G424" s="44">
        <v>2029</v>
      </c>
      <c r="H424" s="44">
        <v>2030</v>
      </c>
      <c r="I424" s="44">
        <v>2031</v>
      </c>
      <c r="J424" s="44">
        <v>2032</v>
      </c>
      <c r="K424" s="44">
        <v>2033</v>
      </c>
      <c r="L424" s="44">
        <v>2034</v>
      </c>
      <c r="M424" s="44">
        <v>2035</v>
      </c>
      <c r="N424" s="44">
        <v>2036</v>
      </c>
      <c r="O424" s="44">
        <v>2037</v>
      </c>
      <c r="P424" s="44">
        <v>2038</v>
      </c>
      <c r="Q424" s="44">
        <v>2039</v>
      </c>
      <c r="R424" s="44">
        <v>2040</v>
      </c>
      <c r="S424" s="44">
        <v>2041</v>
      </c>
      <c r="T424" s="44">
        <v>2042</v>
      </c>
      <c r="U424" s="44">
        <v>2043</v>
      </c>
      <c r="V424" s="44">
        <v>2044</v>
      </c>
      <c r="W424" s="44">
        <v>2045</v>
      </c>
      <c r="X424" s="44">
        <v>2046</v>
      </c>
      <c r="Y424" s="44">
        <v>2047</v>
      </c>
      <c r="Z424" s="44">
        <v>2048</v>
      </c>
      <c r="AA424" s="44">
        <v>2049</v>
      </c>
      <c r="AB424" s="44">
        <v>2050</v>
      </c>
      <c r="AC424" s="44">
        <v>2051</v>
      </c>
      <c r="AD424" s="44">
        <v>2052</v>
      </c>
      <c r="AE424" s="44">
        <v>2053</v>
      </c>
      <c r="AF424" s="44">
        <v>2054</v>
      </c>
    </row>
    <row r="425" spans="2:35" hidden="1" outlineLevel="1" x14ac:dyDescent="0.25">
      <c r="B425" s="31" t="s">
        <v>144</v>
      </c>
      <c r="C425" s="32">
        <v>41100367.759866863</v>
      </c>
      <c r="D425" s="32">
        <v>0</v>
      </c>
      <c r="E425" s="32">
        <v>0</v>
      </c>
      <c r="F425" s="32">
        <v>0</v>
      </c>
      <c r="G425" s="32">
        <v>0</v>
      </c>
      <c r="H425" s="32">
        <v>0</v>
      </c>
      <c r="I425" s="32">
        <v>0</v>
      </c>
      <c r="J425" s="32">
        <v>0</v>
      </c>
      <c r="K425" s="32">
        <v>0</v>
      </c>
      <c r="L425" s="32">
        <v>0</v>
      </c>
      <c r="M425" s="32">
        <v>0</v>
      </c>
      <c r="N425" s="32">
        <v>0</v>
      </c>
      <c r="O425" s="32">
        <v>0</v>
      </c>
      <c r="P425" s="32">
        <v>0</v>
      </c>
      <c r="Q425" s="32">
        <v>0</v>
      </c>
      <c r="R425" s="32">
        <v>0</v>
      </c>
      <c r="S425" s="32">
        <v>0</v>
      </c>
      <c r="T425" s="32">
        <v>0</v>
      </c>
      <c r="U425" s="32">
        <v>0</v>
      </c>
      <c r="V425" s="32">
        <v>0</v>
      </c>
      <c r="W425" s="32">
        <v>0</v>
      </c>
      <c r="X425" s="32">
        <v>0</v>
      </c>
      <c r="Y425" s="32">
        <v>0</v>
      </c>
      <c r="Z425" s="32">
        <v>0</v>
      </c>
      <c r="AA425" s="32">
        <v>0</v>
      </c>
      <c r="AB425" s="32">
        <v>0</v>
      </c>
      <c r="AC425" s="32">
        <v>0</v>
      </c>
      <c r="AD425" s="32">
        <v>0</v>
      </c>
      <c r="AE425" s="32">
        <v>0</v>
      </c>
      <c r="AF425" s="32">
        <v>0</v>
      </c>
      <c r="AG425"/>
      <c r="AH425" s="17" t="s">
        <v>279</v>
      </c>
    </row>
    <row r="426" spans="2:35" hidden="1" outlineLevel="1" x14ac:dyDescent="0.25">
      <c r="B426" s="31" t="s">
        <v>145</v>
      </c>
      <c r="C426" s="32">
        <v>15277743.907373067</v>
      </c>
      <c r="D426" s="32">
        <v>15770486.74488374</v>
      </c>
      <c r="E426" s="32">
        <v>0</v>
      </c>
      <c r="F426" s="32">
        <v>0</v>
      </c>
      <c r="G426" s="32">
        <v>0</v>
      </c>
      <c r="H426" s="32">
        <v>0</v>
      </c>
      <c r="I426" s="32">
        <v>0</v>
      </c>
      <c r="J426" s="32">
        <v>0</v>
      </c>
      <c r="K426" s="32">
        <v>0</v>
      </c>
      <c r="L426" s="32">
        <v>0</v>
      </c>
      <c r="M426" s="32">
        <v>0</v>
      </c>
      <c r="N426" s="32">
        <v>0</v>
      </c>
      <c r="O426" s="32">
        <v>0</v>
      </c>
      <c r="P426" s="32">
        <v>0</v>
      </c>
      <c r="Q426" s="32">
        <v>0</v>
      </c>
      <c r="R426" s="32">
        <v>0</v>
      </c>
      <c r="S426" s="32">
        <v>0</v>
      </c>
      <c r="T426" s="32">
        <v>0</v>
      </c>
      <c r="U426" s="32">
        <v>0</v>
      </c>
      <c r="V426" s="32">
        <v>0</v>
      </c>
      <c r="W426" s="32">
        <v>0</v>
      </c>
      <c r="X426" s="32">
        <v>0</v>
      </c>
      <c r="Y426" s="32">
        <v>0</v>
      </c>
      <c r="Z426" s="32">
        <v>0</v>
      </c>
      <c r="AA426" s="32">
        <v>0</v>
      </c>
      <c r="AB426" s="32">
        <v>0</v>
      </c>
      <c r="AC426" s="32">
        <v>0</v>
      </c>
      <c r="AD426" s="32">
        <v>0</v>
      </c>
      <c r="AE426" s="32">
        <v>0</v>
      </c>
      <c r="AF426" s="32">
        <v>0</v>
      </c>
      <c r="AG426"/>
      <c r="AH426" s="17" t="s">
        <v>279</v>
      </c>
    </row>
    <row r="427" spans="2:35" hidden="1" outlineLevel="1" x14ac:dyDescent="0.25">
      <c r="B427" s="31" t="s">
        <v>244</v>
      </c>
      <c r="C427" s="32">
        <v>74467327.643795222</v>
      </c>
      <c r="D427" s="32">
        <v>74467327.643795222</v>
      </c>
      <c r="E427" s="32">
        <v>0</v>
      </c>
      <c r="F427" s="32">
        <v>0</v>
      </c>
      <c r="G427" s="32">
        <v>0</v>
      </c>
      <c r="H427" s="32">
        <v>0</v>
      </c>
      <c r="I427" s="32">
        <v>0</v>
      </c>
      <c r="J427" s="32">
        <v>0</v>
      </c>
      <c r="K427" s="32">
        <v>0</v>
      </c>
      <c r="L427" s="32">
        <v>0</v>
      </c>
      <c r="M427" s="32">
        <v>0</v>
      </c>
      <c r="N427" s="32">
        <v>0</v>
      </c>
      <c r="O427" s="32">
        <v>0</v>
      </c>
      <c r="P427" s="32">
        <v>0</v>
      </c>
      <c r="Q427" s="32">
        <v>0</v>
      </c>
      <c r="R427" s="32">
        <v>0</v>
      </c>
      <c r="S427" s="32">
        <v>0</v>
      </c>
      <c r="T427" s="32">
        <v>0</v>
      </c>
      <c r="U427" s="32">
        <v>0</v>
      </c>
      <c r="V427" s="32">
        <v>0</v>
      </c>
      <c r="W427" s="32">
        <v>0</v>
      </c>
      <c r="X427" s="32">
        <v>0</v>
      </c>
      <c r="Y427" s="32">
        <v>0</v>
      </c>
      <c r="Z427" s="32">
        <v>0</v>
      </c>
      <c r="AA427" s="32">
        <v>0</v>
      </c>
      <c r="AB427" s="32">
        <v>0</v>
      </c>
      <c r="AC427" s="32">
        <v>0</v>
      </c>
      <c r="AD427" s="32">
        <v>0</v>
      </c>
      <c r="AE427" s="32">
        <v>0</v>
      </c>
      <c r="AF427" s="32">
        <v>0</v>
      </c>
      <c r="AG427"/>
      <c r="AH427" s="17" t="s">
        <v>279</v>
      </c>
    </row>
    <row r="428" spans="2:35" hidden="1" outlineLevel="1" x14ac:dyDescent="0.25">
      <c r="B428" s="31" t="s">
        <v>147</v>
      </c>
      <c r="C428" s="32">
        <v>0</v>
      </c>
      <c r="D428" s="32">
        <v>0</v>
      </c>
      <c r="E428" s="32">
        <v>0</v>
      </c>
      <c r="F428" s="32">
        <v>0</v>
      </c>
      <c r="G428" s="32">
        <v>0</v>
      </c>
      <c r="H428" s="32">
        <v>0</v>
      </c>
      <c r="I428" s="32">
        <v>0</v>
      </c>
      <c r="J428" s="32">
        <v>0</v>
      </c>
      <c r="K428" s="32">
        <v>0</v>
      </c>
      <c r="L428" s="32">
        <v>0</v>
      </c>
      <c r="M428" s="32">
        <v>0</v>
      </c>
      <c r="N428" s="32">
        <v>0</v>
      </c>
      <c r="O428" s="32">
        <v>0</v>
      </c>
      <c r="P428" s="32">
        <v>0</v>
      </c>
      <c r="Q428" s="32">
        <v>0</v>
      </c>
      <c r="R428" s="32">
        <v>0</v>
      </c>
      <c r="S428" s="32">
        <v>0</v>
      </c>
      <c r="T428" s="32">
        <v>0</v>
      </c>
      <c r="U428" s="32">
        <v>0</v>
      </c>
      <c r="V428" s="32">
        <v>0</v>
      </c>
      <c r="W428" s="32">
        <v>0</v>
      </c>
      <c r="X428" s="32">
        <v>0</v>
      </c>
      <c r="Y428" s="32">
        <v>0</v>
      </c>
      <c r="Z428" s="32">
        <v>0</v>
      </c>
      <c r="AA428" s="32">
        <v>0</v>
      </c>
      <c r="AB428" s="32">
        <v>0</v>
      </c>
      <c r="AC428" s="32">
        <v>0</v>
      </c>
      <c r="AD428" s="32">
        <v>0</v>
      </c>
      <c r="AE428" s="32">
        <v>0</v>
      </c>
      <c r="AF428" s="32">
        <v>0</v>
      </c>
      <c r="AG428"/>
      <c r="AH428" s="17" t="s">
        <v>279</v>
      </c>
    </row>
    <row r="429" spans="2:35" hidden="1" outlineLevel="1" x14ac:dyDescent="0.25">
      <c r="B429" s="31" t="s">
        <v>245</v>
      </c>
      <c r="C429" s="32">
        <v>5531260.8599999994</v>
      </c>
      <c r="D429" s="32">
        <v>5531260.8599999994</v>
      </c>
      <c r="E429" s="32">
        <v>0</v>
      </c>
      <c r="F429" s="32">
        <v>0</v>
      </c>
      <c r="G429" s="32">
        <v>0</v>
      </c>
      <c r="H429" s="32">
        <v>0</v>
      </c>
      <c r="I429" s="32">
        <v>0</v>
      </c>
      <c r="J429" s="32">
        <v>0</v>
      </c>
      <c r="K429" s="32">
        <v>0</v>
      </c>
      <c r="L429" s="32">
        <v>0</v>
      </c>
      <c r="M429" s="32">
        <v>0</v>
      </c>
      <c r="N429" s="32">
        <v>0</v>
      </c>
      <c r="O429" s="32">
        <v>0</v>
      </c>
      <c r="P429" s="32">
        <v>0</v>
      </c>
      <c r="Q429" s="32">
        <v>0</v>
      </c>
      <c r="R429" s="32">
        <v>0</v>
      </c>
      <c r="S429" s="32">
        <v>0</v>
      </c>
      <c r="T429" s="32">
        <v>0</v>
      </c>
      <c r="U429" s="32">
        <v>0</v>
      </c>
      <c r="V429" s="32">
        <v>0</v>
      </c>
      <c r="W429" s="32">
        <v>0</v>
      </c>
      <c r="X429" s="32">
        <v>0</v>
      </c>
      <c r="Y429" s="32">
        <v>0</v>
      </c>
      <c r="Z429" s="32">
        <v>0</v>
      </c>
      <c r="AA429" s="32">
        <v>0</v>
      </c>
      <c r="AB429" s="32">
        <v>0</v>
      </c>
      <c r="AC429" s="32">
        <v>0</v>
      </c>
      <c r="AD429" s="32">
        <v>0</v>
      </c>
      <c r="AE429" s="32">
        <v>0</v>
      </c>
      <c r="AF429" s="32">
        <v>0</v>
      </c>
      <c r="AG429"/>
      <c r="AH429" s="17" t="s">
        <v>279</v>
      </c>
    </row>
    <row r="430" spans="2:35" hidden="1" outlineLevel="1" x14ac:dyDescent="0.25">
      <c r="B430" s="31" t="s">
        <v>149</v>
      </c>
      <c r="C430" s="32">
        <v>136376700.17103517</v>
      </c>
      <c r="D430" s="32">
        <v>95769075.248678967</v>
      </c>
      <c r="E430" s="32">
        <v>0</v>
      </c>
      <c r="F430" s="32">
        <v>0</v>
      </c>
      <c r="G430" s="32">
        <v>0</v>
      </c>
      <c r="H430" s="32">
        <v>0</v>
      </c>
      <c r="I430" s="32">
        <v>0</v>
      </c>
      <c r="J430" s="32">
        <v>0</v>
      </c>
      <c r="K430" s="32">
        <v>0</v>
      </c>
      <c r="L430" s="32">
        <v>0</v>
      </c>
      <c r="M430" s="32">
        <v>0</v>
      </c>
      <c r="N430" s="32">
        <v>0</v>
      </c>
      <c r="O430" s="32">
        <v>0</v>
      </c>
      <c r="P430" s="32">
        <v>0</v>
      </c>
      <c r="Q430" s="32">
        <v>0</v>
      </c>
      <c r="R430" s="32">
        <v>0</v>
      </c>
      <c r="S430" s="32">
        <v>0</v>
      </c>
      <c r="T430" s="32">
        <v>0</v>
      </c>
      <c r="U430" s="32">
        <v>0</v>
      </c>
      <c r="V430" s="32">
        <v>0</v>
      </c>
      <c r="W430" s="32">
        <v>0</v>
      </c>
      <c r="X430" s="32">
        <v>0</v>
      </c>
      <c r="Y430" s="32">
        <v>0</v>
      </c>
      <c r="Z430" s="32">
        <v>0</v>
      </c>
      <c r="AA430" s="32">
        <v>0</v>
      </c>
      <c r="AB430" s="32">
        <v>0</v>
      </c>
      <c r="AC430" s="32">
        <v>0</v>
      </c>
      <c r="AD430" s="32">
        <v>0</v>
      </c>
      <c r="AE430" s="32">
        <v>0</v>
      </c>
      <c r="AF430" s="32">
        <v>0</v>
      </c>
      <c r="AG430"/>
      <c r="AH430" s="17" t="s">
        <v>279</v>
      </c>
      <c r="AI430"/>
    </row>
    <row r="431" spans="2:35" hidden="1" outlineLevel="1" x14ac:dyDescent="0.25">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c r="AH431"/>
      <c r="AI431"/>
    </row>
    <row r="432" spans="2:35" customFormat="1" ht="15.75" hidden="1" outlineLevel="1" thickBot="1" x14ac:dyDescent="0.3">
      <c r="B432" s="28" t="s">
        <v>280</v>
      </c>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0"/>
      <c r="AH432" s="20" t="s">
        <v>15</v>
      </c>
    </row>
    <row r="433" spans="2:34" customFormat="1" hidden="1" outlineLevel="1" x14ac:dyDescent="0.25">
      <c r="B433" s="30"/>
      <c r="C433" s="17">
        <v>2025</v>
      </c>
      <c r="D433" s="44">
        <v>2026</v>
      </c>
      <c r="E433" s="44">
        <v>2027</v>
      </c>
      <c r="F433" s="44">
        <v>2028</v>
      </c>
      <c r="G433" s="44">
        <v>2029</v>
      </c>
      <c r="H433" s="44">
        <v>2030</v>
      </c>
      <c r="I433" s="44">
        <v>2031</v>
      </c>
      <c r="J433" s="44">
        <v>2032</v>
      </c>
      <c r="K433" s="44">
        <v>2033</v>
      </c>
      <c r="L433" s="44">
        <v>2034</v>
      </c>
      <c r="M433" s="44">
        <v>2035</v>
      </c>
      <c r="N433" s="44">
        <v>2036</v>
      </c>
      <c r="O433" s="44">
        <v>2037</v>
      </c>
      <c r="P433" s="44">
        <v>2038</v>
      </c>
      <c r="Q433" s="44">
        <v>2039</v>
      </c>
      <c r="R433" s="44">
        <v>2040</v>
      </c>
      <c r="S433" s="44">
        <v>2041</v>
      </c>
      <c r="T433" s="44">
        <v>2042</v>
      </c>
      <c r="U433" s="44">
        <v>2043</v>
      </c>
      <c r="V433" s="44">
        <v>2044</v>
      </c>
      <c r="W433" s="44">
        <v>2045</v>
      </c>
      <c r="X433" s="44">
        <v>2046</v>
      </c>
      <c r="Y433" s="44">
        <v>2047</v>
      </c>
      <c r="Z433" s="44">
        <v>2048</v>
      </c>
      <c r="AA433" s="44">
        <v>2049</v>
      </c>
      <c r="AB433" s="44">
        <v>2050</v>
      </c>
      <c r="AC433" s="44">
        <v>2051</v>
      </c>
      <c r="AD433" s="44">
        <v>2052</v>
      </c>
      <c r="AE433" s="44">
        <v>2053</v>
      </c>
      <c r="AF433" s="44">
        <v>2054</v>
      </c>
    </row>
    <row r="434" spans="2:34" hidden="1" outlineLevel="1" x14ac:dyDescent="0.25">
      <c r="B434" s="31" t="s">
        <v>144</v>
      </c>
      <c r="C434" s="32">
        <v>0</v>
      </c>
      <c r="D434" s="32">
        <v>41100367.759866863</v>
      </c>
      <c r="E434" s="32">
        <v>41100367.759866863</v>
      </c>
      <c r="F434" s="32">
        <v>39612639.320832737</v>
      </c>
      <c r="G434" s="32">
        <v>39612639.320832737</v>
      </c>
      <c r="H434" s="32">
        <v>39763990.663512737</v>
      </c>
      <c r="I434" s="32">
        <v>39763990.663512737</v>
      </c>
      <c r="J434" s="32">
        <v>38704492.561179683</v>
      </c>
      <c r="K434" s="32">
        <v>38704492.561179683</v>
      </c>
      <c r="L434" s="32">
        <v>38772187.839759685</v>
      </c>
      <c r="M434" s="32">
        <v>38772187.839759685</v>
      </c>
      <c r="N434" s="32">
        <v>38772187.839759685</v>
      </c>
      <c r="O434" s="32">
        <v>38772187.839759685</v>
      </c>
      <c r="P434" s="32">
        <v>38772187.839759685</v>
      </c>
      <c r="Q434" s="32">
        <v>38772187.839759685</v>
      </c>
      <c r="R434" s="32">
        <v>38772187.839759685</v>
      </c>
      <c r="S434" s="32">
        <v>38772187.839759685</v>
      </c>
      <c r="T434" s="32">
        <v>38772187.839759685</v>
      </c>
      <c r="U434" s="32">
        <v>38772187.839759685</v>
      </c>
      <c r="V434" s="32">
        <v>38772187.839759685</v>
      </c>
      <c r="W434" s="32">
        <v>38772187.839759685</v>
      </c>
      <c r="X434" s="32">
        <v>38772187.839759685</v>
      </c>
      <c r="Y434" s="32">
        <v>38772187.839759685</v>
      </c>
      <c r="Z434" s="32">
        <v>38772187.839759685</v>
      </c>
      <c r="AA434" s="32">
        <v>38772187.839759685</v>
      </c>
      <c r="AB434" s="32">
        <v>38772187.839759685</v>
      </c>
      <c r="AC434" s="32">
        <v>38772187.839759685</v>
      </c>
      <c r="AD434" s="32">
        <v>38772187.839759685</v>
      </c>
      <c r="AE434" s="32">
        <v>38772187.839759685</v>
      </c>
      <c r="AF434" s="32">
        <v>38772187.839759685</v>
      </c>
      <c r="AG434"/>
      <c r="AH434" s="17" t="s">
        <v>279</v>
      </c>
    </row>
    <row r="435" spans="2:34" hidden="1" outlineLevel="1" x14ac:dyDescent="0.25">
      <c r="B435" s="31" t="s">
        <v>145</v>
      </c>
      <c r="C435" s="32">
        <v>0</v>
      </c>
      <c r="D435" s="32">
        <v>0</v>
      </c>
      <c r="E435" s="32">
        <v>15770486.74488374</v>
      </c>
      <c r="F435" s="32">
        <v>15770486.74488374</v>
      </c>
      <c r="G435" s="32">
        <v>15770486.74488374</v>
      </c>
      <c r="H435" s="32">
        <v>15787184.845623737</v>
      </c>
      <c r="I435" s="32">
        <v>15787184.845623737</v>
      </c>
      <c r="J435" s="32">
        <v>15787184.845623737</v>
      </c>
      <c r="K435" s="32">
        <v>15787184.845623737</v>
      </c>
      <c r="L435" s="32">
        <v>15390568.910004416</v>
      </c>
      <c r="M435" s="32">
        <v>15390568.910004416</v>
      </c>
      <c r="N435" s="32">
        <v>15390568.910004416</v>
      </c>
      <c r="O435" s="32">
        <v>15390568.910004416</v>
      </c>
      <c r="P435" s="32">
        <v>15364645.040004415</v>
      </c>
      <c r="Q435" s="32">
        <v>15364645.040004415</v>
      </c>
      <c r="R435" s="32">
        <v>15384699.734404417</v>
      </c>
      <c r="S435" s="32">
        <v>15384699.734404417</v>
      </c>
      <c r="T435" s="32">
        <v>15384699.734404417</v>
      </c>
      <c r="U435" s="32">
        <v>15384699.734404417</v>
      </c>
      <c r="V435" s="32">
        <v>15384699.734404417</v>
      </c>
      <c r="W435" s="32">
        <v>15384699.734404417</v>
      </c>
      <c r="X435" s="32">
        <v>15384699.734404417</v>
      </c>
      <c r="Y435" s="32">
        <v>15384699.734404417</v>
      </c>
      <c r="Z435" s="32">
        <v>15384699.734404417</v>
      </c>
      <c r="AA435" s="32">
        <v>15384699.734404417</v>
      </c>
      <c r="AB435" s="32">
        <v>14843250.017475424</v>
      </c>
      <c r="AC435" s="32">
        <v>14843250.017475424</v>
      </c>
      <c r="AD435" s="32">
        <v>14843250.017475424</v>
      </c>
      <c r="AE435" s="32">
        <v>14843250.017475424</v>
      </c>
      <c r="AF435" s="32">
        <v>14843250.017475424</v>
      </c>
      <c r="AG435"/>
      <c r="AH435" s="17" t="s">
        <v>279</v>
      </c>
    </row>
    <row r="436" spans="2:34" hidden="1" outlineLevel="1" x14ac:dyDescent="0.25">
      <c r="B436" s="31" t="s">
        <v>244</v>
      </c>
      <c r="C436" s="32">
        <v>0</v>
      </c>
      <c r="D436" s="32">
        <v>0</v>
      </c>
      <c r="E436" s="32">
        <v>74467327.643795222</v>
      </c>
      <c r="F436" s="32">
        <v>87649721.664786637</v>
      </c>
      <c r="G436" s="32">
        <v>87649721.664786637</v>
      </c>
      <c r="H436" s="32">
        <v>88236897.776487172</v>
      </c>
      <c r="I436" s="32">
        <v>88236897.776487172</v>
      </c>
      <c r="J436" s="32">
        <v>80002966.613187522</v>
      </c>
      <c r="K436" s="32">
        <v>80002966.613187522</v>
      </c>
      <c r="L436" s="32">
        <v>80002966.613187522</v>
      </c>
      <c r="M436" s="32">
        <v>80002966.613187522</v>
      </c>
      <c r="N436" s="32">
        <v>79425262.459042355</v>
      </c>
      <c r="O436" s="32">
        <v>79425262.459042355</v>
      </c>
      <c r="P436" s="32">
        <v>79425262.459042355</v>
      </c>
      <c r="Q436" s="32">
        <v>79425262.459042355</v>
      </c>
      <c r="R436" s="32">
        <v>82311974.959042355</v>
      </c>
      <c r="S436" s="32">
        <v>82311974.959042355</v>
      </c>
      <c r="T436" s="32">
        <v>82311974.959042355</v>
      </c>
      <c r="U436" s="32">
        <v>82311974.959042355</v>
      </c>
      <c r="V436" s="32">
        <v>81863454.238701224</v>
      </c>
      <c r="W436" s="32">
        <v>81863454.238701224</v>
      </c>
      <c r="X436" s="32">
        <v>81863454.238701224</v>
      </c>
      <c r="Y436" s="32">
        <v>81863454.238701224</v>
      </c>
      <c r="Z436" s="32">
        <v>81863454.238701224</v>
      </c>
      <c r="AA436" s="32">
        <v>81863454.238701224</v>
      </c>
      <c r="AB436" s="32">
        <v>81863454.238701224</v>
      </c>
      <c r="AC436" s="32">
        <v>81863454.238701224</v>
      </c>
      <c r="AD436" s="32">
        <v>81863454.238701224</v>
      </c>
      <c r="AE436" s="32">
        <v>81863454.238701224</v>
      </c>
      <c r="AF436" s="32">
        <v>81863454.238701224</v>
      </c>
      <c r="AG436"/>
      <c r="AH436" s="17" t="s">
        <v>279</v>
      </c>
    </row>
    <row r="437" spans="2:34" hidden="1" outlineLevel="1" x14ac:dyDescent="0.25">
      <c r="B437" s="31" t="s">
        <v>147</v>
      </c>
      <c r="C437" s="32">
        <v>0</v>
      </c>
      <c r="D437" s="32">
        <v>0</v>
      </c>
      <c r="E437" s="32">
        <v>0</v>
      </c>
      <c r="F437" s="32">
        <v>0</v>
      </c>
      <c r="G437" s="32">
        <v>0</v>
      </c>
      <c r="H437" s="32">
        <v>0</v>
      </c>
      <c r="I437" s="32">
        <v>0</v>
      </c>
      <c r="J437" s="32">
        <v>0</v>
      </c>
      <c r="K437" s="32">
        <v>0</v>
      </c>
      <c r="L437" s="32">
        <v>0</v>
      </c>
      <c r="M437" s="32">
        <v>0</v>
      </c>
      <c r="N437" s="32">
        <v>0</v>
      </c>
      <c r="O437" s="32">
        <v>0</v>
      </c>
      <c r="P437" s="32">
        <v>0</v>
      </c>
      <c r="Q437" s="32">
        <v>0</v>
      </c>
      <c r="R437" s="32">
        <v>0</v>
      </c>
      <c r="S437" s="32">
        <v>0</v>
      </c>
      <c r="T437" s="32">
        <v>0</v>
      </c>
      <c r="U437" s="32">
        <v>0</v>
      </c>
      <c r="V437" s="32">
        <v>0</v>
      </c>
      <c r="W437" s="32">
        <v>0</v>
      </c>
      <c r="X437" s="32">
        <v>0</v>
      </c>
      <c r="Y437" s="32">
        <v>0</v>
      </c>
      <c r="Z437" s="32">
        <v>0</v>
      </c>
      <c r="AA437" s="32">
        <v>0</v>
      </c>
      <c r="AB437" s="32">
        <v>0</v>
      </c>
      <c r="AC437" s="32">
        <v>0</v>
      </c>
      <c r="AD437" s="32">
        <v>0</v>
      </c>
      <c r="AE437" s="32">
        <v>0</v>
      </c>
      <c r="AF437" s="32">
        <v>0</v>
      </c>
      <c r="AG437"/>
      <c r="AH437" s="17" t="s">
        <v>279</v>
      </c>
    </row>
    <row r="438" spans="2:34" hidden="1" outlineLevel="1" x14ac:dyDescent="0.25">
      <c r="B438" s="31" t="s">
        <v>245</v>
      </c>
      <c r="C438" s="32">
        <v>0</v>
      </c>
      <c r="D438" s="32">
        <v>0</v>
      </c>
      <c r="E438" s="32">
        <v>5531260.8599999994</v>
      </c>
      <c r="F438" s="32">
        <v>5531260.8599999994</v>
      </c>
      <c r="G438" s="32">
        <v>5531260.8599999994</v>
      </c>
      <c r="H438" s="32">
        <v>5911722.2974800002</v>
      </c>
      <c r="I438" s="32">
        <v>5911722.2974800002</v>
      </c>
      <c r="J438" s="32">
        <v>5911722.2974800002</v>
      </c>
      <c r="K438" s="32">
        <v>5911722.2974800002</v>
      </c>
      <c r="L438" s="32">
        <v>5911722.2974800002</v>
      </c>
      <c r="M438" s="32">
        <v>5911722.2974800002</v>
      </c>
      <c r="N438" s="32">
        <v>5743970.637480001</v>
      </c>
      <c r="O438" s="32">
        <v>5743970.637480001</v>
      </c>
      <c r="P438" s="32">
        <v>5743970.637480001</v>
      </c>
      <c r="Q438" s="32">
        <v>5743970.637480001</v>
      </c>
      <c r="R438" s="32">
        <v>36060627.457479998</v>
      </c>
      <c r="S438" s="32">
        <v>36060627.457479998</v>
      </c>
      <c r="T438" s="32">
        <v>36060627.457479998</v>
      </c>
      <c r="U438" s="32">
        <v>36060627.457479998</v>
      </c>
      <c r="V438" s="32">
        <v>36060627.457479998</v>
      </c>
      <c r="W438" s="32">
        <v>36060627.457479998</v>
      </c>
      <c r="X438" s="32">
        <v>36060627.457479998</v>
      </c>
      <c r="Y438" s="32">
        <v>36060627.457479998</v>
      </c>
      <c r="Z438" s="32">
        <v>36060627.457479998</v>
      </c>
      <c r="AA438" s="32">
        <v>36060627.457479998</v>
      </c>
      <c r="AB438" s="32">
        <v>36060627.457479998</v>
      </c>
      <c r="AC438" s="32">
        <v>36060627.457479998</v>
      </c>
      <c r="AD438" s="32">
        <v>36060627.457479998</v>
      </c>
      <c r="AE438" s="32">
        <v>36060627.457479998</v>
      </c>
      <c r="AF438" s="32">
        <v>36060627.457479998</v>
      </c>
      <c r="AG438"/>
      <c r="AH438" s="17" t="s">
        <v>279</v>
      </c>
    </row>
    <row r="439" spans="2:34" hidden="1" outlineLevel="1" x14ac:dyDescent="0.25">
      <c r="B439" s="31" t="s">
        <v>149</v>
      </c>
      <c r="C439" s="32">
        <v>0</v>
      </c>
      <c r="D439" s="32">
        <v>41100367.759866863</v>
      </c>
      <c r="E439" s="32">
        <v>136869443.00854582</v>
      </c>
      <c r="F439" s="32">
        <v>148564108.5905031</v>
      </c>
      <c r="G439" s="32">
        <v>148564108.5905031</v>
      </c>
      <c r="H439" s="32">
        <v>149699795.58310363</v>
      </c>
      <c r="I439" s="32">
        <v>149699795.58310363</v>
      </c>
      <c r="J439" s="32">
        <v>140406366.31747094</v>
      </c>
      <c r="K439" s="32">
        <v>140406366.31747094</v>
      </c>
      <c r="L439" s="32">
        <v>140077445.66043162</v>
      </c>
      <c r="M439" s="32">
        <v>140077445.66043162</v>
      </c>
      <c r="N439" s="32">
        <v>139331989.84628645</v>
      </c>
      <c r="O439" s="32">
        <v>139331989.84628645</v>
      </c>
      <c r="P439" s="32">
        <v>139306065.97628644</v>
      </c>
      <c r="Q439" s="32">
        <v>139306065.97628644</v>
      </c>
      <c r="R439" s="32">
        <v>172529489.99068648</v>
      </c>
      <c r="S439" s="32">
        <v>172529489.99068648</v>
      </c>
      <c r="T439" s="32">
        <v>172529489.99068648</v>
      </c>
      <c r="U439" s="32">
        <v>172529489.99068648</v>
      </c>
      <c r="V439" s="32">
        <v>172080969.27034533</v>
      </c>
      <c r="W439" s="32">
        <v>172080969.27034533</v>
      </c>
      <c r="X439" s="32">
        <v>172080969.27034533</v>
      </c>
      <c r="Y439" s="32">
        <v>172080969.27034533</v>
      </c>
      <c r="Z439" s="32">
        <v>172080969.27034533</v>
      </c>
      <c r="AA439" s="32">
        <v>172080969.27034533</v>
      </c>
      <c r="AB439" s="32">
        <v>171539519.55341631</v>
      </c>
      <c r="AC439" s="32">
        <v>171539519.55341631</v>
      </c>
      <c r="AD439" s="32">
        <v>171539519.55341631</v>
      </c>
      <c r="AE439" s="32">
        <v>171539519.55341631</v>
      </c>
      <c r="AF439" s="32">
        <v>171539519.55341631</v>
      </c>
      <c r="AG439"/>
      <c r="AH439" s="17" t="s">
        <v>279</v>
      </c>
    </row>
    <row r="440" spans="2:34" customFormat="1" hidden="1" outlineLevel="1" x14ac:dyDescent="0.25">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row>
    <row r="441" spans="2:34" hidden="1" outlineLevel="1" x14ac:dyDescent="0.25">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c r="AH441"/>
    </row>
    <row r="442" spans="2:34" ht="17.25" hidden="1" outlineLevel="1" thickBot="1" x14ac:dyDescent="0.3">
      <c r="B442" s="26" t="s">
        <v>281</v>
      </c>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row>
    <row r="443" spans="2:34" ht="16.5" hidden="1" outlineLevel="1" thickTop="1" thickBot="1" x14ac:dyDescent="0.3">
      <c r="B443" s="28" t="s">
        <v>278</v>
      </c>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0"/>
      <c r="AH443" s="20" t="s">
        <v>15</v>
      </c>
    </row>
    <row r="444" spans="2:34" customFormat="1" hidden="1" outlineLevel="1" x14ac:dyDescent="0.25">
      <c r="B444" s="30"/>
      <c r="C444" s="17">
        <v>2025</v>
      </c>
      <c r="D444" s="44">
        <v>2026</v>
      </c>
      <c r="E444" s="44">
        <v>2027</v>
      </c>
      <c r="F444" s="44">
        <v>2028</v>
      </c>
      <c r="G444" s="44">
        <v>2029</v>
      </c>
      <c r="H444" s="44">
        <v>2030</v>
      </c>
      <c r="I444" s="44">
        <v>2031</v>
      </c>
      <c r="J444" s="44">
        <v>2032</v>
      </c>
      <c r="K444" s="44">
        <v>2033</v>
      </c>
      <c r="L444" s="44">
        <v>2034</v>
      </c>
      <c r="M444" s="44">
        <v>2035</v>
      </c>
      <c r="N444" s="44">
        <v>2036</v>
      </c>
      <c r="O444" s="44">
        <v>2037</v>
      </c>
      <c r="P444" s="44">
        <v>2038</v>
      </c>
      <c r="Q444" s="44">
        <v>2039</v>
      </c>
      <c r="R444" s="44">
        <v>2040</v>
      </c>
      <c r="S444" s="44">
        <v>2041</v>
      </c>
      <c r="T444" s="44">
        <v>2042</v>
      </c>
      <c r="U444" s="44">
        <v>2043</v>
      </c>
      <c r="V444" s="44">
        <v>2044</v>
      </c>
      <c r="W444" s="44">
        <v>2045</v>
      </c>
      <c r="X444" s="44">
        <v>2046</v>
      </c>
      <c r="Y444" s="44">
        <v>2047</v>
      </c>
      <c r="Z444" s="44">
        <v>2048</v>
      </c>
      <c r="AA444" s="44">
        <v>2049</v>
      </c>
      <c r="AB444" s="44">
        <v>2050</v>
      </c>
      <c r="AC444" s="44">
        <v>2051</v>
      </c>
      <c r="AD444" s="44">
        <v>2052</v>
      </c>
      <c r="AE444" s="44">
        <v>2053</v>
      </c>
      <c r="AF444" s="44">
        <v>2054</v>
      </c>
      <c r="AH444" s="17" t="s">
        <v>279</v>
      </c>
    </row>
    <row r="445" spans="2:34" hidden="1" outlineLevel="1" x14ac:dyDescent="0.25">
      <c r="B445" s="31" t="s">
        <v>144</v>
      </c>
      <c r="C445" s="32">
        <v>91218518.516397119</v>
      </c>
      <c r="D445" s="32">
        <v>0</v>
      </c>
      <c r="E445" s="32">
        <v>0</v>
      </c>
      <c r="F445" s="32">
        <v>0</v>
      </c>
      <c r="G445" s="32">
        <v>0</v>
      </c>
      <c r="H445" s="32">
        <v>0</v>
      </c>
      <c r="I445" s="32">
        <v>0</v>
      </c>
      <c r="J445" s="32">
        <v>0</v>
      </c>
      <c r="K445" s="32">
        <v>0</v>
      </c>
      <c r="L445" s="32">
        <v>0</v>
      </c>
      <c r="M445" s="32">
        <v>0</v>
      </c>
      <c r="N445" s="32">
        <v>0</v>
      </c>
      <c r="O445" s="32">
        <v>0</v>
      </c>
      <c r="P445" s="32">
        <v>0</v>
      </c>
      <c r="Q445" s="32">
        <v>0</v>
      </c>
      <c r="R445" s="32">
        <v>0</v>
      </c>
      <c r="S445" s="32">
        <v>0</v>
      </c>
      <c r="T445" s="32">
        <v>0</v>
      </c>
      <c r="U445" s="32">
        <v>0</v>
      </c>
      <c r="V445" s="32">
        <v>0</v>
      </c>
      <c r="W445" s="32">
        <v>0</v>
      </c>
      <c r="X445" s="32">
        <v>0</v>
      </c>
      <c r="Y445" s="32">
        <v>0</v>
      </c>
      <c r="Z445" s="32">
        <v>0</v>
      </c>
      <c r="AA445" s="32">
        <v>0</v>
      </c>
      <c r="AB445" s="32">
        <v>0</v>
      </c>
      <c r="AC445" s="32">
        <v>0</v>
      </c>
      <c r="AD445" s="32">
        <v>0</v>
      </c>
      <c r="AE445" s="32">
        <v>0</v>
      </c>
      <c r="AF445" s="32">
        <v>0</v>
      </c>
      <c r="AG445"/>
      <c r="AH445" s="17" t="s">
        <v>279</v>
      </c>
    </row>
    <row r="446" spans="2:34" hidden="1" outlineLevel="1" x14ac:dyDescent="0.25">
      <c r="B446" s="31" t="s">
        <v>145</v>
      </c>
      <c r="C446" s="32">
        <v>11884388.380107559</v>
      </c>
      <c r="D446" s="32">
        <v>11884388.380107559</v>
      </c>
      <c r="E446" s="32">
        <v>0</v>
      </c>
      <c r="F446" s="32">
        <v>0</v>
      </c>
      <c r="G446" s="32">
        <v>0</v>
      </c>
      <c r="H446" s="32">
        <v>0</v>
      </c>
      <c r="I446" s="32">
        <v>0</v>
      </c>
      <c r="J446" s="32">
        <v>0</v>
      </c>
      <c r="K446" s="32">
        <v>0</v>
      </c>
      <c r="L446" s="32">
        <v>0</v>
      </c>
      <c r="M446" s="32">
        <v>0</v>
      </c>
      <c r="N446" s="32">
        <v>0</v>
      </c>
      <c r="O446" s="32">
        <v>0</v>
      </c>
      <c r="P446" s="32">
        <v>0</v>
      </c>
      <c r="Q446" s="32">
        <v>0</v>
      </c>
      <c r="R446" s="32">
        <v>0</v>
      </c>
      <c r="S446" s="32">
        <v>0</v>
      </c>
      <c r="T446" s="32">
        <v>0</v>
      </c>
      <c r="U446" s="32">
        <v>0</v>
      </c>
      <c r="V446" s="32">
        <v>0</v>
      </c>
      <c r="W446" s="32">
        <v>0</v>
      </c>
      <c r="X446" s="32">
        <v>0</v>
      </c>
      <c r="Y446" s="32">
        <v>0</v>
      </c>
      <c r="Z446" s="32">
        <v>0</v>
      </c>
      <c r="AA446" s="32">
        <v>0</v>
      </c>
      <c r="AB446" s="32">
        <v>0</v>
      </c>
      <c r="AC446" s="32">
        <v>0</v>
      </c>
      <c r="AD446" s="32">
        <v>0</v>
      </c>
      <c r="AE446" s="32">
        <v>0</v>
      </c>
      <c r="AF446" s="32">
        <v>0</v>
      </c>
      <c r="AG446"/>
      <c r="AH446" s="17" t="s">
        <v>279</v>
      </c>
    </row>
    <row r="447" spans="2:34" hidden="1" outlineLevel="1" x14ac:dyDescent="0.25">
      <c r="B447" s="31" t="s">
        <v>244</v>
      </c>
      <c r="C447" s="32">
        <v>35030010.666666664</v>
      </c>
      <c r="D447" s="32">
        <v>35030010.666666664</v>
      </c>
      <c r="E447" s="32">
        <v>0</v>
      </c>
      <c r="F447" s="32">
        <v>0</v>
      </c>
      <c r="G447" s="32">
        <v>0</v>
      </c>
      <c r="H447" s="32">
        <v>0</v>
      </c>
      <c r="I447" s="32">
        <v>0</v>
      </c>
      <c r="J447" s="32">
        <v>0</v>
      </c>
      <c r="K447" s="32">
        <v>0</v>
      </c>
      <c r="L447" s="32">
        <v>0</v>
      </c>
      <c r="M447" s="32">
        <v>0</v>
      </c>
      <c r="N447" s="32">
        <v>0</v>
      </c>
      <c r="O447" s="32">
        <v>0</v>
      </c>
      <c r="P447" s="32">
        <v>0</v>
      </c>
      <c r="Q447" s="32">
        <v>0</v>
      </c>
      <c r="R447" s="32">
        <v>0</v>
      </c>
      <c r="S447" s="32">
        <v>0</v>
      </c>
      <c r="T447" s="32">
        <v>0</v>
      </c>
      <c r="U447" s="32">
        <v>0</v>
      </c>
      <c r="V447" s="32">
        <v>0</v>
      </c>
      <c r="W447" s="32">
        <v>0</v>
      </c>
      <c r="X447" s="32">
        <v>0</v>
      </c>
      <c r="Y447" s="32">
        <v>0</v>
      </c>
      <c r="Z447" s="32">
        <v>0</v>
      </c>
      <c r="AA447" s="32">
        <v>0</v>
      </c>
      <c r="AB447" s="32">
        <v>0</v>
      </c>
      <c r="AC447" s="32">
        <v>0</v>
      </c>
      <c r="AD447" s="32">
        <v>0</v>
      </c>
      <c r="AE447" s="32">
        <v>0</v>
      </c>
      <c r="AF447" s="32">
        <v>0</v>
      </c>
      <c r="AG447"/>
      <c r="AH447" s="17" t="s">
        <v>279</v>
      </c>
    </row>
    <row r="448" spans="2:34" customFormat="1" hidden="1" outlineLevel="1" x14ac:dyDescent="0.25">
      <c r="B448" s="31" t="s">
        <v>147</v>
      </c>
      <c r="C448" s="32">
        <v>0</v>
      </c>
      <c r="D448" s="32">
        <v>0</v>
      </c>
      <c r="E448" s="32">
        <v>0</v>
      </c>
      <c r="F448" s="32">
        <v>0</v>
      </c>
      <c r="G448" s="32">
        <v>0</v>
      </c>
      <c r="H448" s="32">
        <v>0</v>
      </c>
      <c r="I448" s="32">
        <v>0</v>
      </c>
      <c r="J448" s="32">
        <v>0</v>
      </c>
      <c r="K448" s="32">
        <v>0</v>
      </c>
      <c r="L448" s="32">
        <v>0</v>
      </c>
      <c r="M448" s="32">
        <v>0</v>
      </c>
      <c r="N448" s="32">
        <v>0</v>
      </c>
      <c r="O448" s="32">
        <v>0</v>
      </c>
      <c r="P448" s="32">
        <v>0</v>
      </c>
      <c r="Q448" s="32">
        <v>0</v>
      </c>
      <c r="R448" s="32">
        <v>0</v>
      </c>
      <c r="S448" s="32">
        <v>0</v>
      </c>
      <c r="T448" s="32">
        <v>0</v>
      </c>
      <c r="U448" s="32">
        <v>0</v>
      </c>
      <c r="V448" s="32">
        <v>0</v>
      </c>
      <c r="W448" s="32">
        <v>0</v>
      </c>
      <c r="X448" s="32">
        <v>0</v>
      </c>
      <c r="Y448" s="32">
        <v>0</v>
      </c>
      <c r="Z448" s="32">
        <v>0</v>
      </c>
      <c r="AA448" s="32">
        <v>0</v>
      </c>
      <c r="AB448" s="32">
        <v>0</v>
      </c>
      <c r="AC448" s="32">
        <v>0</v>
      </c>
      <c r="AD448" s="32">
        <v>0</v>
      </c>
      <c r="AE448" s="32">
        <v>0</v>
      </c>
      <c r="AF448" s="32">
        <v>0</v>
      </c>
      <c r="AH448" s="17" t="s">
        <v>279</v>
      </c>
    </row>
    <row r="449" spans="2:35" hidden="1" outlineLevel="1" x14ac:dyDescent="0.25">
      <c r="B449" s="31" t="s">
        <v>245</v>
      </c>
      <c r="C449" s="32">
        <v>0</v>
      </c>
      <c r="D449" s="32">
        <v>0</v>
      </c>
      <c r="E449" s="32">
        <v>0</v>
      </c>
      <c r="F449" s="32">
        <v>0</v>
      </c>
      <c r="G449" s="32">
        <v>0</v>
      </c>
      <c r="H449" s="32">
        <v>0</v>
      </c>
      <c r="I449" s="32">
        <v>0</v>
      </c>
      <c r="J449" s="32">
        <v>0</v>
      </c>
      <c r="K449" s="32">
        <v>0</v>
      </c>
      <c r="L449" s="32">
        <v>0</v>
      </c>
      <c r="M449" s="32">
        <v>0</v>
      </c>
      <c r="N449" s="32">
        <v>0</v>
      </c>
      <c r="O449" s="32">
        <v>0</v>
      </c>
      <c r="P449" s="32">
        <v>0</v>
      </c>
      <c r="Q449" s="32">
        <v>0</v>
      </c>
      <c r="R449" s="32">
        <v>0</v>
      </c>
      <c r="S449" s="32">
        <v>0</v>
      </c>
      <c r="T449" s="32">
        <v>0</v>
      </c>
      <c r="U449" s="32">
        <v>0</v>
      </c>
      <c r="V449" s="32">
        <v>0</v>
      </c>
      <c r="W449" s="32">
        <v>0</v>
      </c>
      <c r="X449" s="32">
        <v>0</v>
      </c>
      <c r="Y449" s="32">
        <v>0</v>
      </c>
      <c r="Z449" s="32">
        <v>0</v>
      </c>
      <c r="AA449" s="32">
        <v>0</v>
      </c>
      <c r="AB449" s="32">
        <v>0</v>
      </c>
      <c r="AC449" s="32">
        <v>0</v>
      </c>
      <c r="AD449" s="32">
        <v>0</v>
      </c>
      <c r="AE449" s="32">
        <v>0</v>
      </c>
      <c r="AF449" s="32">
        <v>0</v>
      </c>
      <c r="AG449"/>
      <c r="AH449" s="17" t="s">
        <v>279</v>
      </c>
    </row>
    <row r="450" spans="2:35" hidden="1" outlineLevel="1" x14ac:dyDescent="0.25">
      <c r="B450" s="31" t="s">
        <v>149</v>
      </c>
      <c r="C450" s="32">
        <v>138132917.56317133</v>
      </c>
      <c r="D450" s="32">
        <v>46914399.046774223</v>
      </c>
      <c r="E450" s="32">
        <v>0</v>
      </c>
      <c r="F450" s="32">
        <v>0</v>
      </c>
      <c r="G450" s="32">
        <v>0</v>
      </c>
      <c r="H450" s="32">
        <v>0</v>
      </c>
      <c r="I450" s="32">
        <v>0</v>
      </c>
      <c r="J450" s="32">
        <v>0</v>
      </c>
      <c r="K450" s="32">
        <v>0</v>
      </c>
      <c r="L450" s="32">
        <v>0</v>
      </c>
      <c r="M450" s="32">
        <v>0</v>
      </c>
      <c r="N450" s="32">
        <v>0</v>
      </c>
      <c r="O450" s="32">
        <v>0</v>
      </c>
      <c r="P450" s="32">
        <v>0</v>
      </c>
      <c r="Q450" s="32">
        <v>0</v>
      </c>
      <c r="R450" s="32">
        <v>0</v>
      </c>
      <c r="S450" s="32">
        <v>0</v>
      </c>
      <c r="T450" s="32">
        <v>0</v>
      </c>
      <c r="U450" s="32">
        <v>0</v>
      </c>
      <c r="V450" s="32">
        <v>0</v>
      </c>
      <c r="W450" s="32">
        <v>0</v>
      </c>
      <c r="X450" s="32">
        <v>0</v>
      </c>
      <c r="Y450" s="32">
        <v>0</v>
      </c>
      <c r="Z450" s="32">
        <v>0</v>
      </c>
      <c r="AA450" s="32">
        <v>0</v>
      </c>
      <c r="AB450" s="32">
        <v>0</v>
      </c>
      <c r="AC450" s="32">
        <v>0</v>
      </c>
      <c r="AD450" s="32">
        <v>0</v>
      </c>
      <c r="AE450" s="32">
        <v>0</v>
      </c>
      <c r="AF450" s="32">
        <v>0</v>
      </c>
      <c r="AG450"/>
      <c r="AH450" s="17" t="s">
        <v>279</v>
      </c>
    </row>
    <row r="451" spans="2:35" hidden="1" outlineLevel="1" x14ac:dyDescent="0.25">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c r="AH451"/>
    </row>
    <row r="452" spans="2:35" ht="15.75" hidden="1" outlineLevel="1" thickBot="1" x14ac:dyDescent="0.3">
      <c r="B452" s="28" t="s">
        <v>280</v>
      </c>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0"/>
      <c r="AH452" s="20" t="s">
        <v>15</v>
      </c>
    </row>
    <row r="453" spans="2:35" customFormat="1" hidden="1" outlineLevel="1" x14ac:dyDescent="0.25">
      <c r="B453" s="30"/>
      <c r="C453" s="17">
        <v>2025</v>
      </c>
      <c r="D453" s="44">
        <v>2026</v>
      </c>
      <c r="E453" s="44">
        <v>2027</v>
      </c>
      <c r="F453" s="44">
        <v>2028</v>
      </c>
      <c r="G453" s="44">
        <v>2029</v>
      </c>
      <c r="H453" s="44">
        <v>2030</v>
      </c>
      <c r="I453" s="44">
        <v>2031</v>
      </c>
      <c r="J453" s="44">
        <v>2032</v>
      </c>
      <c r="K453" s="44">
        <v>2033</v>
      </c>
      <c r="L453" s="44">
        <v>2034</v>
      </c>
      <c r="M453" s="44">
        <v>2035</v>
      </c>
      <c r="N453" s="44">
        <v>2036</v>
      </c>
      <c r="O453" s="44">
        <v>2037</v>
      </c>
      <c r="P453" s="44">
        <v>2038</v>
      </c>
      <c r="Q453" s="44">
        <v>2039</v>
      </c>
      <c r="R453" s="44">
        <v>2040</v>
      </c>
      <c r="S453" s="44">
        <v>2041</v>
      </c>
      <c r="T453" s="44">
        <v>2042</v>
      </c>
      <c r="U453" s="44">
        <v>2043</v>
      </c>
      <c r="V453" s="44">
        <v>2044</v>
      </c>
      <c r="W453" s="44">
        <v>2045</v>
      </c>
      <c r="X453" s="44">
        <v>2046</v>
      </c>
      <c r="Y453" s="44">
        <v>2047</v>
      </c>
      <c r="Z453" s="44">
        <v>2048</v>
      </c>
      <c r="AA453" s="44">
        <v>2049</v>
      </c>
      <c r="AB453" s="44">
        <v>2050</v>
      </c>
      <c r="AC453" s="44">
        <v>2051</v>
      </c>
      <c r="AD453" s="44">
        <v>2052</v>
      </c>
      <c r="AE453" s="44">
        <v>2053</v>
      </c>
      <c r="AF453" s="44">
        <v>2054</v>
      </c>
      <c r="AG453" s="1"/>
      <c r="AH453" s="1"/>
    </row>
    <row r="454" spans="2:35" hidden="1" outlineLevel="1" x14ac:dyDescent="0.25">
      <c r="B454" s="31" t="s">
        <v>144</v>
      </c>
      <c r="C454" s="32">
        <v>0</v>
      </c>
      <c r="D454" s="32">
        <v>91218518.516397119</v>
      </c>
      <c r="E454" s="32">
        <v>91218518.516397119</v>
      </c>
      <c r="F454" s="32">
        <v>91218518.516397119</v>
      </c>
      <c r="G454" s="32">
        <v>91218518.516397119</v>
      </c>
      <c r="H454" s="32">
        <v>89605158.712475568</v>
      </c>
      <c r="I454" s="32">
        <v>89605158.712475568</v>
      </c>
      <c r="J454" s="32">
        <v>89605158.712475568</v>
      </c>
      <c r="K454" s="32">
        <v>89605158.712475568</v>
      </c>
      <c r="L454" s="32">
        <v>89605158.712475568</v>
      </c>
      <c r="M454" s="32">
        <v>89605158.712475568</v>
      </c>
      <c r="N454" s="32">
        <v>89605158.712475568</v>
      </c>
      <c r="O454" s="32">
        <v>89605158.712475568</v>
      </c>
      <c r="P454" s="32">
        <v>89605158.712475568</v>
      </c>
      <c r="Q454" s="32">
        <v>89605158.712475568</v>
      </c>
      <c r="R454" s="32">
        <v>89605158.712475568</v>
      </c>
      <c r="S454" s="32">
        <v>89605158.712475568</v>
      </c>
      <c r="T454" s="32">
        <v>89605158.712475568</v>
      </c>
      <c r="U454" s="32">
        <v>89605158.712475568</v>
      </c>
      <c r="V454" s="32">
        <v>89605158.712475568</v>
      </c>
      <c r="W454" s="32">
        <v>89605158.712475568</v>
      </c>
      <c r="X454" s="32">
        <v>89605158.712475568</v>
      </c>
      <c r="Y454" s="32">
        <v>89605158.712475568</v>
      </c>
      <c r="Z454" s="32">
        <v>89605158.712475568</v>
      </c>
      <c r="AA454" s="32">
        <v>89605158.712475568</v>
      </c>
      <c r="AB454" s="32">
        <v>89605158.712475568</v>
      </c>
      <c r="AC454" s="32">
        <v>89605158.712475568</v>
      </c>
      <c r="AD454" s="32">
        <v>89605158.712475568</v>
      </c>
      <c r="AE454" s="32">
        <v>89605158.712475568</v>
      </c>
      <c r="AF454" s="32">
        <v>89605158.712475568</v>
      </c>
      <c r="AG454"/>
      <c r="AH454" s="17" t="s">
        <v>279</v>
      </c>
    </row>
    <row r="455" spans="2:35" hidden="1" outlineLevel="1" x14ac:dyDescent="0.25">
      <c r="B455" s="31" t="s">
        <v>145</v>
      </c>
      <c r="C455" s="32">
        <v>0</v>
      </c>
      <c r="D455" s="32">
        <v>0</v>
      </c>
      <c r="E455" s="32">
        <v>11884388.380107559</v>
      </c>
      <c r="F455" s="32">
        <v>11884388.380107559</v>
      </c>
      <c r="G455" s="32">
        <v>11884388.380107559</v>
      </c>
      <c r="H455" s="32">
        <v>11884388.380107559</v>
      </c>
      <c r="I455" s="32">
        <v>11884388.380107559</v>
      </c>
      <c r="J455" s="32">
        <v>11884388.380107559</v>
      </c>
      <c r="K455" s="32">
        <v>11884388.380107559</v>
      </c>
      <c r="L455" s="32">
        <v>11884388.380107559</v>
      </c>
      <c r="M455" s="32">
        <v>11884388.380107559</v>
      </c>
      <c r="N455" s="32">
        <v>11884388.380107559</v>
      </c>
      <c r="O455" s="32">
        <v>11884388.380107559</v>
      </c>
      <c r="P455" s="32">
        <v>11884388.380107559</v>
      </c>
      <c r="Q455" s="32">
        <v>11884388.380107559</v>
      </c>
      <c r="R455" s="32">
        <v>11884388.380107559</v>
      </c>
      <c r="S455" s="32">
        <v>11884388.380107559</v>
      </c>
      <c r="T455" s="32">
        <v>11525540.601956299</v>
      </c>
      <c r="U455" s="32">
        <v>11525540.601956299</v>
      </c>
      <c r="V455" s="32">
        <v>11525540.601956299</v>
      </c>
      <c r="W455" s="32">
        <v>11525540.601956299</v>
      </c>
      <c r="X455" s="32">
        <v>11525540.601956299</v>
      </c>
      <c r="Y455" s="32">
        <v>11525540.601956299</v>
      </c>
      <c r="Z455" s="32">
        <v>11525540.601956299</v>
      </c>
      <c r="AA455" s="32">
        <v>11525540.601956299</v>
      </c>
      <c r="AB455" s="32">
        <v>11525540.601956299</v>
      </c>
      <c r="AC455" s="32">
        <v>11525540.601956299</v>
      </c>
      <c r="AD455" s="32">
        <v>11525540.601956299</v>
      </c>
      <c r="AE455" s="32">
        <v>11525540.601956299</v>
      </c>
      <c r="AF455" s="32">
        <v>11525540.601956299</v>
      </c>
      <c r="AG455"/>
      <c r="AH455" s="17" t="s">
        <v>279</v>
      </c>
    </row>
    <row r="456" spans="2:35" customFormat="1" hidden="1" outlineLevel="1" x14ac:dyDescent="0.25">
      <c r="B456" s="31" t="s">
        <v>244</v>
      </c>
      <c r="C456" s="32">
        <v>0</v>
      </c>
      <c r="D456" s="32">
        <v>0</v>
      </c>
      <c r="E456" s="32">
        <v>35030010.666666664</v>
      </c>
      <c r="F456" s="32">
        <v>33517716.333333336</v>
      </c>
      <c r="G456" s="32">
        <v>33517716.333333336</v>
      </c>
      <c r="H456" s="32">
        <v>31998292.333333336</v>
      </c>
      <c r="I456" s="32">
        <v>31998292.333333336</v>
      </c>
      <c r="J456" s="32">
        <v>31998292.333333336</v>
      </c>
      <c r="K456" s="32">
        <v>31998292.333333336</v>
      </c>
      <c r="L456" s="32">
        <v>31998292.333333336</v>
      </c>
      <c r="M456" s="32">
        <v>31998292.333333336</v>
      </c>
      <c r="N456" s="32">
        <v>29833701.969607845</v>
      </c>
      <c r="O456" s="32">
        <v>29833701.969607845</v>
      </c>
      <c r="P456" s="32">
        <v>28875000.884313725</v>
      </c>
      <c r="Q456" s="32">
        <v>28875000.884313725</v>
      </c>
      <c r="R456" s="32">
        <v>28875000.884313725</v>
      </c>
      <c r="S456" s="32">
        <v>28875000.884313725</v>
      </c>
      <c r="T456" s="32">
        <v>28875000.884313725</v>
      </c>
      <c r="U456" s="32">
        <v>28875000.884313725</v>
      </c>
      <c r="V456" s="32">
        <v>28875000.884313725</v>
      </c>
      <c r="W456" s="32">
        <v>28875000.884313725</v>
      </c>
      <c r="X456" s="32">
        <v>28875000.884313725</v>
      </c>
      <c r="Y456" s="32">
        <v>28875000.884313725</v>
      </c>
      <c r="Z456" s="32">
        <v>28875000.884313725</v>
      </c>
      <c r="AA456" s="32">
        <v>28875000.884313725</v>
      </c>
      <c r="AB456" s="32">
        <v>28875000.884313725</v>
      </c>
      <c r="AC456" s="32">
        <v>28875000.884313725</v>
      </c>
      <c r="AD456" s="32">
        <v>28875000.884313725</v>
      </c>
      <c r="AE456" s="32">
        <v>28875000.884313725</v>
      </c>
      <c r="AF456" s="32">
        <v>28875000.884313725</v>
      </c>
      <c r="AH456" s="17" t="s">
        <v>279</v>
      </c>
    </row>
    <row r="457" spans="2:35" hidden="1" outlineLevel="1" x14ac:dyDescent="0.25">
      <c r="B457" s="31" t="s">
        <v>147</v>
      </c>
      <c r="C457" s="32">
        <v>0</v>
      </c>
      <c r="D457" s="32">
        <v>0</v>
      </c>
      <c r="E457" s="32">
        <v>0</v>
      </c>
      <c r="F457" s="32">
        <v>0</v>
      </c>
      <c r="G457" s="32">
        <v>0</v>
      </c>
      <c r="H457" s="32">
        <v>0</v>
      </c>
      <c r="I457" s="32">
        <v>0</v>
      </c>
      <c r="J457" s="32">
        <v>0</v>
      </c>
      <c r="K457" s="32">
        <v>0</v>
      </c>
      <c r="L457" s="32">
        <v>0</v>
      </c>
      <c r="M457" s="32">
        <v>0</v>
      </c>
      <c r="N457" s="32">
        <v>0</v>
      </c>
      <c r="O457" s="32">
        <v>0</v>
      </c>
      <c r="P457" s="32">
        <v>0</v>
      </c>
      <c r="Q457" s="32">
        <v>0</v>
      </c>
      <c r="R457" s="32">
        <v>0</v>
      </c>
      <c r="S457" s="32">
        <v>0</v>
      </c>
      <c r="T457" s="32">
        <v>0</v>
      </c>
      <c r="U457" s="32">
        <v>0</v>
      </c>
      <c r="V457" s="32">
        <v>0</v>
      </c>
      <c r="W457" s="32">
        <v>0</v>
      </c>
      <c r="X457" s="32">
        <v>0</v>
      </c>
      <c r="Y457" s="32">
        <v>0</v>
      </c>
      <c r="Z457" s="32">
        <v>0</v>
      </c>
      <c r="AA457" s="32">
        <v>0</v>
      </c>
      <c r="AB457" s="32">
        <v>0</v>
      </c>
      <c r="AC457" s="32">
        <v>0</v>
      </c>
      <c r="AD457" s="32">
        <v>0</v>
      </c>
      <c r="AE457" s="32">
        <v>0</v>
      </c>
      <c r="AF457" s="32">
        <v>0</v>
      </c>
      <c r="AG457"/>
      <c r="AH457" s="17" t="s">
        <v>279</v>
      </c>
    </row>
    <row r="458" spans="2:35" hidden="1" outlineLevel="1" x14ac:dyDescent="0.25">
      <c r="B458" s="31" t="s">
        <v>245</v>
      </c>
      <c r="C458" s="32">
        <v>0</v>
      </c>
      <c r="D458" s="32">
        <v>0</v>
      </c>
      <c r="E458" s="32">
        <v>0</v>
      </c>
      <c r="F458" s="32">
        <v>0</v>
      </c>
      <c r="G458" s="32">
        <v>0</v>
      </c>
      <c r="H458" s="32">
        <v>0</v>
      </c>
      <c r="I458" s="32">
        <v>0</v>
      </c>
      <c r="J458" s="32">
        <v>0</v>
      </c>
      <c r="K458" s="32">
        <v>0</v>
      </c>
      <c r="L458" s="32">
        <v>0</v>
      </c>
      <c r="M458" s="32">
        <v>0</v>
      </c>
      <c r="N458" s="32">
        <v>0</v>
      </c>
      <c r="O458" s="32">
        <v>0</v>
      </c>
      <c r="P458" s="32">
        <v>0</v>
      </c>
      <c r="Q458" s="32">
        <v>0</v>
      </c>
      <c r="R458" s="32">
        <v>4623100.2231905619</v>
      </c>
      <c r="S458" s="32">
        <v>4623100.2231905619</v>
      </c>
      <c r="T458" s="32">
        <v>4623100.2231905619</v>
      </c>
      <c r="U458" s="32">
        <v>4623100.2231905619</v>
      </c>
      <c r="V458" s="32">
        <v>4623100.2231905619</v>
      </c>
      <c r="W458" s="32">
        <v>4623100.2231905619</v>
      </c>
      <c r="X458" s="32">
        <v>4623100.2231905619</v>
      </c>
      <c r="Y458" s="32">
        <v>4623100.2231905619</v>
      </c>
      <c r="Z458" s="32">
        <v>4623100.2231905619</v>
      </c>
      <c r="AA458" s="32">
        <v>4623100.2231905619</v>
      </c>
      <c r="AB458" s="32">
        <v>4623100.2231905619</v>
      </c>
      <c r="AC458" s="32">
        <v>4623100.2231905619</v>
      </c>
      <c r="AD458" s="32">
        <v>4623100.2231905619</v>
      </c>
      <c r="AE458" s="32">
        <v>4623100.2231905619</v>
      </c>
      <c r="AF458" s="32">
        <v>4623100.2231905619</v>
      </c>
      <c r="AG458"/>
      <c r="AH458" s="17" t="s">
        <v>279</v>
      </c>
    </row>
    <row r="459" spans="2:35" hidden="1" outlineLevel="1" x14ac:dyDescent="0.25">
      <c r="B459" s="31" t="s">
        <v>149</v>
      </c>
      <c r="C459" s="32">
        <v>0</v>
      </c>
      <c r="D459" s="32">
        <v>91218518.516397119</v>
      </c>
      <c r="E459" s="32">
        <v>138132917.56317133</v>
      </c>
      <c r="F459" s="32">
        <v>136620623.22983801</v>
      </c>
      <c r="G459" s="32">
        <v>136620623.22983801</v>
      </c>
      <c r="H459" s="32">
        <v>133487839.42591646</v>
      </c>
      <c r="I459" s="32">
        <v>133487839.42591646</v>
      </c>
      <c r="J459" s="32">
        <v>133487839.42591646</v>
      </c>
      <c r="K459" s="32">
        <v>133487839.42591646</v>
      </c>
      <c r="L459" s="32">
        <v>133487839.42591646</v>
      </c>
      <c r="M459" s="32">
        <v>133487839.42591646</v>
      </c>
      <c r="N459" s="32">
        <v>131323249.06219096</v>
      </c>
      <c r="O459" s="32">
        <v>131323249.06219096</v>
      </c>
      <c r="P459" s="32">
        <v>130364547.97689685</v>
      </c>
      <c r="Q459" s="32">
        <v>130364547.97689685</v>
      </c>
      <c r="R459" s="32">
        <v>134987648.20008743</v>
      </c>
      <c r="S459" s="32">
        <v>134987648.20008743</v>
      </c>
      <c r="T459" s="32">
        <v>134628800.42193615</v>
      </c>
      <c r="U459" s="32">
        <v>134628800.42193615</v>
      </c>
      <c r="V459" s="32">
        <v>134628800.42193615</v>
      </c>
      <c r="W459" s="32">
        <v>134628800.42193615</v>
      </c>
      <c r="X459" s="32">
        <v>134628800.42193615</v>
      </c>
      <c r="Y459" s="32">
        <v>134628800.42193615</v>
      </c>
      <c r="Z459" s="32">
        <v>134628800.42193615</v>
      </c>
      <c r="AA459" s="32">
        <v>134628800.42193615</v>
      </c>
      <c r="AB459" s="32">
        <v>134628800.42193615</v>
      </c>
      <c r="AC459" s="32">
        <v>134628800.42193615</v>
      </c>
      <c r="AD459" s="32">
        <v>134628800.42193615</v>
      </c>
      <c r="AE459" s="32">
        <v>134628800.42193615</v>
      </c>
      <c r="AF459" s="32">
        <v>134628800.42193615</v>
      </c>
      <c r="AG459"/>
      <c r="AH459" s="17" t="s">
        <v>279</v>
      </c>
    </row>
    <row r="460" spans="2:35" hidden="1" outlineLevel="1" x14ac:dyDescent="0.25">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c r="AH460"/>
    </row>
    <row r="461" spans="2:35" hidden="1" outlineLevel="1" x14ac:dyDescent="0.25">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c r="AH461"/>
    </row>
    <row r="462" spans="2:35" ht="17.25" hidden="1" outlineLevel="1" thickBot="1" x14ac:dyDescent="0.3">
      <c r="B462" s="26" t="s">
        <v>282</v>
      </c>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row>
    <row r="463" spans="2:35" ht="16.5" hidden="1" outlineLevel="1" thickTop="1" thickBot="1" x14ac:dyDescent="0.3">
      <c r="B463" s="28" t="s">
        <v>278</v>
      </c>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0"/>
      <c r="AH463" s="20" t="s">
        <v>15</v>
      </c>
    </row>
    <row r="464" spans="2:35" customFormat="1" hidden="1" outlineLevel="1" x14ac:dyDescent="0.25">
      <c r="B464" s="30"/>
      <c r="C464" s="17">
        <v>2025</v>
      </c>
      <c r="D464" s="44">
        <v>2026</v>
      </c>
      <c r="E464" s="44">
        <v>2027</v>
      </c>
      <c r="F464" s="44">
        <v>2028</v>
      </c>
      <c r="G464" s="44">
        <v>2029</v>
      </c>
      <c r="H464" s="44">
        <v>2030</v>
      </c>
      <c r="I464" s="44">
        <v>2031</v>
      </c>
      <c r="J464" s="44">
        <v>2032</v>
      </c>
      <c r="K464" s="44">
        <v>2033</v>
      </c>
      <c r="L464" s="44">
        <v>2034</v>
      </c>
      <c r="M464" s="44">
        <v>2035</v>
      </c>
      <c r="N464" s="44">
        <v>2036</v>
      </c>
      <c r="O464" s="44">
        <v>2037</v>
      </c>
      <c r="P464" s="44">
        <v>2038</v>
      </c>
      <c r="Q464" s="44">
        <v>2039</v>
      </c>
      <c r="R464" s="44">
        <v>2040</v>
      </c>
      <c r="S464" s="44">
        <v>2041</v>
      </c>
      <c r="T464" s="44">
        <v>2042</v>
      </c>
      <c r="U464" s="44">
        <v>2043</v>
      </c>
      <c r="V464" s="44">
        <v>2044</v>
      </c>
      <c r="W464" s="44">
        <v>2045</v>
      </c>
      <c r="X464" s="44">
        <v>2046</v>
      </c>
      <c r="Y464" s="44">
        <v>2047</v>
      </c>
      <c r="Z464" s="44">
        <v>2048</v>
      </c>
      <c r="AA464" s="44">
        <v>2049</v>
      </c>
      <c r="AB464" s="44">
        <v>2050</v>
      </c>
      <c r="AC464" s="44">
        <v>2051</v>
      </c>
      <c r="AD464" s="44">
        <v>2052</v>
      </c>
      <c r="AE464" s="44">
        <v>2053</v>
      </c>
      <c r="AF464" s="44">
        <v>2054</v>
      </c>
      <c r="AH464" s="1"/>
      <c r="AI464" s="1"/>
    </row>
    <row r="465" spans="2:34" hidden="1" outlineLevel="1" x14ac:dyDescent="0.25">
      <c r="B465" s="31" t="s">
        <v>144</v>
      </c>
      <c r="C465" s="32">
        <v>342242.65102078754</v>
      </c>
      <c r="D465" s="32">
        <v>0</v>
      </c>
      <c r="E465" s="32">
        <v>0</v>
      </c>
      <c r="F465" s="32">
        <v>0</v>
      </c>
      <c r="G465" s="32">
        <v>0</v>
      </c>
      <c r="H465" s="32">
        <v>0</v>
      </c>
      <c r="I465" s="32">
        <v>0</v>
      </c>
      <c r="J465" s="32">
        <v>0</v>
      </c>
      <c r="K465" s="32">
        <v>0</v>
      </c>
      <c r="L465" s="32">
        <v>0</v>
      </c>
      <c r="M465" s="32">
        <v>0</v>
      </c>
      <c r="N465" s="32">
        <v>0</v>
      </c>
      <c r="O465" s="32">
        <v>0</v>
      </c>
      <c r="P465" s="32">
        <v>0</v>
      </c>
      <c r="Q465" s="32">
        <v>0</v>
      </c>
      <c r="R465" s="32">
        <v>0</v>
      </c>
      <c r="S465" s="32">
        <v>0</v>
      </c>
      <c r="T465" s="32">
        <v>0</v>
      </c>
      <c r="U465" s="32">
        <v>0</v>
      </c>
      <c r="V465" s="32">
        <v>0</v>
      </c>
      <c r="W465" s="32">
        <v>0</v>
      </c>
      <c r="X465" s="32">
        <v>0</v>
      </c>
      <c r="Y465" s="32">
        <v>0</v>
      </c>
      <c r="Z465" s="32">
        <v>0</v>
      </c>
      <c r="AA465" s="32">
        <v>0</v>
      </c>
      <c r="AB465" s="32">
        <v>0</v>
      </c>
      <c r="AC465" s="32">
        <v>0</v>
      </c>
      <c r="AD465" s="32">
        <v>0</v>
      </c>
      <c r="AE465" s="32">
        <v>0</v>
      </c>
      <c r="AF465" s="32">
        <v>0</v>
      </c>
      <c r="AG465"/>
      <c r="AH465" s="17" t="s">
        <v>279</v>
      </c>
    </row>
    <row r="466" spans="2:34" customFormat="1" hidden="1" outlineLevel="1" x14ac:dyDescent="0.25">
      <c r="B466" s="31" t="s">
        <v>145</v>
      </c>
      <c r="C466" s="32">
        <v>98109.353104549853</v>
      </c>
      <c r="D466" s="32">
        <v>98109.353104549853</v>
      </c>
      <c r="E466" s="32">
        <v>0</v>
      </c>
      <c r="F466" s="32">
        <v>0</v>
      </c>
      <c r="G466" s="32">
        <v>0</v>
      </c>
      <c r="H466" s="32">
        <v>0</v>
      </c>
      <c r="I466" s="32">
        <v>0</v>
      </c>
      <c r="J466" s="32">
        <v>0</v>
      </c>
      <c r="K466" s="32">
        <v>0</v>
      </c>
      <c r="L466" s="32">
        <v>0</v>
      </c>
      <c r="M466" s="32">
        <v>0</v>
      </c>
      <c r="N466" s="32">
        <v>0</v>
      </c>
      <c r="O466" s="32">
        <v>0</v>
      </c>
      <c r="P466" s="32">
        <v>0</v>
      </c>
      <c r="Q466" s="32">
        <v>0</v>
      </c>
      <c r="R466" s="32">
        <v>0</v>
      </c>
      <c r="S466" s="32">
        <v>0</v>
      </c>
      <c r="T466" s="32">
        <v>0</v>
      </c>
      <c r="U466" s="32">
        <v>0</v>
      </c>
      <c r="V466" s="32">
        <v>0</v>
      </c>
      <c r="W466" s="32">
        <v>0</v>
      </c>
      <c r="X466" s="32">
        <v>0</v>
      </c>
      <c r="Y466" s="32">
        <v>0</v>
      </c>
      <c r="Z466" s="32">
        <v>0</v>
      </c>
      <c r="AA466" s="32">
        <v>0</v>
      </c>
      <c r="AB466" s="32">
        <v>0</v>
      </c>
      <c r="AC466" s="32">
        <v>0</v>
      </c>
      <c r="AD466" s="32">
        <v>0</v>
      </c>
      <c r="AE466" s="32">
        <v>0</v>
      </c>
      <c r="AF466" s="32">
        <v>0</v>
      </c>
      <c r="AH466" s="17" t="s">
        <v>279</v>
      </c>
    </row>
    <row r="467" spans="2:34" hidden="1" outlineLevel="1" x14ac:dyDescent="0.25">
      <c r="B467" s="31" t="s">
        <v>244</v>
      </c>
      <c r="C467" s="32">
        <v>249408.4642786741</v>
      </c>
      <c r="D467" s="32">
        <v>249408.4642786741</v>
      </c>
      <c r="E467" s="32">
        <v>0</v>
      </c>
      <c r="F467" s="32">
        <v>0</v>
      </c>
      <c r="G467" s="32">
        <v>0</v>
      </c>
      <c r="H467" s="32">
        <v>0</v>
      </c>
      <c r="I467" s="32">
        <v>0</v>
      </c>
      <c r="J467" s="32">
        <v>0</v>
      </c>
      <c r="K467" s="32">
        <v>0</v>
      </c>
      <c r="L467" s="32">
        <v>0</v>
      </c>
      <c r="M467" s="32">
        <v>0</v>
      </c>
      <c r="N467" s="32">
        <v>0</v>
      </c>
      <c r="O467" s="32">
        <v>0</v>
      </c>
      <c r="P467" s="32">
        <v>0</v>
      </c>
      <c r="Q467" s="32">
        <v>0</v>
      </c>
      <c r="R467" s="32">
        <v>0</v>
      </c>
      <c r="S467" s="32">
        <v>0</v>
      </c>
      <c r="T467" s="32">
        <v>0</v>
      </c>
      <c r="U467" s="32">
        <v>0</v>
      </c>
      <c r="V467" s="32">
        <v>0</v>
      </c>
      <c r="W467" s="32">
        <v>0</v>
      </c>
      <c r="X467" s="32">
        <v>0</v>
      </c>
      <c r="Y467" s="32">
        <v>0</v>
      </c>
      <c r="Z467" s="32">
        <v>0</v>
      </c>
      <c r="AA467" s="32">
        <v>0</v>
      </c>
      <c r="AB467" s="32">
        <v>0</v>
      </c>
      <c r="AC467" s="32">
        <v>0</v>
      </c>
      <c r="AD467" s="32">
        <v>0</v>
      </c>
      <c r="AE467" s="32">
        <v>0</v>
      </c>
      <c r="AF467" s="32">
        <v>0</v>
      </c>
      <c r="AG467"/>
      <c r="AH467" s="17" t="s">
        <v>279</v>
      </c>
    </row>
    <row r="468" spans="2:34" hidden="1" outlineLevel="1" x14ac:dyDescent="0.25">
      <c r="B468" s="31" t="s">
        <v>147</v>
      </c>
      <c r="C468" s="32">
        <v>0</v>
      </c>
      <c r="D468" s="32">
        <v>0</v>
      </c>
      <c r="E468" s="32">
        <v>0</v>
      </c>
      <c r="F468" s="32">
        <v>0</v>
      </c>
      <c r="G468" s="32">
        <v>0</v>
      </c>
      <c r="H468" s="32">
        <v>0</v>
      </c>
      <c r="I468" s="32">
        <v>0</v>
      </c>
      <c r="J468" s="32">
        <v>0</v>
      </c>
      <c r="K468" s="32">
        <v>0</v>
      </c>
      <c r="L468" s="32">
        <v>0</v>
      </c>
      <c r="M468" s="32">
        <v>0</v>
      </c>
      <c r="N468" s="32">
        <v>0</v>
      </c>
      <c r="O468" s="32">
        <v>0</v>
      </c>
      <c r="P468" s="32">
        <v>0</v>
      </c>
      <c r="Q468" s="32">
        <v>0</v>
      </c>
      <c r="R468" s="32">
        <v>0</v>
      </c>
      <c r="S468" s="32">
        <v>0</v>
      </c>
      <c r="T468" s="32">
        <v>0</v>
      </c>
      <c r="U468" s="32">
        <v>0</v>
      </c>
      <c r="V468" s="32">
        <v>0</v>
      </c>
      <c r="W468" s="32">
        <v>0</v>
      </c>
      <c r="X468" s="32">
        <v>0</v>
      </c>
      <c r="Y468" s="32">
        <v>0</v>
      </c>
      <c r="Z468" s="32">
        <v>0</v>
      </c>
      <c r="AA468" s="32">
        <v>0</v>
      </c>
      <c r="AB468" s="32">
        <v>0</v>
      </c>
      <c r="AC468" s="32">
        <v>0</v>
      </c>
      <c r="AD468" s="32">
        <v>0</v>
      </c>
      <c r="AE468" s="32">
        <v>0</v>
      </c>
      <c r="AF468" s="32">
        <v>0</v>
      </c>
      <c r="AG468"/>
      <c r="AH468" s="17" t="s">
        <v>279</v>
      </c>
    </row>
    <row r="469" spans="2:34" hidden="1" outlineLevel="1" x14ac:dyDescent="0.25">
      <c r="B469" s="31" t="s">
        <v>245</v>
      </c>
      <c r="C469" s="32">
        <v>15010.998282483361</v>
      </c>
      <c r="D469" s="32">
        <v>15010.998282483361</v>
      </c>
      <c r="E469" s="32">
        <v>0</v>
      </c>
      <c r="F469" s="32">
        <v>0</v>
      </c>
      <c r="G469" s="32">
        <v>0</v>
      </c>
      <c r="H469" s="32">
        <v>0</v>
      </c>
      <c r="I469" s="32">
        <v>0</v>
      </c>
      <c r="J469" s="32">
        <v>0</v>
      </c>
      <c r="K469" s="32">
        <v>0</v>
      </c>
      <c r="L469" s="32">
        <v>0</v>
      </c>
      <c r="M469" s="32">
        <v>0</v>
      </c>
      <c r="N469" s="32">
        <v>0</v>
      </c>
      <c r="O469" s="32">
        <v>0</v>
      </c>
      <c r="P469" s="32">
        <v>0</v>
      </c>
      <c r="Q469" s="32">
        <v>0</v>
      </c>
      <c r="R469" s="32">
        <v>0</v>
      </c>
      <c r="S469" s="32">
        <v>0</v>
      </c>
      <c r="T469" s="32">
        <v>0</v>
      </c>
      <c r="U469" s="32">
        <v>0</v>
      </c>
      <c r="V469" s="32">
        <v>0</v>
      </c>
      <c r="W469" s="32">
        <v>0</v>
      </c>
      <c r="X469" s="32">
        <v>0</v>
      </c>
      <c r="Y469" s="32">
        <v>0</v>
      </c>
      <c r="Z469" s="32">
        <v>0</v>
      </c>
      <c r="AA469" s="32">
        <v>0</v>
      </c>
      <c r="AB469" s="32">
        <v>0</v>
      </c>
      <c r="AC469" s="32">
        <v>0</v>
      </c>
      <c r="AD469" s="32">
        <v>0</v>
      </c>
      <c r="AE469" s="32">
        <v>0</v>
      </c>
      <c r="AF469" s="32">
        <v>0</v>
      </c>
      <c r="AG469"/>
      <c r="AH469" s="17" t="s">
        <v>279</v>
      </c>
    </row>
    <row r="470" spans="2:34" hidden="1" outlineLevel="1" x14ac:dyDescent="0.25">
      <c r="B470" s="31" t="s">
        <v>149</v>
      </c>
      <c r="C470" s="32">
        <v>704771.46668649488</v>
      </c>
      <c r="D470" s="32">
        <v>362528.81566570734</v>
      </c>
      <c r="E470" s="32">
        <v>0</v>
      </c>
      <c r="F470" s="32">
        <v>0</v>
      </c>
      <c r="G470" s="32">
        <v>0</v>
      </c>
      <c r="H470" s="32">
        <v>0</v>
      </c>
      <c r="I470" s="32">
        <v>0</v>
      </c>
      <c r="J470" s="32">
        <v>0</v>
      </c>
      <c r="K470" s="32">
        <v>0</v>
      </c>
      <c r="L470" s="32">
        <v>0</v>
      </c>
      <c r="M470" s="32">
        <v>0</v>
      </c>
      <c r="N470" s="32">
        <v>0</v>
      </c>
      <c r="O470" s="32">
        <v>0</v>
      </c>
      <c r="P470" s="32">
        <v>0</v>
      </c>
      <c r="Q470" s="32">
        <v>0</v>
      </c>
      <c r="R470" s="32">
        <v>0</v>
      </c>
      <c r="S470" s="32">
        <v>0</v>
      </c>
      <c r="T470" s="32">
        <v>0</v>
      </c>
      <c r="U470" s="32">
        <v>0</v>
      </c>
      <c r="V470" s="32">
        <v>0</v>
      </c>
      <c r="W470" s="32">
        <v>0</v>
      </c>
      <c r="X470" s="32">
        <v>0</v>
      </c>
      <c r="Y470" s="32">
        <v>0</v>
      </c>
      <c r="Z470" s="32">
        <v>0</v>
      </c>
      <c r="AA470" s="32">
        <v>0</v>
      </c>
      <c r="AB470" s="32">
        <v>0</v>
      </c>
      <c r="AC470" s="32">
        <v>0</v>
      </c>
      <c r="AD470" s="32">
        <v>0</v>
      </c>
      <c r="AE470" s="32">
        <v>0</v>
      </c>
      <c r="AF470" s="32">
        <v>0</v>
      </c>
      <c r="AG470"/>
      <c r="AH470" s="17" t="s">
        <v>279</v>
      </c>
    </row>
    <row r="471" spans="2:34" hidden="1" outlineLevel="1" x14ac:dyDescent="0.25">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row>
    <row r="472" spans="2:34" ht="15.75" hidden="1" outlineLevel="1" thickBot="1" x14ac:dyDescent="0.3">
      <c r="B472" s="28" t="s">
        <v>280</v>
      </c>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0"/>
      <c r="AH472" s="20" t="s">
        <v>15</v>
      </c>
    </row>
    <row r="473" spans="2:34" customFormat="1" hidden="1" outlineLevel="1" x14ac:dyDescent="0.25">
      <c r="B473" s="30"/>
      <c r="C473" s="17">
        <v>2025</v>
      </c>
      <c r="D473" s="44">
        <v>2026</v>
      </c>
      <c r="E473" s="44">
        <v>2027</v>
      </c>
      <c r="F473" s="44">
        <v>2028</v>
      </c>
      <c r="G473" s="44">
        <v>2029</v>
      </c>
      <c r="H473" s="44">
        <v>2030</v>
      </c>
      <c r="I473" s="44">
        <v>2031</v>
      </c>
      <c r="J473" s="44">
        <v>2032</v>
      </c>
      <c r="K473" s="44">
        <v>2033</v>
      </c>
      <c r="L473" s="44">
        <v>2034</v>
      </c>
      <c r="M473" s="44">
        <v>2035</v>
      </c>
      <c r="N473" s="44">
        <v>2036</v>
      </c>
      <c r="O473" s="44">
        <v>2037</v>
      </c>
      <c r="P473" s="44">
        <v>2038</v>
      </c>
      <c r="Q473" s="44">
        <v>2039</v>
      </c>
      <c r="R473" s="44">
        <v>2040</v>
      </c>
      <c r="S473" s="44">
        <v>2041</v>
      </c>
      <c r="T473" s="44">
        <v>2042</v>
      </c>
      <c r="U473" s="44">
        <v>2043</v>
      </c>
      <c r="V473" s="44">
        <v>2044</v>
      </c>
      <c r="W473" s="44">
        <v>2045</v>
      </c>
      <c r="X473" s="44">
        <v>2046</v>
      </c>
      <c r="Y473" s="44">
        <v>2047</v>
      </c>
      <c r="Z473" s="44">
        <v>2048</v>
      </c>
      <c r="AA473" s="44">
        <v>2049</v>
      </c>
      <c r="AB473" s="44">
        <v>2050</v>
      </c>
      <c r="AC473" s="44">
        <v>2051</v>
      </c>
      <c r="AD473" s="44">
        <v>2052</v>
      </c>
      <c r="AE473" s="44">
        <v>2053</v>
      </c>
      <c r="AF473" s="44">
        <v>2054</v>
      </c>
      <c r="AH473" s="1"/>
    </row>
    <row r="474" spans="2:34" hidden="1" outlineLevel="1" x14ac:dyDescent="0.25">
      <c r="B474" s="31" t="s">
        <v>144</v>
      </c>
      <c r="C474" s="32">
        <v>0</v>
      </c>
      <c r="D474" s="32">
        <v>342242.65102078754</v>
      </c>
      <c r="E474" s="32">
        <v>342242.65102078754</v>
      </c>
      <c r="F474" s="32">
        <v>305603.30209601083</v>
      </c>
      <c r="G474" s="32">
        <v>305603.30209601083</v>
      </c>
      <c r="H474" s="32">
        <v>301207.80852934415</v>
      </c>
      <c r="I474" s="32">
        <v>301207.80852934415</v>
      </c>
      <c r="J474" s="32">
        <v>291945.6620454957</v>
      </c>
      <c r="K474" s="32">
        <v>291945.6620454957</v>
      </c>
      <c r="L474" s="32">
        <v>291945.6620454957</v>
      </c>
      <c r="M474" s="32">
        <v>291945.6620454957</v>
      </c>
      <c r="N474" s="32">
        <v>291945.6620454957</v>
      </c>
      <c r="O474" s="32">
        <v>291945.6620454957</v>
      </c>
      <c r="P474" s="32">
        <v>291945.6620454957</v>
      </c>
      <c r="Q474" s="32">
        <v>291945.6620454957</v>
      </c>
      <c r="R474" s="32">
        <v>291945.6620454957</v>
      </c>
      <c r="S474" s="32">
        <v>291945.6620454957</v>
      </c>
      <c r="T474" s="32">
        <v>291945.6620454957</v>
      </c>
      <c r="U474" s="32">
        <v>291945.6620454957</v>
      </c>
      <c r="V474" s="32">
        <v>291945.6620454957</v>
      </c>
      <c r="W474" s="32">
        <v>291945.6620454957</v>
      </c>
      <c r="X474" s="32">
        <v>291945.6620454957</v>
      </c>
      <c r="Y474" s="32">
        <v>291945.6620454957</v>
      </c>
      <c r="Z474" s="32">
        <v>291945.6620454957</v>
      </c>
      <c r="AA474" s="32">
        <v>291945.6620454957</v>
      </c>
      <c r="AB474" s="32">
        <v>291945.6620454957</v>
      </c>
      <c r="AC474" s="32">
        <v>291945.6620454957</v>
      </c>
      <c r="AD474" s="32">
        <v>291945.6620454957</v>
      </c>
      <c r="AE474" s="32">
        <v>291945.6620454957</v>
      </c>
      <c r="AF474" s="32">
        <v>291945.6620454957</v>
      </c>
      <c r="AG474"/>
      <c r="AH474" s="17" t="s">
        <v>279</v>
      </c>
    </row>
    <row r="475" spans="2:34" hidden="1" outlineLevel="1" x14ac:dyDescent="0.25">
      <c r="B475" s="31" t="s">
        <v>145</v>
      </c>
      <c r="C475" s="32">
        <v>0</v>
      </c>
      <c r="D475" s="32">
        <v>0</v>
      </c>
      <c r="E475" s="32">
        <v>98109.353104549853</v>
      </c>
      <c r="F475" s="32">
        <v>98109.353104549853</v>
      </c>
      <c r="G475" s="32">
        <v>98109.353104549853</v>
      </c>
      <c r="H475" s="32">
        <v>98109.353104549853</v>
      </c>
      <c r="I475" s="32">
        <v>98109.353104549853</v>
      </c>
      <c r="J475" s="32">
        <v>98109.353104549853</v>
      </c>
      <c r="K475" s="32">
        <v>98109.353104549853</v>
      </c>
      <c r="L475" s="32">
        <v>87477.430959262143</v>
      </c>
      <c r="M475" s="32">
        <v>87477.430959262143</v>
      </c>
      <c r="N475" s="32">
        <v>87477.430959262143</v>
      </c>
      <c r="O475" s="32">
        <v>87477.430959262143</v>
      </c>
      <c r="P475" s="32">
        <v>87287.517599226805</v>
      </c>
      <c r="Q475" s="32">
        <v>87287.517599226805</v>
      </c>
      <c r="R475" s="32">
        <v>86872.013217632499</v>
      </c>
      <c r="S475" s="32">
        <v>86872.013217632499</v>
      </c>
      <c r="T475" s="32">
        <v>85195.012122318236</v>
      </c>
      <c r="U475" s="32">
        <v>85195.012122318236</v>
      </c>
      <c r="V475" s="32">
        <v>85195.012122318236</v>
      </c>
      <c r="W475" s="32">
        <v>85195.012122318236</v>
      </c>
      <c r="X475" s="32">
        <v>85195.012122318236</v>
      </c>
      <c r="Y475" s="32">
        <v>85195.012122318236</v>
      </c>
      <c r="Z475" s="32">
        <v>85195.012122318236</v>
      </c>
      <c r="AA475" s="32">
        <v>85195.012122318236</v>
      </c>
      <c r="AB475" s="32">
        <v>83077.009532805183</v>
      </c>
      <c r="AC475" s="32">
        <v>83077.009532805183</v>
      </c>
      <c r="AD475" s="32">
        <v>83077.009532805183</v>
      </c>
      <c r="AE475" s="32">
        <v>83077.009532805183</v>
      </c>
      <c r="AF475" s="32">
        <v>83077.009532805183</v>
      </c>
      <c r="AG475"/>
      <c r="AH475" s="17" t="s">
        <v>279</v>
      </c>
    </row>
    <row r="476" spans="2:34" hidden="1" outlineLevel="1" x14ac:dyDescent="0.25">
      <c r="B476" s="31" t="s">
        <v>244</v>
      </c>
      <c r="C476" s="32">
        <v>0</v>
      </c>
      <c r="D476" s="32">
        <v>0</v>
      </c>
      <c r="E476" s="32">
        <v>249408.4642786741</v>
      </c>
      <c r="F476" s="32">
        <v>271089.76978868787</v>
      </c>
      <c r="G476" s="32">
        <v>271089.76978868787</v>
      </c>
      <c r="H476" s="32">
        <v>264563.44007260934</v>
      </c>
      <c r="I476" s="32">
        <v>264563.44007260934</v>
      </c>
      <c r="J476" s="32">
        <v>241469.52476634944</v>
      </c>
      <c r="K476" s="32">
        <v>241469.52476634944</v>
      </c>
      <c r="L476" s="32">
        <v>241469.52476634944</v>
      </c>
      <c r="M476" s="32">
        <v>241469.52476634944</v>
      </c>
      <c r="N476" s="32">
        <v>228160.89031826754</v>
      </c>
      <c r="O476" s="32">
        <v>228160.89031826754</v>
      </c>
      <c r="P476" s="32">
        <v>225094.6559789071</v>
      </c>
      <c r="Q476" s="32">
        <v>225094.6559789071</v>
      </c>
      <c r="R476" s="32">
        <v>231209.69947117515</v>
      </c>
      <c r="S476" s="32">
        <v>231209.69947117515</v>
      </c>
      <c r="T476" s="32">
        <v>231209.69947117515</v>
      </c>
      <c r="U476" s="32">
        <v>231209.69947117515</v>
      </c>
      <c r="V476" s="32">
        <v>229096.82281032932</v>
      </c>
      <c r="W476" s="32">
        <v>229096.82281032932</v>
      </c>
      <c r="X476" s="32">
        <v>229096.82281032932</v>
      </c>
      <c r="Y476" s="32">
        <v>229096.82281032932</v>
      </c>
      <c r="Z476" s="32">
        <v>229096.82281032932</v>
      </c>
      <c r="AA476" s="32">
        <v>229096.82281032932</v>
      </c>
      <c r="AB476" s="32">
        <v>229096.82281032932</v>
      </c>
      <c r="AC476" s="32">
        <v>229096.82281032932</v>
      </c>
      <c r="AD476" s="32">
        <v>229096.82281032932</v>
      </c>
      <c r="AE476" s="32">
        <v>229096.82281032932</v>
      </c>
      <c r="AF476" s="32">
        <v>229096.82281032932</v>
      </c>
      <c r="AG476"/>
      <c r="AH476" s="17" t="s">
        <v>279</v>
      </c>
    </row>
    <row r="477" spans="2:34" hidden="1" outlineLevel="1" x14ac:dyDescent="0.25">
      <c r="B477" s="31" t="s">
        <v>147</v>
      </c>
      <c r="C477" s="32">
        <v>0</v>
      </c>
      <c r="D477" s="32">
        <v>0</v>
      </c>
      <c r="E477" s="32">
        <v>0</v>
      </c>
      <c r="F477" s="32">
        <v>0</v>
      </c>
      <c r="G477" s="32">
        <v>0</v>
      </c>
      <c r="H477" s="32">
        <v>0</v>
      </c>
      <c r="I477" s="32">
        <v>0</v>
      </c>
      <c r="J477" s="32">
        <v>0</v>
      </c>
      <c r="K477" s="32">
        <v>0</v>
      </c>
      <c r="L477" s="32">
        <v>0</v>
      </c>
      <c r="M477" s="32">
        <v>0</v>
      </c>
      <c r="N477" s="32">
        <v>0</v>
      </c>
      <c r="O477" s="32">
        <v>0</v>
      </c>
      <c r="P477" s="32">
        <v>0</v>
      </c>
      <c r="Q477" s="32">
        <v>0</v>
      </c>
      <c r="R477" s="32">
        <v>0</v>
      </c>
      <c r="S477" s="32">
        <v>0</v>
      </c>
      <c r="T477" s="32">
        <v>0</v>
      </c>
      <c r="U477" s="32">
        <v>0</v>
      </c>
      <c r="V477" s="32">
        <v>0</v>
      </c>
      <c r="W477" s="32">
        <v>0</v>
      </c>
      <c r="X477" s="32">
        <v>0</v>
      </c>
      <c r="Y477" s="32">
        <v>0</v>
      </c>
      <c r="Z477" s="32">
        <v>0</v>
      </c>
      <c r="AA477" s="32">
        <v>0</v>
      </c>
      <c r="AB477" s="32">
        <v>0</v>
      </c>
      <c r="AC477" s="32">
        <v>0</v>
      </c>
      <c r="AD477" s="32">
        <v>0</v>
      </c>
      <c r="AE477" s="32">
        <v>0</v>
      </c>
      <c r="AF477" s="32">
        <v>0</v>
      </c>
      <c r="AG477"/>
      <c r="AH477" s="17" t="s">
        <v>279</v>
      </c>
    </row>
    <row r="478" spans="2:34" hidden="1" outlineLevel="1" x14ac:dyDescent="0.25">
      <c r="B478" s="31" t="s">
        <v>245</v>
      </c>
      <c r="C478" s="32">
        <v>0</v>
      </c>
      <c r="D478" s="32">
        <v>0</v>
      </c>
      <c r="E478" s="32">
        <v>15010.998282483361</v>
      </c>
      <c r="F478" s="32">
        <v>15010.998282483361</v>
      </c>
      <c r="G478" s="32">
        <v>15010.998282483361</v>
      </c>
      <c r="H478" s="32">
        <v>15010.998282483361</v>
      </c>
      <c r="I478" s="32">
        <v>15010.998282483361</v>
      </c>
      <c r="J478" s="32">
        <v>15010.998282483361</v>
      </c>
      <c r="K478" s="32">
        <v>15010.998282483361</v>
      </c>
      <c r="L478" s="32">
        <v>15010.998282483361</v>
      </c>
      <c r="M478" s="32">
        <v>15010.998282483361</v>
      </c>
      <c r="N478" s="32">
        <v>13436.692112233934</v>
      </c>
      <c r="O478" s="32">
        <v>13436.692112233934</v>
      </c>
      <c r="P478" s="32">
        <v>13436.692112233934</v>
      </c>
      <c r="Q478" s="32">
        <v>13436.692112233934</v>
      </c>
      <c r="R478" s="32">
        <v>51778.373813264858</v>
      </c>
      <c r="S478" s="32">
        <v>51778.373813264858</v>
      </c>
      <c r="T478" s="32">
        <v>51778.373813264858</v>
      </c>
      <c r="U478" s="32">
        <v>51778.373813264858</v>
      </c>
      <c r="V478" s="32">
        <v>51778.373813264858</v>
      </c>
      <c r="W478" s="32">
        <v>51778.373813264858</v>
      </c>
      <c r="X478" s="32">
        <v>51778.373813264858</v>
      </c>
      <c r="Y478" s="32">
        <v>51778.373813264858</v>
      </c>
      <c r="Z478" s="32">
        <v>51778.373813264858</v>
      </c>
      <c r="AA478" s="32">
        <v>51778.373813264858</v>
      </c>
      <c r="AB478" s="32">
        <v>51778.373813264858</v>
      </c>
      <c r="AC478" s="32">
        <v>51778.373813264858</v>
      </c>
      <c r="AD478" s="32">
        <v>51778.373813264858</v>
      </c>
      <c r="AE478" s="32">
        <v>51778.373813264858</v>
      </c>
      <c r="AF478" s="32">
        <v>51778.373813264858</v>
      </c>
      <c r="AG478"/>
      <c r="AH478" s="17" t="s">
        <v>279</v>
      </c>
    </row>
    <row r="479" spans="2:34" hidden="1" outlineLevel="1" x14ac:dyDescent="0.25">
      <c r="B479" s="31" t="s">
        <v>149</v>
      </c>
      <c r="C479" s="32">
        <v>0</v>
      </c>
      <c r="D479" s="32">
        <v>342242.65102078754</v>
      </c>
      <c r="E479" s="32">
        <v>704771.46668649488</v>
      </c>
      <c r="F479" s="32">
        <v>689813.42327173194</v>
      </c>
      <c r="G479" s="32">
        <v>689813.42327173194</v>
      </c>
      <c r="H479" s="32">
        <v>678891.59998898674</v>
      </c>
      <c r="I479" s="32">
        <v>678891.59998898674</v>
      </c>
      <c r="J479" s="32">
        <v>646535.53819887829</v>
      </c>
      <c r="K479" s="32">
        <v>646535.53819887829</v>
      </c>
      <c r="L479" s="32">
        <v>635903.61605359055</v>
      </c>
      <c r="M479" s="32">
        <v>635903.61605359055</v>
      </c>
      <c r="N479" s="32">
        <v>621020.67543525936</v>
      </c>
      <c r="O479" s="32">
        <v>621020.67543525936</v>
      </c>
      <c r="P479" s="32">
        <v>617764.52773586358</v>
      </c>
      <c r="Q479" s="32">
        <v>617764.52773586358</v>
      </c>
      <c r="R479" s="32">
        <v>661805.74854756822</v>
      </c>
      <c r="S479" s="32">
        <v>661805.74854756822</v>
      </c>
      <c r="T479" s="32">
        <v>660128.74745225406</v>
      </c>
      <c r="U479" s="32">
        <v>660128.74745225406</v>
      </c>
      <c r="V479" s="32">
        <v>658015.87079140812</v>
      </c>
      <c r="W479" s="32">
        <v>658015.87079140812</v>
      </c>
      <c r="X479" s="32">
        <v>658015.87079140812</v>
      </c>
      <c r="Y479" s="32">
        <v>658015.87079140812</v>
      </c>
      <c r="Z479" s="32">
        <v>658015.87079140812</v>
      </c>
      <c r="AA479" s="32">
        <v>658015.87079140812</v>
      </c>
      <c r="AB479" s="32">
        <v>655897.86820189503</v>
      </c>
      <c r="AC479" s="32">
        <v>655897.86820189503</v>
      </c>
      <c r="AD479" s="32">
        <v>655897.86820189503</v>
      </c>
      <c r="AE479" s="32">
        <v>655897.86820189503</v>
      </c>
      <c r="AF479" s="32">
        <v>655897.86820189503</v>
      </c>
      <c r="AG479"/>
      <c r="AH479" s="17" t="s">
        <v>279</v>
      </c>
    </row>
    <row r="480" spans="2:34" hidden="1" outlineLevel="1" x14ac:dyDescent="0.25">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row>
    <row r="481" spans="2:34" hidden="1" outlineLevel="1" x14ac:dyDescent="0.25">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row>
    <row r="482" spans="2:34" ht="17.25" hidden="1" outlineLevel="1" thickBot="1" x14ac:dyDescent="0.3">
      <c r="B482" s="26" t="s">
        <v>283</v>
      </c>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row>
    <row r="483" spans="2:34" ht="16.5" hidden="1" outlineLevel="1" thickTop="1" thickBot="1" x14ac:dyDescent="0.3">
      <c r="B483" s="28" t="s">
        <v>278</v>
      </c>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0"/>
      <c r="AH483" s="20" t="s">
        <v>15</v>
      </c>
    </row>
    <row r="484" spans="2:34" customFormat="1" hidden="1" outlineLevel="1" x14ac:dyDescent="0.25">
      <c r="B484" s="30"/>
      <c r="C484" s="17">
        <v>2025</v>
      </c>
      <c r="D484" s="44">
        <v>2026</v>
      </c>
      <c r="E484" s="44">
        <v>2027</v>
      </c>
      <c r="F484" s="44">
        <v>2028</v>
      </c>
      <c r="G484" s="44">
        <v>2029</v>
      </c>
      <c r="H484" s="44">
        <v>2030</v>
      </c>
      <c r="I484" s="44">
        <v>2031</v>
      </c>
      <c r="J484" s="44">
        <v>2032</v>
      </c>
      <c r="K484" s="44">
        <v>2033</v>
      </c>
      <c r="L484" s="44">
        <v>2034</v>
      </c>
      <c r="M484" s="44">
        <v>2035</v>
      </c>
      <c r="N484" s="44">
        <v>2036</v>
      </c>
      <c r="O484" s="44">
        <v>2037</v>
      </c>
      <c r="P484" s="44">
        <v>2038</v>
      </c>
      <c r="Q484" s="44">
        <v>2039</v>
      </c>
      <c r="R484" s="44">
        <v>2040</v>
      </c>
      <c r="S484" s="44">
        <v>2041</v>
      </c>
      <c r="T484" s="44">
        <v>2042</v>
      </c>
      <c r="U484" s="44">
        <v>2043</v>
      </c>
      <c r="V484" s="44">
        <v>2044</v>
      </c>
      <c r="W484" s="44">
        <v>2045</v>
      </c>
      <c r="X484" s="44">
        <v>2046</v>
      </c>
      <c r="Y484" s="44">
        <v>2047</v>
      </c>
      <c r="Z484" s="44">
        <v>2048</v>
      </c>
      <c r="AA484" s="44">
        <v>2049</v>
      </c>
      <c r="AB484" s="44">
        <v>2050</v>
      </c>
      <c r="AC484" s="44">
        <v>2051</v>
      </c>
      <c r="AD484" s="44">
        <v>2052</v>
      </c>
      <c r="AE484" s="44">
        <v>2053</v>
      </c>
      <c r="AF484" s="44">
        <v>2054</v>
      </c>
      <c r="AH484" s="1"/>
    </row>
    <row r="485" spans="2:34" hidden="1" outlineLevel="1" x14ac:dyDescent="0.25">
      <c r="B485" s="31" t="s">
        <v>144</v>
      </c>
      <c r="C485" s="32">
        <v>8678140.1263548788</v>
      </c>
      <c r="D485" s="32">
        <v>0</v>
      </c>
      <c r="E485" s="32">
        <v>0</v>
      </c>
      <c r="F485" s="32">
        <v>0</v>
      </c>
      <c r="G485" s="32">
        <v>0</v>
      </c>
      <c r="H485" s="32">
        <v>0</v>
      </c>
      <c r="I485" s="32">
        <v>0</v>
      </c>
      <c r="J485" s="32">
        <v>0</v>
      </c>
      <c r="K485" s="32">
        <v>0</v>
      </c>
      <c r="L485" s="32">
        <v>0</v>
      </c>
      <c r="M485" s="32">
        <v>0</v>
      </c>
      <c r="N485" s="32">
        <v>0</v>
      </c>
      <c r="O485" s="32">
        <v>0</v>
      </c>
      <c r="P485" s="32">
        <v>0</v>
      </c>
      <c r="Q485" s="32">
        <v>0</v>
      </c>
      <c r="R485" s="32">
        <v>0</v>
      </c>
      <c r="S485" s="32">
        <v>0</v>
      </c>
      <c r="T485" s="32">
        <v>0</v>
      </c>
      <c r="U485" s="32">
        <v>0</v>
      </c>
      <c r="V485" s="32">
        <v>0</v>
      </c>
      <c r="W485" s="32">
        <v>0</v>
      </c>
      <c r="X485" s="32">
        <v>0</v>
      </c>
      <c r="Y485" s="32">
        <v>0</v>
      </c>
      <c r="Z485" s="32">
        <v>0</v>
      </c>
      <c r="AA485" s="32">
        <v>0</v>
      </c>
      <c r="AB485" s="32">
        <v>0</v>
      </c>
      <c r="AC485" s="32">
        <v>0</v>
      </c>
      <c r="AD485" s="32">
        <v>0</v>
      </c>
      <c r="AE485" s="32">
        <v>0</v>
      </c>
      <c r="AF485" s="32">
        <v>0</v>
      </c>
      <c r="AG485"/>
      <c r="AH485" s="17" t="s">
        <v>279</v>
      </c>
    </row>
    <row r="486" spans="2:34" hidden="1" outlineLevel="1" x14ac:dyDescent="0.25">
      <c r="B486" s="31" t="s">
        <v>145</v>
      </c>
      <c r="C486" s="32">
        <v>3544817.3883669907</v>
      </c>
      <c r="D486" s="32">
        <v>7148037.0083669899</v>
      </c>
      <c r="E486" s="32">
        <v>0</v>
      </c>
      <c r="F486" s="32">
        <v>0</v>
      </c>
      <c r="G486" s="32">
        <v>0</v>
      </c>
      <c r="H486" s="32">
        <v>0</v>
      </c>
      <c r="I486" s="32">
        <v>0</v>
      </c>
      <c r="J486" s="32">
        <v>0</v>
      </c>
      <c r="K486" s="32">
        <v>0</v>
      </c>
      <c r="L486" s="32">
        <v>0</v>
      </c>
      <c r="M486" s="32">
        <v>0</v>
      </c>
      <c r="N486" s="32">
        <v>0</v>
      </c>
      <c r="O486" s="32">
        <v>0</v>
      </c>
      <c r="P486" s="32">
        <v>0</v>
      </c>
      <c r="Q486" s="32">
        <v>0</v>
      </c>
      <c r="R486" s="32">
        <v>0</v>
      </c>
      <c r="S486" s="32">
        <v>0</v>
      </c>
      <c r="T486" s="32">
        <v>0</v>
      </c>
      <c r="U486" s="32">
        <v>0</v>
      </c>
      <c r="V486" s="32">
        <v>0</v>
      </c>
      <c r="W486" s="32">
        <v>0</v>
      </c>
      <c r="X486" s="32">
        <v>0</v>
      </c>
      <c r="Y486" s="32">
        <v>0</v>
      </c>
      <c r="Z486" s="32">
        <v>0</v>
      </c>
      <c r="AA486" s="32">
        <v>0</v>
      </c>
      <c r="AB486" s="32">
        <v>0</v>
      </c>
      <c r="AC486" s="32">
        <v>0</v>
      </c>
      <c r="AD486" s="32">
        <v>0</v>
      </c>
      <c r="AE486" s="32">
        <v>0</v>
      </c>
      <c r="AF486" s="32">
        <v>0</v>
      </c>
      <c r="AG486"/>
      <c r="AH486" s="17" t="s">
        <v>279</v>
      </c>
    </row>
    <row r="487" spans="2:34" hidden="1" outlineLevel="1" x14ac:dyDescent="0.25">
      <c r="B487" s="31" t="s">
        <v>244</v>
      </c>
      <c r="C487" s="32">
        <v>10424562.72955735</v>
      </c>
      <c r="D487" s="32">
        <v>10424562.72955735</v>
      </c>
      <c r="E487" s="32">
        <v>0</v>
      </c>
      <c r="F487" s="32">
        <v>0</v>
      </c>
      <c r="G487" s="32">
        <v>0</v>
      </c>
      <c r="H487" s="32">
        <v>0</v>
      </c>
      <c r="I487" s="32">
        <v>0</v>
      </c>
      <c r="J487" s="32">
        <v>0</v>
      </c>
      <c r="K487" s="32">
        <v>0</v>
      </c>
      <c r="L487" s="32">
        <v>0</v>
      </c>
      <c r="M487" s="32">
        <v>0</v>
      </c>
      <c r="N487" s="32">
        <v>0</v>
      </c>
      <c r="O487" s="32">
        <v>0</v>
      </c>
      <c r="P487" s="32">
        <v>0</v>
      </c>
      <c r="Q487" s="32">
        <v>0</v>
      </c>
      <c r="R487" s="32">
        <v>0</v>
      </c>
      <c r="S487" s="32">
        <v>0</v>
      </c>
      <c r="T487" s="32">
        <v>0</v>
      </c>
      <c r="U487" s="32">
        <v>0</v>
      </c>
      <c r="V487" s="32">
        <v>0</v>
      </c>
      <c r="W487" s="32">
        <v>0</v>
      </c>
      <c r="X487" s="32">
        <v>0</v>
      </c>
      <c r="Y487" s="32">
        <v>0</v>
      </c>
      <c r="Z487" s="32">
        <v>0</v>
      </c>
      <c r="AA487" s="32">
        <v>0</v>
      </c>
      <c r="AB487" s="32">
        <v>0</v>
      </c>
      <c r="AC487" s="32">
        <v>0</v>
      </c>
      <c r="AD487" s="32">
        <v>0</v>
      </c>
      <c r="AE487" s="32">
        <v>0</v>
      </c>
      <c r="AF487" s="32">
        <v>0</v>
      </c>
      <c r="AG487"/>
      <c r="AH487" s="17" t="s">
        <v>279</v>
      </c>
    </row>
    <row r="488" spans="2:34" hidden="1" outlineLevel="1" x14ac:dyDescent="0.25">
      <c r="B488" s="31" t="s">
        <v>147</v>
      </c>
      <c r="C488" s="32">
        <v>0</v>
      </c>
      <c r="D488" s="32">
        <v>0</v>
      </c>
      <c r="E488" s="32">
        <v>0</v>
      </c>
      <c r="F488" s="32">
        <v>0</v>
      </c>
      <c r="G488" s="32">
        <v>0</v>
      </c>
      <c r="H488" s="32">
        <v>0</v>
      </c>
      <c r="I488" s="32">
        <v>0</v>
      </c>
      <c r="J488" s="32">
        <v>0</v>
      </c>
      <c r="K488" s="32">
        <v>0</v>
      </c>
      <c r="L488" s="32">
        <v>0</v>
      </c>
      <c r="M488" s="32">
        <v>0</v>
      </c>
      <c r="N488" s="32">
        <v>0</v>
      </c>
      <c r="O488" s="32">
        <v>0</v>
      </c>
      <c r="P488" s="32">
        <v>0</v>
      </c>
      <c r="Q488" s="32">
        <v>0</v>
      </c>
      <c r="R488" s="32">
        <v>0</v>
      </c>
      <c r="S488" s="32">
        <v>0</v>
      </c>
      <c r="T488" s="32">
        <v>0</v>
      </c>
      <c r="U488" s="32">
        <v>0</v>
      </c>
      <c r="V488" s="32">
        <v>0</v>
      </c>
      <c r="W488" s="32">
        <v>0</v>
      </c>
      <c r="X488" s="32">
        <v>0</v>
      </c>
      <c r="Y488" s="32">
        <v>0</v>
      </c>
      <c r="Z488" s="32">
        <v>0</v>
      </c>
      <c r="AA488" s="32">
        <v>0</v>
      </c>
      <c r="AB488" s="32">
        <v>0</v>
      </c>
      <c r="AC488" s="32">
        <v>0</v>
      </c>
      <c r="AD488" s="32">
        <v>0</v>
      </c>
      <c r="AE488" s="32">
        <v>0</v>
      </c>
      <c r="AF488" s="32">
        <v>0</v>
      </c>
      <c r="AG488"/>
      <c r="AH488" s="17" t="s">
        <v>279</v>
      </c>
    </row>
    <row r="489" spans="2:34" hidden="1" outlineLevel="1" x14ac:dyDescent="0.25">
      <c r="B489" s="31" t="s">
        <v>245</v>
      </c>
      <c r="C489" s="32">
        <v>1207501.7119999998</v>
      </c>
      <c r="D489" s="32">
        <v>1207501.7119999998</v>
      </c>
      <c r="E489" s="32">
        <v>0</v>
      </c>
      <c r="F489" s="32">
        <v>0</v>
      </c>
      <c r="G489" s="32">
        <v>0</v>
      </c>
      <c r="H489" s="32">
        <v>0</v>
      </c>
      <c r="I489" s="32">
        <v>0</v>
      </c>
      <c r="J489" s="32">
        <v>0</v>
      </c>
      <c r="K489" s="32">
        <v>0</v>
      </c>
      <c r="L489" s="32">
        <v>0</v>
      </c>
      <c r="M489" s="32">
        <v>0</v>
      </c>
      <c r="N489" s="32">
        <v>0</v>
      </c>
      <c r="O489" s="32">
        <v>0</v>
      </c>
      <c r="P489" s="32">
        <v>0</v>
      </c>
      <c r="Q489" s="32">
        <v>0</v>
      </c>
      <c r="R489" s="32">
        <v>0</v>
      </c>
      <c r="S489" s="32">
        <v>0</v>
      </c>
      <c r="T489" s="32">
        <v>0</v>
      </c>
      <c r="U489" s="32">
        <v>0</v>
      </c>
      <c r="V489" s="32">
        <v>0</v>
      </c>
      <c r="W489" s="32">
        <v>0</v>
      </c>
      <c r="X489" s="32">
        <v>0</v>
      </c>
      <c r="Y489" s="32">
        <v>0</v>
      </c>
      <c r="Z489" s="32">
        <v>0</v>
      </c>
      <c r="AA489" s="32">
        <v>0</v>
      </c>
      <c r="AB489" s="32">
        <v>0</v>
      </c>
      <c r="AC489" s="32">
        <v>0</v>
      </c>
      <c r="AD489" s="32">
        <v>0</v>
      </c>
      <c r="AE489" s="32">
        <v>0</v>
      </c>
      <c r="AF489" s="32">
        <v>0</v>
      </c>
      <c r="AG489"/>
      <c r="AH489" s="17" t="s">
        <v>279</v>
      </c>
    </row>
    <row r="490" spans="2:34" hidden="1" outlineLevel="1" x14ac:dyDescent="0.25">
      <c r="B490" s="31" t="s">
        <v>149</v>
      </c>
      <c r="C490" s="32">
        <v>23855021.956279222</v>
      </c>
      <c r="D490" s="32">
        <v>18780101.449924342</v>
      </c>
      <c r="E490" s="32">
        <v>0</v>
      </c>
      <c r="F490" s="32">
        <v>0</v>
      </c>
      <c r="G490" s="32">
        <v>0</v>
      </c>
      <c r="H490" s="32">
        <v>0</v>
      </c>
      <c r="I490" s="32">
        <v>0</v>
      </c>
      <c r="J490" s="32">
        <v>0</v>
      </c>
      <c r="K490" s="32">
        <v>0</v>
      </c>
      <c r="L490" s="32">
        <v>0</v>
      </c>
      <c r="M490" s="32">
        <v>0</v>
      </c>
      <c r="N490" s="32">
        <v>0</v>
      </c>
      <c r="O490" s="32">
        <v>0</v>
      </c>
      <c r="P490" s="32">
        <v>0</v>
      </c>
      <c r="Q490" s="32">
        <v>0</v>
      </c>
      <c r="R490" s="32">
        <v>0</v>
      </c>
      <c r="S490" s="32">
        <v>0</v>
      </c>
      <c r="T490" s="32">
        <v>0</v>
      </c>
      <c r="U490" s="32">
        <v>0</v>
      </c>
      <c r="V490" s="32">
        <v>0</v>
      </c>
      <c r="W490" s="32">
        <v>0</v>
      </c>
      <c r="X490" s="32">
        <v>0</v>
      </c>
      <c r="Y490" s="32">
        <v>0</v>
      </c>
      <c r="Z490" s="32">
        <v>0</v>
      </c>
      <c r="AA490" s="32">
        <v>0</v>
      </c>
      <c r="AB490" s="32">
        <v>0</v>
      </c>
      <c r="AC490" s="32">
        <v>0</v>
      </c>
      <c r="AD490" s="32">
        <v>0</v>
      </c>
      <c r="AE490" s="32">
        <v>0</v>
      </c>
      <c r="AF490" s="32">
        <v>0</v>
      </c>
      <c r="AG490"/>
      <c r="AH490" s="17" t="s">
        <v>279</v>
      </c>
    </row>
    <row r="491" spans="2:34" hidden="1" outlineLevel="1" x14ac:dyDescent="0.25">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row>
    <row r="492" spans="2:34" ht="15.75" hidden="1" outlineLevel="1" thickBot="1" x14ac:dyDescent="0.3">
      <c r="B492" s="28" t="s">
        <v>280</v>
      </c>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0"/>
      <c r="AH492" s="20" t="s">
        <v>15</v>
      </c>
    </row>
    <row r="493" spans="2:34" customFormat="1" hidden="1" outlineLevel="1" x14ac:dyDescent="0.25">
      <c r="B493" s="30"/>
      <c r="C493" s="17">
        <v>2025</v>
      </c>
      <c r="D493" s="44">
        <v>2026</v>
      </c>
      <c r="E493" s="44">
        <v>2027</v>
      </c>
      <c r="F493" s="44">
        <v>2028</v>
      </c>
      <c r="G493" s="44">
        <v>2029</v>
      </c>
      <c r="H493" s="44">
        <v>2030</v>
      </c>
      <c r="I493" s="44">
        <v>2031</v>
      </c>
      <c r="J493" s="44">
        <v>2032</v>
      </c>
      <c r="K493" s="44">
        <v>2033</v>
      </c>
      <c r="L493" s="44">
        <v>2034</v>
      </c>
      <c r="M493" s="44">
        <v>2035</v>
      </c>
      <c r="N493" s="44">
        <v>2036</v>
      </c>
      <c r="O493" s="44">
        <v>2037</v>
      </c>
      <c r="P493" s="44">
        <v>2038</v>
      </c>
      <c r="Q493" s="44">
        <v>2039</v>
      </c>
      <c r="R493" s="44">
        <v>2040</v>
      </c>
      <c r="S493" s="44">
        <v>2041</v>
      </c>
      <c r="T493" s="44">
        <v>2042</v>
      </c>
      <c r="U493" s="44">
        <v>2043</v>
      </c>
      <c r="V493" s="44">
        <v>2044</v>
      </c>
      <c r="W493" s="44">
        <v>2045</v>
      </c>
      <c r="X493" s="44">
        <v>2046</v>
      </c>
      <c r="Y493" s="44">
        <v>2047</v>
      </c>
      <c r="Z493" s="44">
        <v>2048</v>
      </c>
      <c r="AA493" s="44">
        <v>2049</v>
      </c>
      <c r="AB493" s="44">
        <v>2050</v>
      </c>
      <c r="AC493" s="44">
        <v>2051</v>
      </c>
      <c r="AD493" s="44">
        <v>2052</v>
      </c>
      <c r="AE493" s="44">
        <v>2053</v>
      </c>
      <c r="AF493" s="44">
        <v>2054</v>
      </c>
      <c r="AH493" s="1"/>
    </row>
    <row r="494" spans="2:34" hidden="1" outlineLevel="1" x14ac:dyDescent="0.25">
      <c r="B494" s="31" t="s">
        <v>144</v>
      </c>
      <c r="C494" s="32">
        <v>0</v>
      </c>
      <c r="D494" s="32">
        <v>8678140.1263548788</v>
      </c>
      <c r="E494" s="32">
        <v>8678140.1263548788</v>
      </c>
      <c r="F494" s="32">
        <v>8237611.3694371348</v>
      </c>
      <c r="G494" s="32">
        <v>8237611.3694371348</v>
      </c>
      <c r="H494" s="32">
        <v>9012734.2894371357</v>
      </c>
      <c r="I494" s="32">
        <v>9012734.2894371357</v>
      </c>
      <c r="J494" s="32">
        <v>8552617.6962371375</v>
      </c>
      <c r="K494" s="32">
        <v>8552617.6962371375</v>
      </c>
      <c r="L494" s="32">
        <v>9180639.3762371354</v>
      </c>
      <c r="M494" s="32">
        <v>9180639.3762371354</v>
      </c>
      <c r="N494" s="32">
        <v>9180639.3762371354</v>
      </c>
      <c r="O494" s="32">
        <v>9180639.3762371354</v>
      </c>
      <c r="P494" s="32">
        <v>9180639.3762371354</v>
      </c>
      <c r="Q494" s="32">
        <v>9180639.3762371354</v>
      </c>
      <c r="R494" s="32">
        <v>9180639.3762371354</v>
      </c>
      <c r="S494" s="32">
        <v>9180639.3762371354</v>
      </c>
      <c r="T494" s="32">
        <v>9180639.3762371354</v>
      </c>
      <c r="U494" s="32">
        <v>9180639.3762371354</v>
      </c>
      <c r="V494" s="32">
        <v>9180639.3762371354</v>
      </c>
      <c r="W494" s="32">
        <v>9180639.3762371354</v>
      </c>
      <c r="X494" s="32">
        <v>9180639.3762371354</v>
      </c>
      <c r="Y494" s="32">
        <v>9180639.3762371354</v>
      </c>
      <c r="Z494" s="32">
        <v>9180639.3762371354</v>
      </c>
      <c r="AA494" s="32">
        <v>9180639.3762371354</v>
      </c>
      <c r="AB494" s="32">
        <v>9180639.3762371354</v>
      </c>
      <c r="AC494" s="32">
        <v>9180639.3762371354</v>
      </c>
      <c r="AD494" s="32">
        <v>9180639.3762371354</v>
      </c>
      <c r="AE494" s="32">
        <v>9180639.3762371354</v>
      </c>
      <c r="AF494" s="32">
        <v>9180639.3762371354</v>
      </c>
      <c r="AG494"/>
      <c r="AH494" s="17" t="s">
        <v>279</v>
      </c>
    </row>
    <row r="495" spans="2:34" hidden="1" outlineLevel="1" x14ac:dyDescent="0.25">
      <c r="B495" s="31" t="s">
        <v>145</v>
      </c>
      <c r="C495" s="32">
        <v>0</v>
      </c>
      <c r="D495" s="32">
        <v>0</v>
      </c>
      <c r="E495" s="32">
        <v>7148037.0083669899</v>
      </c>
      <c r="F495" s="32">
        <v>7148037.0083669899</v>
      </c>
      <c r="G495" s="32">
        <v>7148037.0083669899</v>
      </c>
      <c r="H495" s="32">
        <v>7234294.6083669895</v>
      </c>
      <c r="I495" s="32">
        <v>7234294.6083669895</v>
      </c>
      <c r="J495" s="32">
        <v>7234294.6083669895</v>
      </c>
      <c r="K495" s="32">
        <v>7234294.6083669895</v>
      </c>
      <c r="L495" s="32">
        <v>7082106.2166567408</v>
      </c>
      <c r="M495" s="32">
        <v>7082106.2166567408</v>
      </c>
      <c r="N495" s="32">
        <v>7082106.2166567408</v>
      </c>
      <c r="O495" s="32">
        <v>7082106.2166567408</v>
      </c>
      <c r="P495" s="32">
        <v>7070995.9866567403</v>
      </c>
      <c r="Q495" s="32">
        <v>7070995.9866567403</v>
      </c>
      <c r="R495" s="32">
        <v>7414629.3906567395</v>
      </c>
      <c r="S495" s="32">
        <v>7414629.3906567395</v>
      </c>
      <c r="T495" s="32">
        <v>7414629.3906567395</v>
      </c>
      <c r="U495" s="32">
        <v>7414629.3906567395</v>
      </c>
      <c r="V495" s="32">
        <v>7414629.3906567395</v>
      </c>
      <c r="W495" s="32">
        <v>7414629.3906567395</v>
      </c>
      <c r="X495" s="32">
        <v>7414629.3906567395</v>
      </c>
      <c r="Y495" s="32">
        <v>7414629.3906567395</v>
      </c>
      <c r="Z495" s="32">
        <v>7414629.3906567395</v>
      </c>
      <c r="AA495" s="32">
        <v>7414629.3906567395</v>
      </c>
      <c r="AB495" s="32">
        <v>7275034.2137464946</v>
      </c>
      <c r="AC495" s="32">
        <v>7275034.2137464946</v>
      </c>
      <c r="AD495" s="32">
        <v>7275034.2137464946</v>
      </c>
      <c r="AE495" s="32">
        <v>7275034.2137464946</v>
      </c>
      <c r="AF495" s="32">
        <v>7275034.2137464946</v>
      </c>
      <c r="AG495"/>
      <c r="AH495" s="17" t="s">
        <v>279</v>
      </c>
    </row>
    <row r="496" spans="2:34" hidden="1" outlineLevel="1" x14ac:dyDescent="0.25">
      <c r="B496" s="31" t="s">
        <v>244</v>
      </c>
      <c r="C496" s="32">
        <v>0</v>
      </c>
      <c r="D496" s="32">
        <v>0</v>
      </c>
      <c r="E496" s="32">
        <v>10424562.72955735</v>
      </c>
      <c r="F496" s="32">
        <v>14928448.609557347</v>
      </c>
      <c r="G496" s="32">
        <v>14928448.609557347</v>
      </c>
      <c r="H496" s="32">
        <v>16003705.267622186</v>
      </c>
      <c r="I496" s="32">
        <v>16003705.267622186</v>
      </c>
      <c r="J496" s="32">
        <v>15247954.784394085</v>
      </c>
      <c r="K496" s="32">
        <v>15247954.784394085</v>
      </c>
      <c r="L496" s="32">
        <v>15247954.784394085</v>
      </c>
      <c r="M496" s="32">
        <v>15247954.784394085</v>
      </c>
      <c r="N496" s="32">
        <v>15033617.237543011</v>
      </c>
      <c r="O496" s="32">
        <v>15033617.237543011</v>
      </c>
      <c r="P496" s="32">
        <v>14997195.012872687</v>
      </c>
      <c r="Q496" s="32">
        <v>14997195.012872687</v>
      </c>
      <c r="R496" s="32">
        <v>15766985.012872687</v>
      </c>
      <c r="S496" s="32">
        <v>15766985.012872687</v>
      </c>
      <c r="T496" s="32">
        <v>15766985.012872687</v>
      </c>
      <c r="U496" s="32">
        <v>15766985.012872687</v>
      </c>
      <c r="V496" s="32">
        <v>15661982.603749251</v>
      </c>
      <c r="W496" s="32">
        <v>15661982.603749251</v>
      </c>
      <c r="X496" s="32">
        <v>15661982.603749251</v>
      </c>
      <c r="Y496" s="32">
        <v>15661982.603749251</v>
      </c>
      <c r="Z496" s="32">
        <v>15661982.603749251</v>
      </c>
      <c r="AA496" s="32">
        <v>15661982.603749251</v>
      </c>
      <c r="AB496" s="32">
        <v>15661982.603749251</v>
      </c>
      <c r="AC496" s="32">
        <v>15661982.603749251</v>
      </c>
      <c r="AD496" s="32">
        <v>15661982.603749251</v>
      </c>
      <c r="AE496" s="32">
        <v>15661982.603749251</v>
      </c>
      <c r="AF496" s="32">
        <v>15661982.603749251</v>
      </c>
      <c r="AG496"/>
      <c r="AH496" s="17" t="s">
        <v>279</v>
      </c>
    </row>
    <row r="497" spans="2:35" hidden="1" outlineLevel="1" x14ac:dyDescent="0.25">
      <c r="B497" s="31" t="s">
        <v>147</v>
      </c>
      <c r="C497" s="32">
        <v>0</v>
      </c>
      <c r="D497" s="32">
        <v>0</v>
      </c>
      <c r="E497" s="32">
        <v>0</v>
      </c>
      <c r="F497" s="32">
        <v>0</v>
      </c>
      <c r="G497" s="32">
        <v>0</v>
      </c>
      <c r="H497" s="32">
        <v>0</v>
      </c>
      <c r="I497" s="32">
        <v>0</v>
      </c>
      <c r="J497" s="32">
        <v>0</v>
      </c>
      <c r="K497" s="32">
        <v>0</v>
      </c>
      <c r="L497" s="32">
        <v>0</v>
      </c>
      <c r="M497" s="32">
        <v>0</v>
      </c>
      <c r="N497" s="32">
        <v>0</v>
      </c>
      <c r="O497" s="32">
        <v>0</v>
      </c>
      <c r="P497" s="32">
        <v>0</v>
      </c>
      <c r="Q497" s="32">
        <v>0</v>
      </c>
      <c r="R497" s="32">
        <v>0</v>
      </c>
      <c r="S497" s="32">
        <v>0</v>
      </c>
      <c r="T497" s="32">
        <v>0</v>
      </c>
      <c r="U497" s="32">
        <v>0</v>
      </c>
      <c r="V497" s="32">
        <v>0</v>
      </c>
      <c r="W497" s="32">
        <v>0</v>
      </c>
      <c r="X497" s="32">
        <v>0</v>
      </c>
      <c r="Y497" s="32">
        <v>0</v>
      </c>
      <c r="Z497" s="32">
        <v>0</v>
      </c>
      <c r="AA497" s="32">
        <v>0</v>
      </c>
      <c r="AB497" s="32">
        <v>0</v>
      </c>
      <c r="AC497" s="32">
        <v>0</v>
      </c>
      <c r="AD497" s="32">
        <v>0</v>
      </c>
      <c r="AE497" s="32">
        <v>0</v>
      </c>
      <c r="AF497" s="32">
        <v>0</v>
      </c>
      <c r="AG497"/>
      <c r="AH497" s="17" t="s">
        <v>279</v>
      </c>
    </row>
    <row r="498" spans="2:35" hidden="1" outlineLevel="1" x14ac:dyDescent="0.25">
      <c r="B498" s="31" t="s">
        <v>245</v>
      </c>
      <c r="C498" s="32">
        <v>0</v>
      </c>
      <c r="D498" s="32">
        <v>0</v>
      </c>
      <c r="E498" s="32">
        <v>1207501.7119999998</v>
      </c>
      <c r="F498" s="32">
        <v>1207501.7119999998</v>
      </c>
      <c r="G498" s="32">
        <v>1207501.7119999998</v>
      </c>
      <c r="H498" s="32">
        <v>3455696.2320000003</v>
      </c>
      <c r="I498" s="32">
        <v>3455696.2320000003</v>
      </c>
      <c r="J498" s="32">
        <v>3455696.2320000003</v>
      </c>
      <c r="K498" s="32">
        <v>3455696.2320000003</v>
      </c>
      <c r="L498" s="32">
        <v>3455696.2320000003</v>
      </c>
      <c r="M498" s="32">
        <v>3455696.2320000003</v>
      </c>
      <c r="N498" s="32">
        <v>3395321.1464</v>
      </c>
      <c r="O498" s="32">
        <v>3395321.1464</v>
      </c>
      <c r="P498" s="32">
        <v>3395321.1464</v>
      </c>
      <c r="Q498" s="32">
        <v>3395321.1464</v>
      </c>
      <c r="R498" s="32">
        <v>8011631.8983999994</v>
      </c>
      <c r="S498" s="32">
        <v>8011631.8983999994</v>
      </c>
      <c r="T498" s="32">
        <v>8011631.8983999994</v>
      </c>
      <c r="U498" s="32">
        <v>8011631.8983999994</v>
      </c>
      <c r="V498" s="32">
        <v>8011631.8983999994</v>
      </c>
      <c r="W498" s="32">
        <v>8011631.8983999994</v>
      </c>
      <c r="X498" s="32">
        <v>8011631.8983999994</v>
      </c>
      <c r="Y498" s="32">
        <v>8011631.8983999994</v>
      </c>
      <c r="Z498" s="32">
        <v>8011631.8983999994</v>
      </c>
      <c r="AA498" s="32">
        <v>8011631.8983999994</v>
      </c>
      <c r="AB498" s="32">
        <v>8011631.8983999994</v>
      </c>
      <c r="AC498" s="32">
        <v>8011631.8983999994</v>
      </c>
      <c r="AD498" s="32">
        <v>8011631.8983999994</v>
      </c>
      <c r="AE498" s="32">
        <v>8011631.8983999994</v>
      </c>
      <c r="AF498" s="32">
        <v>8011631.8983999994</v>
      </c>
      <c r="AG498"/>
      <c r="AH498" s="17" t="s">
        <v>279</v>
      </c>
    </row>
    <row r="499" spans="2:35" hidden="1" outlineLevel="1" x14ac:dyDescent="0.25">
      <c r="B499" s="31" t="s">
        <v>149</v>
      </c>
      <c r="C499" s="32">
        <v>0</v>
      </c>
      <c r="D499" s="32">
        <v>8678140.1263548788</v>
      </c>
      <c r="E499" s="32">
        <v>27458241.576279219</v>
      </c>
      <c r="F499" s="32">
        <v>31521598.699361473</v>
      </c>
      <c r="G499" s="32">
        <v>31521598.699361473</v>
      </c>
      <c r="H499" s="32">
        <v>35706430.397426315</v>
      </c>
      <c r="I499" s="32">
        <v>35706430.397426315</v>
      </c>
      <c r="J499" s="32">
        <v>34490563.320998214</v>
      </c>
      <c r="K499" s="32">
        <v>34490563.320998214</v>
      </c>
      <c r="L499" s="32">
        <v>34966396.609287962</v>
      </c>
      <c r="M499" s="32">
        <v>34966396.609287962</v>
      </c>
      <c r="N499" s="32">
        <v>34691683.976836883</v>
      </c>
      <c r="O499" s="32">
        <v>34691683.976836883</v>
      </c>
      <c r="P499" s="32">
        <v>34644151.522166558</v>
      </c>
      <c r="Q499" s="32">
        <v>34644151.522166558</v>
      </c>
      <c r="R499" s="32">
        <v>40373885.678166561</v>
      </c>
      <c r="S499" s="32">
        <v>40373885.678166561</v>
      </c>
      <c r="T499" s="32">
        <v>40373885.678166561</v>
      </c>
      <c r="U499" s="32">
        <v>40373885.678166561</v>
      </c>
      <c r="V499" s="32">
        <v>40268883.269043125</v>
      </c>
      <c r="W499" s="32">
        <v>40268883.269043125</v>
      </c>
      <c r="X499" s="32">
        <v>40268883.269043125</v>
      </c>
      <c r="Y499" s="32">
        <v>40268883.269043125</v>
      </c>
      <c r="Z499" s="32">
        <v>40268883.269043125</v>
      </c>
      <c r="AA499" s="32">
        <v>40268883.269043125</v>
      </c>
      <c r="AB499" s="32">
        <v>40129288.092132881</v>
      </c>
      <c r="AC499" s="32">
        <v>40129288.092132881</v>
      </c>
      <c r="AD499" s="32">
        <v>40129288.092132881</v>
      </c>
      <c r="AE499" s="32">
        <v>40129288.092132881</v>
      </c>
      <c r="AF499" s="32">
        <v>40129288.092132881</v>
      </c>
      <c r="AG499"/>
      <c r="AH499" s="17" t="s">
        <v>279</v>
      </c>
    </row>
    <row r="500" spans="2:35" hidden="1" outlineLevel="1" x14ac:dyDescent="0.25"/>
    <row r="501" spans="2:35" hidden="1" outlineLevel="1" x14ac:dyDescent="0.25"/>
    <row r="502" spans="2:35" ht="15.75" collapsed="1" thickTop="1" x14ac:dyDescent="0.25"/>
    <row r="503" spans="2:35" ht="20.25" thickBot="1" x14ac:dyDescent="0.35">
      <c r="B503" s="18" t="s">
        <v>289</v>
      </c>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row>
    <row r="504" spans="2:35" ht="18" hidden="1" outlineLevel="1" thickTop="1" thickBot="1" x14ac:dyDescent="0.3">
      <c r="B504" s="26" t="s">
        <v>277</v>
      </c>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19"/>
      <c r="AH504" s="19"/>
    </row>
    <row r="505" spans="2:35" ht="16.5" hidden="1" outlineLevel="1" thickTop="1" thickBot="1" x14ac:dyDescent="0.3">
      <c r="B505" s="28" t="s">
        <v>278</v>
      </c>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0"/>
      <c r="AH505" s="20" t="s">
        <v>15</v>
      </c>
    </row>
    <row r="506" spans="2:35" customFormat="1" hidden="1" outlineLevel="1" x14ac:dyDescent="0.25">
      <c r="B506" s="30"/>
      <c r="C506" s="17">
        <v>2025</v>
      </c>
      <c r="D506" s="44">
        <v>2026</v>
      </c>
      <c r="E506" s="44">
        <v>2027</v>
      </c>
      <c r="F506" s="44">
        <v>2028</v>
      </c>
      <c r="G506" s="44">
        <v>2029</v>
      </c>
      <c r="H506" s="44">
        <v>2030</v>
      </c>
      <c r="I506" s="44">
        <v>2031</v>
      </c>
      <c r="J506" s="44">
        <v>2032</v>
      </c>
      <c r="K506" s="44">
        <v>2033</v>
      </c>
      <c r="L506" s="44">
        <v>2034</v>
      </c>
      <c r="M506" s="44">
        <v>2035</v>
      </c>
      <c r="N506" s="44">
        <v>2036</v>
      </c>
      <c r="O506" s="44">
        <v>2037</v>
      </c>
      <c r="P506" s="44">
        <v>2038</v>
      </c>
      <c r="Q506" s="44">
        <v>2039</v>
      </c>
      <c r="R506" s="44">
        <v>2040</v>
      </c>
      <c r="S506" s="44">
        <v>2041</v>
      </c>
      <c r="T506" s="44">
        <v>2042</v>
      </c>
      <c r="U506" s="44">
        <v>2043</v>
      </c>
      <c r="V506" s="44">
        <v>2044</v>
      </c>
      <c r="W506" s="44">
        <v>2045</v>
      </c>
      <c r="X506" s="44">
        <v>2046</v>
      </c>
      <c r="Y506" s="44">
        <v>2047</v>
      </c>
      <c r="Z506" s="44">
        <v>2048</v>
      </c>
      <c r="AA506" s="44">
        <v>2049</v>
      </c>
      <c r="AB506" s="44">
        <v>2050</v>
      </c>
      <c r="AC506" s="44">
        <v>2051</v>
      </c>
      <c r="AD506" s="44">
        <v>2052</v>
      </c>
      <c r="AE506" s="44">
        <v>2053</v>
      </c>
      <c r="AF506" s="44">
        <v>2054</v>
      </c>
    </row>
    <row r="507" spans="2:35" hidden="1" outlineLevel="1" x14ac:dyDescent="0.25">
      <c r="B507" s="31" t="s">
        <v>144</v>
      </c>
      <c r="C507" s="32">
        <v>41100367.759866863</v>
      </c>
      <c r="D507" s="32">
        <v>41100367.759866863</v>
      </c>
      <c r="E507" s="32">
        <v>41100367.759866863</v>
      </c>
      <c r="F507" s="32">
        <v>0</v>
      </c>
      <c r="G507" s="32">
        <v>0</v>
      </c>
      <c r="H507" s="32">
        <v>0</v>
      </c>
      <c r="I507" s="32">
        <v>0</v>
      </c>
      <c r="J507" s="32">
        <v>0</v>
      </c>
      <c r="K507" s="32">
        <v>0</v>
      </c>
      <c r="L507" s="32">
        <v>0</v>
      </c>
      <c r="M507" s="32">
        <v>0</v>
      </c>
      <c r="N507" s="32">
        <v>0</v>
      </c>
      <c r="O507" s="32">
        <v>0</v>
      </c>
      <c r="P507" s="32">
        <v>0</v>
      </c>
      <c r="Q507" s="32">
        <v>0</v>
      </c>
      <c r="R507" s="32">
        <v>0</v>
      </c>
      <c r="S507" s="32">
        <v>0</v>
      </c>
      <c r="T507" s="32">
        <v>0</v>
      </c>
      <c r="U507" s="32">
        <v>0</v>
      </c>
      <c r="V507" s="32">
        <v>0</v>
      </c>
      <c r="W507" s="32">
        <v>0</v>
      </c>
      <c r="X507" s="32">
        <v>0</v>
      </c>
      <c r="Y507" s="32">
        <v>0</v>
      </c>
      <c r="Z507" s="32">
        <v>0</v>
      </c>
      <c r="AA507" s="32">
        <v>0</v>
      </c>
      <c r="AB507" s="32">
        <v>0</v>
      </c>
      <c r="AC507" s="32">
        <v>0</v>
      </c>
      <c r="AD507" s="32">
        <v>0</v>
      </c>
      <c r="AE507" s="32">
        <v>0</v>
      </c>
      <c r="AF507" s="32">
        <v>0</v>
      </c>
      <c r="AG507"/>
      <c r="AH507" s="17" t="s">
        <v>279</v>
      </c>
    </row>
    <row r="508" spans="2:35" hidden="1" outlineLevel="1" x14ac:dyDescent="0.25">
      <c r="B508" s="31" t="s">
        <v>145</v>
      </c>
      <c r="C508" s="32">
        <v>15277743.907373067</v>
      </c>
      <c r="D508" s="32">
        <v>15770486.74488374</v>
      </c>
      <c r="E508" s="32">
        <v>15770486.74488374</v>
      </c>
      <c r="F508" s="32">
        <v>0</v>
      </c>
      <c r="G508" s="32">
        <v>0</v>
      </c>
      <c r="H508" s="32">
        <v>0</v>
      </c>
      <c r="I508" s="32">
        <v>0</v>
      </c>
      <c r="J508" s="32">
        <v>0</v>
      </c>
      <c r="K508" s="32">
        <v>0</v>
      </c>
      <c r="L508" s="32">
        <v>0</v>
      </c>
      <c r="M508" s="32">
        <v>0</v>
      </c>
      <c r="N508" s="32">
        <v>0</v>
      </c>
      <c r="O508" s="32">
        <v>0</v>
      </c>
      <c r="P508" s="32">
        <v>0</v>
      </c>
      <c r="Q508" s="32">
        <v>0</v>
      </c>
      <c r="R508" s="32">
        <v>0</v>
      </c>
      <c r="S508" s="32">
        <v>0</v>
      </c>
      <c r="T508" s="32">
        <v>0</v>
      </c>
      <c r="U508" s="32">
        <v>0</v>
      </c>
      <c r="V508" s="32">
        <v>0</v>
      </c>
      <c r="W508" s="32">
        <v>0</v>
      </c>
      <c r="X508" s="32">
        <v>0</v>
      </c>
      <c r="Y508" s="32">
        <v>0</v>
      </c>
      <c r="Z508" s="32">
        <v>0</v>
      </c>
      <c r="AA508" s="32">
        <v>0</v>
      </c>
      <c r="AB508" s="32">
        <v>0</v>
      </c>
      <c r="AC508" s="32">
        <v>0</v>
      </c>
      <c r="AD508" s="32">
        <v>0</v>
      </c>
      <c r="AE508" s="32">
        <v>0</v>
      </c>
      <c r="AF508" s="32">
        <v>0</v>
      </c>
      <c r="AG508"/>
      <c r="AH508" s="17" t="s">
        <v>279</v>
      </c>
    </row>
    <row r="509" spans="2:35" hidden="1" outlineLevel="1" x14ac:dyDescent="0.25">
      <c r="B509" s="31" t="s">
        <v>244</v>
      </c>
      <c r="C509" s="32">
        <v>74467327.643795222</v>
      </c>
      <c r="D509" s="32">
        <v>74467327.643795222</v>
      </c>
      <c r="E509" s="32">
        <v>0</v>
      </c>
      <c r="F509" s="32">
        <v>0</v>
      </c>
      <c r="G509" s="32">
        <v>0</v>
      </c>
      <c r="H509" s="32">
        <v>0</v>
      </c>
      <c r="I509" s="32">
        <v>0</v>
      </c>
      <c r="J509" s="32">
        <v>0</v>
      </c>
      <c r="K509" s="32">
        <v>0</v>
      </c>
      <c r="L509" s="32">
        <v>0</v>
      </c>
      <c r="M509" s="32">
        <v>0</v>
      </c>
      <c r="N509" s="32">
        <v>0</v>
      </c>
      <c r="O509" s="32">
        <v>0</v>
      </c>
      <c r="P509" s="32">
        <v>0</v>
      </c>
      <c r="Q509" s="32">
        <v>0</v>
      </c>
      <c r="R509" s="32">
        <v>0</v>
      </c>
      <c r="S509" s="32">
        <v>0</v>
      </c>
      <c r="T509" s="32">
        <v>0</v>
      </c>
      <c r="U509" s="32">
        <v>0</v>
      </c>
      <c r="V509" s="32">
        <v>0</v>
      </c>
      <c r="W509" s="32">
        <v>0</v>
      </c>
      <c r="X509" s="32">
        <v>0</v>
      </c>
      <c r="Y509" s="32">
        <v>0</v>
      </c>
      <c r="Z509" s="32">
        <v>0</v>
      </c>
      <c r="AA509" s="32">
        <v>0</v>
      </c>
      <c r="AB509" s="32">
        <v>0</v>
      </c>
      <c r="AC509" s="32">
        <v>0</v>
      </c>
      <c r="AD509" s="32">
        <v>0</v>
      </c>
      <c r="AE509" s="32">
        <v>0</v>
      </c>
      <c r="AF509" s="32">
        <v>0</v>
      </c>
      <c r="AG509"/>
      <c r="AH509" s="17" t="s">
        <v>279</v>
      </c>
    </row>
    <row r="510" spans="2:35" hidden="1" outlineLevel="1" x14ac:dyDescent="0.25">
      <c r="B510" s="31" t="s">
        <v>147</v>
      </c>
      <c r="C510" s="32">
        <v>0</v>
      </c>
      <c r="D510" s="32">
        <v>0</v>
      </c>
      <c r="E510" s="32">
        <v>0</v>
      </c>
      <c r="F510" s="32">
        <v>0</v>
      </c>
      <c r="G510" s="32">
        <v>0</v>
      </c>
      <c r="H510" s="32">
        <v>0</v>
      </c>
      <c r="I510" s="32">
        <v>0</v>
      </c>
      <c r="J510" s="32">
        <v>0</v>
      </c>
      <c r="K510" s="32">
        <v>0</v>
      </c>
      <c r="L510" s="32">
        <v>0</v>
      </c>
      <c r="M510" s="32">
        <v>0</v>
      </c>
      <c r="N510" s="32">
        <v>0</v>
      </c>
      <c r="O510" s="32">
        <v>0</v>
      </c>
      <c r="P510" s="32">
        <v>0</v>
      </c>
      <c r="Q510" s="32">
        <v>0</v>
      </c>
      <c r="R510" s="32">
        <v>0</v>
      </c>
      <c r="S510" s="32">
        <v>0</v>
      </c>
      <c r="T510" s="32">
        <v>0</v>
      </c>
      <c r="U510" s="32">
        <v>0</v>
      </c>
      <c r="V510" s="32">
        <v>0</v>
      </c>
      <c r="W510" s="32">
        <v>0</v>
      </c>
      <c r="X510" s="32">
        <v>0</v>
      </c>
      <c r="Y510" s="32">
        <v>0</v>
      </c>
      <c r="Z510" s="32">
        <v>0</v>
      </c>
      <c r="AA510" s="32">
        <v>0</v>
      </c>
      <c r="AB510" s="32">
        <v>0</v>
      </c>
      <c r="AC510" s="32">
        <v>0</v>
      </c>
      <c r="AD510" s="32">
        <v>0</v>
      </c>
      <c r="AE510" s="32">
        <v>0</v>
      </c>
      <c r="AF510" s="32">
        <v>0</v>
      </c>
      <c r="AG510"/>
      <c r="AH510" s="17" t="s">
        <v>279</v>
      </c>
    </row>
    <row r="511" spans="2:35" hidden="1" outlineLevel="1" x14ac:dyDescent="0.25">
      <c r="B511" s="31" t="s">
        <v>245</v>
      </c>
      <c r="C511" s="32">
        <v>5531260.8599999994</v>
      </c>
      <c r="D511" s="32">
        <v>5531260.8599999994</v>
      </c>
      <c r="E511" s="32">
        <v>5531260.8599999994</v>
      </c>
      <c r="F511" s="32">
        <v>0</v>
      </c>
      <c r="G511" s="32">
        <v>0</v>
      </c>
      <c r="H511" s="32">
        <v>0</v>
      </c>
      <c r="I511" s="32">
        <v>0</v>
      </c>
      <c r="J511" s="32">
        <v>0</v>
      </c>
      <c r="K511" s="32">
        <v>0</v>
      </c>
      <c r="L511" s="32">
        <v>0</v>
      </c>
      <c r="M511" s="32">
        <v>0</v>
      </c>
      <c r="N511" s="32">
        <v>0</v>
      </c>
      <c r="O511" s="32">
        <v>0</v>
      </c>
      <c r="P511" s="32">
        <v>0</v>
      </c>
      <c r="Q511" s="32">
        <v>0</v>
      </c>
      <c r="R511" s="32">
        <v>0</v>
      </c>
      <c r="S511" s="32">
        <v>0</v>
      </c>
      <c r="T511" s="32">
        <v>0</v>
      </c>
      <c r="U511" s="32">
        <v>0</v>
      </c>
      <c r="V511" s="32">
        <v>0</v>
      </c>
      <c r="W511" s="32">
        <v>0</v>
      </c>
      <c r="X511" s="32">
        <v>0</v>
      </c>
      <c r="Y511" s="32">
        <v>0</v>
      </c>
      <c r="Z511" s="32">
        <v>0</v>
      </c>
      <c r="AA511" s="32">
        <v>0</v>
      </c>
      <c r="AB511" s="32">
        <v>0</v>
      </c>
      <c r="AC511" s="32">
        <v>0</v>
      </c>
      <c r="AD511" s="32">
        <v>0</v>
      </c>
      <c r="AE511" s="32">
        <v>0</v>
      </c>
      <c r="AF511" s="32">
        <v>0</v>
      </c>
      <c r="AG511"/>
      <c r="AH511" s="17" t="s">
        <v>279</v>
      </c>
    </row>
    <row r="512" spans="2:35" hidden="1" outlineLevel="1" x14ac:dyDescent="0.25">
      <c r="B512" s="31" t="s">
        <v>149</v>
      </c>
      <c r="C512" s="32">
        <v>136376700.17103517</v>
      </c>
      <c r="D512" s="32">
        <v>136869443.00854582</v>
      </c>
      <c r="E512" s="32">
        <v>62402115.364750601</v>
      </c>
      <c r="F512" s="32">
        <v>0</v>
      </c>
      <c r="G512" s="32">
        <v>0</v>
      </c>
      <c r="H512" s="32">
        <v>0</v>
      </c>
      <c r="I512" s="32">
        <v>0</v>
      </c>
      <c r="J512" s="32">
        <v>0</v>
      </c>
      <c r="K512" s="32">
        <v>0</v>
      </c>
      <c r="L512" s="32">
        <v>0</v>
      </c>
      <c r="M512" s="32">
        <v>0</v>
      </c>
      <c r="N512" s="32">
        <v>0</v>
      </c>
      <c r="O512" s="32">
        <v>0</v>
      </c>
      <c r="P512" s="32">
        <v>0</v>
      </c>
      <c r="Q512" s="32">
        <v>0</v>
      </c>
      <c r="R512" s="32">
        <v>0</v>
      </c>
      <c r="S512" s="32">
        <v>0</v>
      </c>
      <c r="T512" s="32">
        <v>0</v>
      </c>
      <c r="U512" s="32">
        <v>0</v>
      </c>
      <c r="V512" s="32">
        <v>0</v>
      </c>
      <c r="W512" s="32">
        <v>0</v>
      </c>
      <c r="X512" s="32">
        <v>0</v>
      </c>
      <c r="Y512" s="32">
        <v>0</v>
      </c>
      <c r="Z512" s="32">
        <v>0</v>
      </c>
      <c r="AA512" s="32">
        <v>0</v>
      </c>
      <c r="AB512" s="32">
        <v>0</v>
      </c>
      <c r="AC512" s="32">
        <v>0</v>
      </c>
      <c r="AD512" s="32">
        <v>0</v>
      </c>
      <c r="AE512" s="32">
        <v>0</v>
      </c>
      <c r="AF512" s="32">
        <v>0</v>
      </c>
      <c r="AG512"/>
      <c r="AH512" s="17" t="s">
        <v>279</v>
      </c>
      <c r="AI512"/>
    </row>
    <row r="513" spans="2:35" hidden="1" outlineLevel="1" x14ac:dyDescent="0.25">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c r="AH513"/>
      <c r="AI513"/>
    </row>
    <row r="514" spans="2:35" customFormat="1" ht="15.75" hidden="1" outlineLevel="1" thickBot="1" x14ac:dyDescent="0.3">
      <c r="B514" s="28" t="s">
        <v>280</v>
      </c>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0"/>
      <c r="AH514" s="20" t="s">
        <v>15</v>
      </c>
    </row>
    <row r="515" spans="2:35" customFormat="1" hidden="1" outlineLevel="1" x14ac:dyDescent="0.25">
      <c r="B515" s="30"/>
      <c r="C515" s="17">
        <v>2025</v>
      </c>
      <c r="D515" s="44">
        <v>2026</v>
      </c>
      <c r="E515" s="44">
        <v>2027</v>
      </c>
      <c r="F515" s="44">
        <v>2028</v>
      </c>
      <c r="G515" s="44">
        <v>2029</v>
      </c>
      <c r="H515" s="44">
        <v>2030</v>
      </c>
      <c r="I515" s="44">
        <v>2031</v>
      </c>
      <c r="J515" s="44">
        <v>2032</v>
      </c>
      <c r="K515" s="44">
        <v>2033</v>
      </c>
      <c r="L515" s="44">
        <v>2034</v>
      </c>
      <c r="M515" s="44">
        <v>2035</v>
      </c>
      <c r="N515" s="44">
        <v>2036</v>
      </c>
      <c r="O515" s="44">
        <v>2037</v>
      </c>
      <c r="P515" s="44">
        <v>2038</v>
      </c>
      <c r="Q515" s="44">
        <v>2039</v>
      </c>
      <c r="R515" s="44">
        <v>2040</v>
      </c>
      <c r="S515" s="44">
        <v>2041</v>
      </c>
      <c r="T515" s="44">
        <v>2042</v>
      </c>
      <c r="U515" s="44">
        <v>2043</v>
      </c>
      <c r="V515" s="44">
        <v>2044</v>
      </c>
      <c r="W515" s="44">
        <v>2045</v>
      </c>
      <c r="X515" s="44">
        <v>2046</v>
      </c>
      <c r="Y515" s="44">
        <v>2047</v>
      </c>
      <c r="Z515" s="44">
        <v>2048</v>
      </c>
      <c r="AA515" s="44">
        <v>2049</v>
      </c>
      <c r="AB515" s="44">
        <v>2050</v>
      </c>
      <c r="AC515" s="44">
        <v>2051</v>
      </c>
      <c r="AD515" s="44">
        <v>2052</v>
      </c>
      <c r="AE515" s="44">
        <v>2053</v>
      </c>
      <c r="AF515" s="44">
        <v>2054</v>
      </c>
    </row>
    <row r="516" spans="2:35" hidden="1" outlineLevel="1" x14ac:dyDescent="0.25">
      <c r="B516" s="31" t="s">
        <v>144</v>
      </c>
      <c r="C516" s="32">
        <v>0</v>
      </c>
      <c r="D516" s="32">
        <v>0</v>
      </c>
      <c r="E516" s="32">
        <v>0</v>
      </c>
      <c r="F516" s="32">
        <v>39612639.320832737</v>
      </c>
      <c r="G516" s="32">
        <v>39612639.320832737</v>
      </c>
      <c r="H516" s="32">
        <v>39763990.663512737</v>
      </c>
      <c r="I516" s="32">
        <v>39763990.663512737</v>
      </c>
      <c r="J516" s="32">
        <v>38704492.561179683</v>
      </c>
      <c r="K516" s="32">
        <v>38704492.561179683</v>
      </c>
      <c r="L516" s="32">
        <v>38772187.839759685</v>
      </c>
      <c r="M516" s="32">
        <v>38772187.839759685</v>
      </c>
      <c r="N516" s="32">
        <v>38772187.839759685</v>
      </c>
      <c r="O516" s="32">
        <v>38772187.839759685</v>
      </c>
      <c r="P516" s="32">
        <v>38772187.839759685</v>
      </c>
      <c r="Q516" s="32">
        <v>38772187.839759685</v>
      </c>
      <c r="R516" s="32">
        <v>38772187.839759685</v>
      </c>
      <c r="S516" s="32">
        <v>38772187.839759685</v>
      </c>
      <c r="T516" s="32">
        <v>38772187.839759685</v>
      </c>
      <c r="U516" s="32">
        <v>38772187.839759685</v>
      </c>
      <c r="V516" s="32">
        <v>38772187.839759685</v>
      </c>
      <c r="W516" s="32">
        <v>38772187.839759685</v>
      </c>
      <c r="X516" s="32">
        <v>38772187.839759685</v>
      </c>
      <c r="Y516" s="32">
        <v>38772187.839759685</v>
      </c>
      <c r="Z516" s="32">
        <v>38772187.839759685</v>
      </c>
      <c r="AA516" s="32">
        <v>38772187.839759685</v>
      </c>
      <c r="AB516" s="32">
        <v>38772187.839759685</v>
      </c>
      <c r="AC516" s="32">
        <v>38772187.839759685</v>
      </c>
      <c r="AD516" s="32">
        <v>38772187.839759685</v>
      </c>
      <c r="AE516" s="32">
        <v>38772187.839759685</v>
      </c>
      <c r="AF516" s="32">
        <v>38772187.839759685</v>
      </c>
      <c r="AG516"/>
      <c r="AH516" s="17" t="s">
        <v>279</v>
      </c>
    </row>
    <row r="517" spans="2:35" hidden="1" outlineLevel="1" x14ac:dyDescent="0.25">
      <c r="B517" s="31" t="s">
        <v>145</v>
      </c>
      <c r="C517" s="32">
        <v>0</v>
      </c>
      <c r="D517" s="32">
        <v>0</v>
      </c>
      <c r="E517" s="32">
        <v>0</v>
      </c>
      <c r="F517" s="32">
        <v>15770486.74488374</v>
      </c>
      <c r="G517" s="32">
        <v>15770486.74488374</v>
      </c>
      <c r="H517" s="32">
        <v>15787184.845623737</v>
      </c>
      <c r="I517" s="32">
        <v>15787184.845623737</v>
      </c>
      <c r="J517" s="32">
        <v>15787184.845623737</v>
      </c>
      <c r="K517" s="32">
        <v>15787184.845623737</v>
      </c>
      <c r="L517" s="32">
        <v>15390568.910004416</v>
      </c>
      <c r="M517" s="32">
        <v>15390568.910004416</v>
      </c>
      <c r="N517" s="32">
        <v>15390568.910004416</v>
      </c>
      <c r="O517" s="32">
        <v>15390568.910004416</v>
      </c>
      <c r="P517" s="32">
        <v>15364645.040004415</v>
      </c>
      <c r="Q517" s="32">
        <v>15364645.040004415</v>
      </c>
      <c r="R517" s="32">
        <v>15384699.734404417</v>
      </c>
      <c r="S517" s="32">
        <v>15384699.734404417</v>
      </c>
      <c r="T517" s="32">
        <v>15384699.734404417</v>
      </c>
      <c r="U517" s="32">
        <v>15384699.734404417</v>
      </c>
      <c r="V517" s="32">
        <v>15384699.734404417</v>
      </c>
      <c r="W517" s="32">
        <v>15384699.734404417</v>
      </c>
      <c r="X517" s="32">
        <v>15384699.734404417</v>
      </c>
      <c r="Y517" s="32">
        <v>15384699.734404417</v>
      </c>
      <c r="Z517" s="32">
        <v>15384699.734404417</v>
      </c>
      <c r="AA517" s="32">
        <v>15384699.734404417</v>
      </c>
      <c r="AB517" s="32">
        <v>14843250.017475424</v>
      </c>
      <c r="AC517" s="32">
        <v>14843250.017475424</v>
      </c>
      <c r="AD517" s="32">
        <v>14843250.017475424</v>
      </c>
      <c r="AE517" s="32">
        <v>14843250.017475424</v>
      </c>
      <c r="AF517" s="32">
        <v>14843250.017475424</v>
      </c>
      <c r="AG517"/>
      <c r="AH517" s="17" t="s">
        <v>279</v>
      </c>
    </row>
    <row r="518" spans="2:35" hidden="1" outlineLevel="1" x14ac:dyDescent="0.25">
      <c r="B518" s="31" t="s">
        <v>244</v>
      </c>
      <c r="C518" s="32">
        <v>0</v>
      </c>
      <c r="D518" s="32">
        <v>0</v>
      </c>
      <c r="E518" s="32">
        <v>74467327.643795222</v>
      </c>
      <c r="F518" s="32">
        <v>87649721.664786637</v>
      </c>
      <c r="G518" s="32">
        <v>87649721.664786637</v>
      </c>
      <c r="H518" s="32">
        <v>88236897.776487172</v>
      </c>
      <c r="I518" s="32">
        <v>88236897.776487172</v>
      </c>
      <c r="J518" s="32">
        <v>80002966.613187522</v>
      </c>
      <c r="K518" s="32">
        <v>80002966.613187522</v>
      </c>
      <c r="L518" s="32">
        <v>80002966.613187522</v>
      </c>
      <c r="M518" s="32">
        <v>80002966.613187522</v>
      </c>
      <c r="N518" s="32">
        <v>79425262.459042355</v>
      </c>
      <c r="O518" s="32">
        <v>79425262.459042355</v>
      </c>
      <c r="P518" s="32">
        <v>79425262.459042355</v>
      </c>
      <c r="Q518" s="32">
        <v>79425262.459042355</v>
      </c>
      <c r="R518" s="32">
        <v>82311974.959042355</v>
      </c>
      <c r="S518" s="32">
        <v>82311974.959042355</v>
      </c>
      <c r="T518" s="32">
        <v>82311974.959042355</v>
      </c>
      <c r="U518" s="32">
        <v>82311974.959042355</v>
      </c>
      <c r="V518" s="32">
        <v>81863454.238701224</v>
      </c>
      <c r="W518" s="32">
        <v>81863454.238701224</v>
      </c>
      <c r="X518" s="32">
        <v>81863454.238701224</v>
      </c>
      <c r="Y518" s="32">
        <v>81863454.238701224</v>
      </c>
      <c r="Z518" s="32">
        <v>81863454.238701224</v>
      </c>
      <c r="AA518" s="32">
        <v>81863454.238701224</v>
      </c>
      <c r="AB518" s="32">
        <v>81863454.238701224</v>
      </c>
      <c r="AC518" s="32">
        <v>81863454.238701224</v>
      </c>
      <c r="AD518" s="32">
        <v>81863454.238701224</v>
      </c>
      <c r="AE518" s="32">
        <v>81863454.238701224</v>
      </c>
      <c r="AF518" s="32">
        <v>81863454.238701224</v>
      </c>
      <c r="AG518"/>
      <c r="AH518" s="17" t="s">
        <v>279</v>
      </c>
    </row>
    <row r="519" spans="2:35" hidden="1" outlineLevel="1" x14ac:dyDescent="0.25">
      <c r="B519" s="31" t="s">
        <v>147</v>
      </c>
      <c r="C519" s="32">
        <v>0</v>
      </c>
      <c r="D519" s="32">
        <v>0</v>
      </c>
      <c r="E519" s="32">
        <v>0</v>
      </c>
      <c r="F519" s="32">
        <v>0</v>
      </c>
      <c r="G519" s="32">
        <v>0</v>
      </c>
      <c r="H519" s="32">
        <v>0</v>
      </c>
      <c r="I519" s="32">
        <v>0</v>
      </c>
      <c r="J519" s="32">
        <v>0</v>
      </c>
      <c r="K519" s="32">
        <v>0</v>
      </c>
      <c r="L519" s="32">
        <v>0</v>
      </c>
      <c r="M519" s="32">
        <v>0</v>
      </c>
      <c r="N519" s="32">
        <v>0</v>
      </c>
      <c r="O519" s="32">
        <v>0</v>
      </c>
      <c r="P519" s="32">
        <v>0</v>
      </c>
      <c r="Q519" s="32">
        <v>0</v>
      </c>
      <c r="R519" s="32">
        <v>0</v>
      </c>
      <c r="S519" s="32">
        <v>0</v>
      </c>
      <c r="T519" s="32">
        <v>0</v>
      </c>
      <c r="U519" s="32">
        <v>0</v>
      </c>
      <c r="V519" s="32">
        <v>0</v>
      </c>
      <c r="W519" s="32">
        <v>0</v>
      </c>
      <c r="X519" s="32">
        <v>0</v>
      </c>
      <c r="Y519" s="32">
        <v>0</v>
      </c>
      <c r="Z519" s="32">
        <v>0</v>
      </c>
      <c r="AA519" s="32">
        <v>0</v>
      </c>
      <c r="AB519" s="32">
        <v>0</v>
      </c>
      <c r="AC519" s="32">
        <v>0</v>
      </c>
      <c r="AD519" s="32">
        <v>0</v>
      </c>
      <c r="AE519" s="32">
        <v>0</v>
      </c>
      <c r="AF519" s="32">
        <v>0</v>
      </c>
      <c r="AG519"/>
      <c r="AH519" s="17" t="s">
        <v>279</v>
      </c>
    </row>
    <row r="520" spans="2:35" hidden="1" outlineLevel="1" x14ac:dyDescent="0.25">
      <c r="B520" s="31" t="s">
        <v>245</v>
      </c>
      <c r="C520" s="32">
        <v>0</v>
      </c>
      <c r="D520" s="32">
        <v>0</v>
      </c>
      <c r="E520" s="32">
        <v>0</v>
      </c>
      <c r="F520" s="32">
        <v>5531260.8599999994</v>
      </c>
      <c r="G520" s="32">
        <v>5531260.8599999994</v>
      </c>
      <c r="H520" s="32">
        <v>5911722.2974800002</v>
      </c>
      <c r="I520" s="32">
        <v>5911722.2974800002</v>
      </c>
      <c r="J520" s="32">
        <v>5911722.2974800002</v>
      </c>
      <c r="K520" s="32">
        <v>5911722.2974800002</v>
      </c>
      <c r="L520" s="32">
        <v>5911722.2974800002</v>
      </c>
      <c r="M520" s="32">
        <v>5911722.2974800002</v>
      </c>
      <c r="N520" s="32">
        <v>5743970.637480001</v>
      </c>
      <c r="O520" s="32">
        <v>5743970.637480001</v>
      </c>
      <c r="P520" s="32">
        <v>5743970.637480001</v>
      </c>
      <c r="Q520" s="32">
        <v>5743970.637480001</v>
      </c>
      <c r="R520" s="32">
        <v>36060627.457479998</v>
      </c>
      <c r="S520" s="32">
        <v>36060627.457479998</v>
      </c>
      <c r="T520" s="32">
        <v>36060627.457479998</v>
      </c>
      <c r="U520" s="32">
        <v>36060627.457479998</v>
      </c>
      <c r="V520" s="32">
        <v>36060627.457479998</v>
      </c>
      <c r="W520" s="32">
        <v>36060627.457479998</v>
      </c>
      <c r="X520" s="32">
        <v>36060627.457479998</v>
      </c>
      <c r="Y520" s="32">
        <v>36060627.457479998</v>
      </c>
      <c r="Z520" s="32">
        <v>36060627.457479998</v>
      </c>
      <c r="AA520" s="32">
        <v>36060627.457479998</v>
      </c>
      <c r="AB520" s="32">
        <v>36060627.457479998</v>
      </c>
      <c r="AC520" s="32">
        <v>36060627.457479998</v>
      </c>
      <c r="AD520" s="32">
        <v>36060627.457479998</v>
      </c>
      <c r="AE520" s="32">
        <v>36060627.457479998</v>
      </c>
      <c r="AF520" s="32">
        <v>36060627.457479998</v>
      </c>
      <c r="AG520"/>
      <c r="AH520" s="17" t="s">
        <v>279</v>
      </c>
    </row>
    <row r="521" spans="2:35" hidden="1" outlineLevel="1" x14ac:dyDescent="0.25">
      <c r="B521" s="31" t="s">
        <v>149</v>
      </c>
      <c r="C521" s="32">
        <v>0</v>
      </c>
      <c r="D521" s="32">
        <v>0</v>
      </c>
      <c r="E521" s="32">
        <v>74467327.643795222</v>
      </c>
      <c r="F521" s="32">
        <v>148564108.5905031</v>
      </c>
      <c r="G521" s="32">
        <v>148564108.5905031</v>
      </c>
      <c r="H521" s="32">
        <v>149699795.58310363</v>
      </c>
      <c r="I521" s="32">
        <v>149699795.58310363</v>
      </c>
      <c r="J521" s="32">
        <v>140406366.31747094</v>
      </c>
      <c r="K521" s="32">
        <v>140406366.31747094</v>
      </c>
      <c r="L521" s="32">
        <v>140077445.66043162</v>
      </c>
      <c r="M521" s="32">
        <v>140077445.66043162</v>
      </c>
      <c r="N521" s="32">
        <v>139331989.84628645</v>
      </c>
      <c r="O521" s="32">
        <v>139331989.84628645</v>
      </c>
      <c r="P521" s="32">
        <v>139306065.97628644</v>
      </c>
      <c r="Q521" s="32">
        <v>139306065.97628644</v>
      </c>
      <c r="R521" s="32">
        <v>172529489.99068648</v>
      </c>
      <c r="S521" s="32">
        <v>172529489.99068648</v>
      </c>
      <c r="T521" s="32">
        <v>172529489.99068648</v>
      </c>
      <c r="U521" s="32">
        <v>172529489.99068648</v>
      </c>
      <c r="V521" s="32">
        <v>172080969.27034533</v>
      </c>
      <c r="W521" s="32">
        <v>172080969.27034533</v>
      </c>
      <c r="X521" s="32">
        <v>172080969.27034533</v>
      </c>
      <c r="Y521" s="32">
        <v>172080969.27034533</v>
      </c>
      <c r="Z521" s="32">
        <v>172080969.27034533</v>
      </c>
      <c r="AA521" s="32">
        <v>172080969.27034533</v>
      </c>
      <c r="AB521" s="32">
        <v>171539519.55341631</v>
      </c>
      <c r="AC521" s="32">
        <v>171539519.55341631</v>
      </c>
      <c r="AD521" s="32">
        <v>171539519.55341631</v>
      </c>
      <c r="AE521" s="32">
        <v>171539519.55341631</v>
      </c>
      <c r="AF521" s="32">
        <v>171539519.55341631</v>
      </c>
      <c r="AG521"/>
      <c r="AH521" s="17" t="s">
        <v>279</v>
      </c>
    </row>
    <row r="522" spans="2:35" customFormat="1" hidden="1" outlineLevel="1" x14ac:dyDescent="0.25">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row>
    <row r="523" spans="2:35" hidden="1" outlineLevel="1" x14ac:dyDescent="0.25">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c r="AH523"/>
    </row>
    <row r="524" spans="2:35" ht="17.25" hidden="1" outlineLevel="1" thickBot="1" x14ac:dyDescent="0.3">
      <c r="B524" s="26" t="s">
        <v>281</v>
      </c>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row>
    <row r="525" spans="2:35" ht="16.5" hidden="1" outlineLevel="1" thickTop="1" thickBot="1" x14ac:dyDescent="0.3">
      <c r="B525" s="28" t="s">
        <v>278</v>
      </c>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0"/>
      <c r="AH525" s="20" t="s">
        <v>15</v>
      </c>
    </row>
    <row r="526" spans="2:35" customFormat="1" hidden="1" outlineLevel="1" x14ac:dyDescent="0.25">
      <c r="B526" s="30"/>
      <c r="C526" s="17">
        <v>2025</v>
      </c>
      <c r="D526" s="44">
        <v>2026</v>
      </c>
      <c r="E526" s="44">
        <v>2027</v>
      </c>
      <c r="F526" s="44">
        <v>2028</v>
      </c>
      <c r="G526" s="44">
        <v>2029</v>
      </c>
      <c r="H526" s="44">
        <v>2030</v>
      </c>
      <c r="I526" s="44">
        <v>2031</v>
      </c>
      <c r="J526" s="44">
        <v>2032</v>
      </c>
      <c r="K526" s="44">
        <v>2033</v>
      </c>
      <c r="L526" s="44">
        <v>2034</v>
      </c>
      <c r="M526" s="44">
        <v>2035</v>
      </c>
      <c r="N526" s="44">
        <v>2036</v>
      </c>
      <c r="O526" s="44">
        <v>2037</v>
      </c>
      <c r="P526" s="44">
        <v>2038</v>
      </c>
      <c r="Q526" s="44">
        <v>2039</v>
      </c>
      <c r="R526" s="44">
        <v>2040</v>
      </c>
      <c r="S526" s="44">
        <v>2041</v>
      </c>
      <c r="T526" s="44">
        <v>2042</v>
      </c>
      <c r="U526" s="44">
        <v>2043</v>
      </c>
      <c r="V526" s="44">
        <v>2044</v>
      </c>
      <c r="W526" s="44">
        <v>2045</v>
      </c>
      <c r="X526" s="44">
        <v>2046</v>
      </c>
      <c r="Y526" s="44">
        <v>2047</v>
      </c>
      <c r="Z526" s="44">
        <v>2048</v>
      </c>
      <c r="AA526" s="44">
        <v>2049</v>
      </c>
      <c r="AB526" s="44">
        <v>2050</v>
      </c>
      <c r="AC526" s="44">
        <v>2051</v>
      </c>
      <c r="AD526" s="44">
        <v>2052</v>
      </c>
      <c r="AE526" s="44">
        <v>2053</v>
      </c>
      <c r="AF526" s="44">
        <v>2054</v>
      </c>
      <c r="AH526" s="17" t="s">
        <v>279</v>
      </c>
    </row>
    <row r="527" spans="2:35" hidden="1" outlineLevel="1" x14ac:dyDescent="0.25">
      <c r="B527" s="31" t="s">
        <v>144</v>
      </c>
      <c r="C527" s="32">
        <v>91218518.516397119</v>
      </c>
      <c r="D527" s="32">
        <v>91218518.516397119</v>
      </c>
      <c r="E527" s="32">
        <v>91218518.516397119</v>
      </c>
      <c r="F527" s="32">
        <v>0</v>
      </c>
      <c r="G527" s="32">
        <v>0</v>
      </c>
      <c r="H527" s="32">
        <v>0</v>
      </c>
      <c r="I527" s="32">
        <v>0</v>
      </c>
      <c r="J527" s="32">
        <v>0</v>
      </c>
      <c r="K527" s="32">
        <v>0</v>
      </c>
      <c r="L527" s="32">
        <v>0</v>
      </c>
      <c r="M527" s="32">
        <v>0</v>
      </c>
      <c r="N527" s="32">
        <v>0</v>
      </c>
      <c r="O527" s="32">
        <v>0</v>
      </c>
      <c r="P527" s="32">
        <v>0</v>
      </c>
      <c r="Q527" s="32">
        <v>0</v>
      </c>
      <c r="R527" s="32">
        <v>0</v>
      </c>
      <c r="S527" s="32">
        <v>0</v>
      </c>
      <c r="T527" s="32">
        <v>0</v>
      </c>
      <c r="U527" s="32">
        <v>0</v>
      </c>
      <c r="V527" s="32">
        <v>0</v>
      </c>
      <c r="W527" s="32">
        <v>0</v>
      </c>
      <c r="X527" s="32">
        <v>0</v>
      </c>
      <c r="Y527" s="32">
        <v>0</v>
      </c>
      <c r="Z527" s="32">
        <v>0</v>
      </c>
      <c r="AA527" s="32">
        <v>0</v>
      </c>
      <c r="AB527" s="32">
        <v>0</v>
      </c>
      <c r="AC527" s="32">
        <v>0</v>
      </c>
      <c r="AD527" s="32">
        <v>0</v>
      </c>
      <c r="AE527" s="32">
        <v>0</v>
      </c>
      <c r="AF527" s="32">
        <v>0</v>
      </c>
      <c r="AG527"/>
      <c r="AH527" s="17" t="s">
        <v>279</v>
      </c>
    </row>
    <row r="528" spans="2:35" hidden="1" outlineLevel="1" x14ac:dyDescent="0.25">
      <c r="B528" s="31" t="s">
        <v>145</v>
      </c>
      <c r="C528" s="32">
        <v>11884388.380107559</v>
      </c>
      <c r="D528" s="32">
        <v>11884388.380107559</v>
      </c>
      <c r="E528" s="32">
        <v>11884388.380107559</v>
      </c>
      <c r="F528" s="32">
        <v>0</v>
      </c>
      <c r="G528" s="32">
        <v>0</v>
      </c>
      <c r="H528" s="32">
        <v>0</v>
      </c>
      <c r="I528" s="32">
        <v>0</v>
      </c>
      <c r="J528" s="32">
        <v>0</v>
      </c>
      <c r="K528" s="32">
        <v>0</v>
      </c>
      <c r="L528" s="32">
        <v>0</v>
      </c>
      <c r="M528" s="32">
        <v>0</v>
      </c>
      <c r="N528" s="32">
        <v>0</v>
      </c>
      <c r="O528" s="32">
        <v>0</v>
      </c>
      <c r="P528" s="32">
        <v>0</v>
      </c>
      <c r="Q528" s="32">
        <v>0</v>
      </c>
      <c r="R528" s="32">
        <v>0</v>
      </c>
      <c r="S528" s="32">
        <v>0</v>
      </c>
      <c r="T528" s="32">
        <v>0</v>
      </c>
      <c r="U528" s="32">
        <v>0</v>
      </c>
      <c r="V528" s="32">
        <v>0</v>
      </c>
      <c r="W528" s="32">
        <v>0</v>
      </c>
      <c r="X528" s="32">
        <v>0</v>
      </c>
      <c r="Y528" s="32">
        <v>0</v>
      </c>
      <c r="Z528" s="32">
        <v>0</v>
      </c>
      <c r="AA528" s="32">
        <v>0</v>
      </c>
      <c r="AB528" s="32">
        <v>0</v>
      </c>
      <c r="AC528" s="32">
        <v>0</v>
      </c>
      <c r="AD528" s="32">
        <v>0</v>
      </c>
      <c r="AE528" s="32">
        <v>0</v>
      </c>
      <c r="AF528" s="32">
        <v>0</v>
      </c>
      <c r="AG528"/>
      <c r="AH528" s="17" t="s">
        <v>279</v>
      </c>
    </row>
    <row r="529" spans="2:34" hidden="1" outlineLevel="1" x14ac:dyDescent="0.25">
      <c r="B529" s="31" t="s">
        <v>244</v>
      </c>
      <c r="C529" s="32">
        <v>35030010.666666664</v>
      </c>
      <c r="D529" s="32">
        <v>35030010.666666664</v>
      </c>
      <c r="E529" s="32">
        <v>0</v>
      </c>
      <c r="F529" s="32">
        <v>0</v>
      </c>
      <c r="G529" s="32">
        <v>0</v>
      </c>
      <c r="H529" s="32">
        <v>0</v>
      </c>
      <c r="I529" s="32">
        <v>0</v>
      </c>
      <c r="J529" s="32">
        <v>0</v>
      </c>
      <c r="K529" s="32">
        <v>0</v>
      </c>
      <c r="L529" s="32">
        <v>0</v>
      </c>
      <c r="M529" s="32">
        <v>0</v>
      </c>
      <c r="N529" s="32">
        <v>0</v>
      </c>
      <c r="O529" s="32">
        <v>0</v>
      </c>
      <c r="P529" s="32">
        <v>0</v>
      </c>
      <c r="Q529" s="32">
        <v>0</v>
      </c>
      <c r="R529" s="32">
        <v>0</v>
      </c>
      <c r="S529" s="32">
        <v>0</v>
      </c>
      <c r="T529" s="32">
        <v>0</v>
      </c>
      <c r="U529" s="32">
        <v>0</v>
      </c>
      <c r="V529" s="32">
        <v>0</v>
      </c>
      <c r="W529" s="32">
        <v>0</v>
      </c>
      <c r="X529" s="32">
        <v>0</v>
      </c>
      <c r="Y529" s="32">
        <v>0</v>
      </c>
      <c r="Z529" s="32">
        <v>0</v>
      </c>
      <c r="AA529" s="32">
        <v>0</v>
      </c>
      <c r="AB529" s="32">
        <v>0</v>
      </c>
      <c r="AC529" s="32">
        <v>0</v>
      </c>
      <c r="AD529" s="32">
        <v>0</v>
      </c>
      <c r="AE529" s="32">
        <v>0</v>
      </c>
      <c r="AF529" s="32">
        <v>0</v>
      </c>
      <c r="AG529"/>
      <c r="AH529" s="17" t="s">
        <v>279</v>
      </c>
    </row>
    <row r="530" spans="2:34" customFormat="1" hidden="1" outlineLevel="1" x14ac:dyDescent="0.25">
      <c r="B530" s="31" t="s">
        <v>147</v>
      </c>
      <c r="C530" s="32">
        <v>0</v>
      </c>
      <c r="D530" s="32">
        <v>0</v>
      </c>
      <c r="E530" s="32">
        <v>0</v>
      </c>
      <c r="F530" s="32">
        <v>0</v>
      </c>
      <c r="G530" s="32">
        <v>0</v>
      </c>
      <c r="H530" s="32">
        <v>0</v>
      </c>
      <c r="I530" s="32">
        <v>0</v>
      </c>
      <c r="J530" s="32">
        <v>0</v>
      </c>
      <c r="K530" s="32">
        <v>0</v>
      </c>
      <c r="L530" s="32">
        <v>0</v>
      </c>
      <c r="M530" s="32">
        <v>0</v>
      </c>
      <c r="N530" s="32">
        <v>0</v>
      </c>
      <c r="O530" s="32">
        <v>0</v>
      </c>
      <c r="P530" s="32">
        <v>0</v>
      </c>
      <c r="Q530" s="32">
        <v>0</v>
      </c>
      <c r="R530" s="32">
        <v>0</v>
      </c>
      <c r="S530" s="32">
        <v>0</v>
      </c>
      <c r="T530" s="32">
        <v>0</v>
      </c>
      <c r="U530" s="32">
        <v>0</v>
      </c>
      <c r="V530" s="32">
        <v>0</v>
      </c>
      <c r="W530" s="32">
        <v>0</v>
      </c>
      <c r="X530" s="32">
        <v>0</v>
      </c>
      <c r="Y530" s="32">
        <v>0</v>
      </c>
      <c r="Z530" s="32">
        <v>0</v>
      </c>
      <c r="AA530" s="32">
        <v>0</v>
      </c>
      <c r="AB530" s="32">
        <v>0</v>
      </c>
      <c r="AC530" s="32">
        <v>0</v>
      </c>
      <c r="AD530" s="32">
        <v>0</v>
      </c>
      <c r="AE530" s="32">
        <v>0</v>
      </c>
      <c r="AF530" s="32">
        <v>0</v>
      </c>
      <c r="AH530" s="17" t="s">
        <v>279</v>
      </c>
    </row>
    <row r="531" spans="2:34" hidden="1" outlineLevel="1" x14ac:dyDescent="0.25">
      <c r="B531" s="31" t="s">
        <v>245</v>
      </c>
      <c r="C531" s="32">
        <v>0</v>
      </c>
      <c r="D531" s="32">
        <v>0</v>
      </c>
      <c r="E531" s="32">
        <v>0</v>
      </c>
      <c r="F531" s="32">
        <v>0</v>
      </c>
      <c r="G531" s="32">
        <v>0</v>
      </c>
      <c r="H531" s="32">
        <v>0</v>
      </c>
      <c r="I531" s="32">
        <v>0</v>
      </c>
      <c r="J531" s="32">
        <v>0</v>
      </c>
      <c r="K531" s="32">
        <v>0</v>
      </c>
      <c r="L531" s="32">
        <v>0</v>
      </c>
      <c r="M531" s="32">
        <v>0</v>
      </c>
      <c r="N531" s="32">
        <v>0</v>
      </c>
      <c r="O531" s="32">
        <v>0</v>
      </c>
      <c r="P531" s="32">
        <v>0</v>
      </c>
      <c r="Q531" s="32">
        <v>0</v>
      </c>
      <c r="R531" s="32">
        <v>0</v>
      </c>
      <c r="S531" s="32">
        <v>0</v>
      </c>
      <c r="T531" s="32">
        <v>0</v>
      </c>
      <c r="U531" s="32">
        <v>0</v>
      </c>
      <c r="V531" s="32">
        <v>0</v>
      </c>
      <c r="W531" s="32">
        <v>0</v>
      </c>
      <c r="X531" s="32">
        <v>0</v>
      </c>
      <c r="Y531" s="32">
        <v>0</v>
      </c>
      <c r="Z531" s="32">
        <v>0</v>
      </c>
      <c r="AA531" s="32">
        <v>0</v>
      </c>
      <c r="AB531" s="32">
        <v>0</v>
      </c>
      <c r="AC531" s="32">
        <v>0</v>
      </c>
      <c r="AD531" s="32">
        <v>0</v>
      </c>
      <c r="AE531" s="32">
        <v>0</v>
      </c>
      <c r="AF531" s="32">
        <v>0</v>
      </c>
      <c r="AG531"/>
      <c r="AH531" s="17" t="s">
        <v>279</v>
      </c>
    </row>
    <row r="532" spans="2:34" hidden="1" outlineLevel="1" x14ac:dyDescent="0.25">
      <c r="B532" s="31" t="s">
        <v>149</v>
      </c>
      <c r="C532" s="32">
        <v>138132917.56317133</v>
      </c>
      <c r="D532" s="32">
        <v>138132917.56317133</v>
      </c>
      <c r="E532" s="32">
        <v>103102906.89650467</v>
      </c>
      <c r="F532" s="32">
        <v>0</v>
      </c>
      <c r="G532" s="32">
        <v>0</v>
      </c>
      <c r="H532" s="32">
        <v>0</v>
      </c>
      <c r="I532" s="32">
        <v>0</v>
      </c>
      <c r="J532" s="32">
        <v>0</v>
      </c>
      <c r="K532" s="32">
        <v>0</v>
      </c>
      <c r="L532" s="32">
        <v>0</v>
      </c>
      <c r="M532" s="32">
        <v>0</v>
      </c>
      <c r="N532" s="32">
        <v>0</v>
      </c>
      <c r="O532" s="32">
        <v>0</v>
      </c>
      <c r="P532" s="32">
        <v>0</v>
      </c>
      <c r="Q532" s="32">
        <v>0</v>
      </c>
      <c r="R532" s="32">
        <v>0</v>
      </c>
      <c r="S532" s="32">
        <v>0</v>
      </c>
      <c r="T532" s="32">
        <v>0</v>
      </c>
      <c r="U532" s="32">
        <v>0</v>
      </c>
      <c r="V532" s="32">
        <v>0</v>
      </c>
      <c r="W532" s="32">
        <v>0</v>
      </c>
      <c r="X532" s="32">
        <v>0</v>
      </c>
      <c r="Y532" s="32">
        <v>0</v>
      </c>
      <c r="Z532" s="32">
        <v>0</v>
      </c>
      <c r="AA532" s="32">
        <v>0</v>
      </c>
      <c r="AB532" s="32">
        <v>0</v>
      </c>
      <c r="AC532" s="32">
        <v>0</v>
      </c>
      <c r="AD532" s="32">
        <v>0</v>
      </c>
      <c r="AE532" s="32">
        <v>0</v>
      </c>
      <c r="AF532" s="32">
        <v>0</v>
      </c>
      <c r="AG532"/>
      <c r="AH532" s="17" t="s">
        <v>279</v>
      </c>
    </row>
    <row r="533" spans="2:34" hidden="1" outlineLevel="1" x14ac:dyDescent="0.25">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c r="AH533"/>
    </row>
    <row r="534" spans="2:34" ht="15.75" hidden="1" outlineLevel="1" thickBot="1" x14ac:dyDescent="0.3">
      <c r="B534" s="28" t="s">
        <v>280</v>
      </c>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0"/>
      <c r="AH534" s="20" t="s">
        <v>15</v>
      </c>
    </row>
    <row r="535" spans="2:34" customFormat="1" hidden="1" outlineLevel="1" x14ac:dyDescent="0.25">
      <c r="B535" s="30"/>
      <c r="C535" s="17">
        <v>2025</v>
      </c>
      <c r="D535" s="44">
        <v>2026</v>
      </c>
      <c r="E535" s="44">
        <v>2027</v>
      </c>
      <c r="F535" s="44">
        <v>2028</v>
      </c>
      <c r="G535" s="44">
        <v>2029</v>
      </c>
      <c r="H535" s="44">
        <v>2030</v>
      </c>
      <c r="I535" s="44">
        <v>2031</v>
      </c>
      <c r="J535" s="44">
        <v>2032</v>
      </c>
      <c r="K535" s="44">
        <v>2033</v>
      </c>
      <c r="L535" s="44">
        <v>2034</v>
      </c>
      <c r="M535" s="44">
        <v>2035</v>
      </c>
      <c r="N535" s="44">
        <v>2036</v>
      </c>
      <c r="O535" s="44">
        <v>2037</v>
      </c>
      <c r="P535" s="44">
        <v>2038</v>
      </c>
      <c r="Q535" s="44">
        <v>2039</v>
      </c>
      <c r="R535" s="44">
        <v>2040</v>
      </c>
      <c r="S535" s="44">
        <v>2041</v>
      </c>
      <c r="T535" s="44">
        <v>2042</v>
      </c>
      <c r="U535" s="44">
        <v>2043</v>
      </c>
      <c r="V535" s="44">
        <v>2044</v>
      </c>
      <c r="W535" s="44">
        <v>2045</v>
      </c>
      <c r="X535" s="44">
        <v>2046</v>
      </c>
      <c r="Y535" s="44">
        <v>2047</v>
      </c>
      <c r="Z535" s="44">
        <v>2048</v>
      </c>
      <c r="AA535" s="44">
        <v>2049</v>
      </c>
      <c r="AB535" s="44">
        <v>2050</v>
      </c>
      <c r="AC535" s="44">
        <v>2051</v>
      </c>
      <c r="AD535" s="44">
        <v>2052</v>
      </c>
      <c r="AE535" s="44">
        <v>2053</v>
      </c>
      <c r="AF535" s="44">
        <v>2054</v>
      </c>
      <c r="AG535" s="1"/>
      <c r="AH535" s="1"/>
    </row>
    <row r="536" spans="2:34" hidden="1" outlineLevel="1" x14ac:dyDescent="0.25">
      <c r="B536" s="31" t="s">
        <v>144</v>
      </c>
      <c r="C536" s="32">
        <v>0</v>
      </c>
      <c r="D536" s="32">
        <v>0</v>
      </c>
      <c r="E536" s="32">
        <v>0</v>
      </c>
      <c r="F536" s="32">
        <v>91218518.516397119</v>
      </c>
      <c r="G536" s="32">
        <v>91218518.516397119</v>
      </c>
      <c r="H536" s="32">
        <v>89605158.712475568</v>
      </c>
      <c r="I536" s="32">
        <v>89605158.712475568</v>
      </c>
      <c r="J536" s="32">
        <v>89605158.712475568</v>
      </c>
      <c r="K536" s="32">
        <v>89605158.712475568</v>
      </c>
      <c r="L536" s="32">
        <v>89605158.712475568</v>
      </c>
      <c r="M536" s="32">
        <v>89605158.712475568</v>
      </c>
      <c r="N536" s="32">
        <v>89605158.712475568</v>
      </c>
      <c r="O536" s="32">
        <v>89605158.712475568</v>
      </c>
      <c r="P536" s="32">
        <v>89605158.712475568</v>
      </c>
      <c r="Q536" s="32">
        <v>89605158.712475568</v>
      </c>
      <c r="R536" s="32">
        <v>89605158.712475568</v>
      </c>
      <c r="S536" s="32">
        <v>89605158.712475568</v>
      </c>
      <c r="T536" s="32">
        <v>89605158.712475568</v>
      </c>
      <c r="U536" s="32">
        <v>89605158.712475568</v>
      </c>
      <c r="V536" s="32">
        <v>89605158.712475568</v>
      </c>
      <c r="W536" s="32">
        <v>89605158.712475568</v>
      </c>
      <c r="X536" s="32">
        <v>89605158.712475568</v>
      </c>
      <c r="Y536" s="32">
        <v>89605158.712475568</v>
      </c>
      <c r="Z536" s="32">
        <v>89605158.712475568</v>
      </c>
      <c r="AA536" s="32">
        <v>89605158.712475568</v>
      </c>
      <c r="AB536" s="32">
        <v>89605158.712475568</v>
      </c>
      <c r="AC536" s="32">
        <v>89605158.712475568</v>
      </c>
      <c r="AD536" s="32">
        <v>89605158.712475568</v>
      </c>
      <c r="AE536" s="32">
        <v>89605158.712475568</v>
      </c>
      <c r="AF536" s="32">
        <v>89605158.712475568</v>
      </c>
      <c r="AG536"/>
      <c r="AH536" s="17" t="s">
        <v>279</v>
      </c>
    </row>
    <row r="537" spans="2:34" hidden="1" outlineLevel="1" x14ac:dyDescent="0.25">
      <c r="B537" s="31" t="s">
        <v>145</v>
      </c>
      <c r="C537" s="32">
        <v>0</v>
      </c>
      <c r="D537" s="32">
        <v>0</v>
      </c>
      <c r="E537" s="32">
        <v>0</v>
      </c>
      <c r="F537" s="32">
        <v>11884388.380107559</v>
      </c>
      <c r="G537" s="32">
        <v>11884388.380107559</v>
      </c>
      <c r="H537" s="32">
        <v>11884388.380107559</v>
      </c>
      <c r="I537" s="32">
        <v>11884388.380107559</v>
      </c>
      <c r="J537" s="32">
        <v>11884388.380107559</v>
      </c>
      <c r="K537" s="32">
        <v>11884388.380107559</v>
      </c>
      <c r="L537" s="32">
        <v>11884388.380107559</v>
      </c>
      <c r="M537" s="32">
        <v>11884388.380107559</v>
      </c>
      <c r="N537" s="32">
        <v>11884388.380107559</v>
      </c>
      <c r="O537" s="32">
        <v>11884388.380107559</v>
      </c>
      <c r="P537" s="32">
        <v>11884388.380107559</v>
      </c>
      <c r="Q537" s="32">
        <v>11884388.380107559</v>
      </c>
      <c r="R537" s="32">
        <v>11884388.380107559</v>
      </c>
      <c r="S537" s="32">
        <v>11884388.380107559</v>
      </c>
      <c r="T537" s="32">
        <v>11525540.601956299</v>
      </c>
      <c r="U537" s="32">
        <v>11525540.601956299</v>
      </c>
      <c r="V537" s="32">
        <v>11525540.601956299</v>
      </c>
      <c r="W537" s="32">
        <v>11525540.601956299</v>
      </c>
      <c r="X537" s="32">
        <v>11525540.601956299</v>
      </c>
      <c r="Y537" s="32">
        <v>11525540.601956299</v>
      </c>
      <c r="Z537" s="32">
        <v>11525540.601956299</v>
      </c>
      <c r="AA537" s="32">
        <v>11525540.601956299</v>
      </c>
      <c r="AB537" s="32">
        <v>11525540.601956299</v>
      </c>
      <c r="AC537" s="32">
        <v>11525540.601956299</v>
      </c>
      <c r="AD537" s="32">
        <v>11525540.601956299</v>
      </c>
      <c r="AE537" s="32">
        <v>11525540.601956299</v>
      </c>
      <c r="AF537" s="32">
        <v>11525540.601956299</v>
      </c>
      <c r="AG537"/>
      <c r="AH537" s="17" t="s">
        <v>279</v>
      </c>
    </row>
    <row r="538" spans="2:34" customFormat="1" hidden="1" outlineLevel="1" x14ac:dyDescent="0.25">
      <c r="B538" s="31" t="s">
        <v>244</v>
      </c>
      <c r="C538" s="32">
        <v>0</v>
      </c>
      <c r="D538" s="32">
        <v>0</v>
      </c>
      <c r="E538" s="32">
        <v>35030010.666666664</v>
      </c>
      <c r="F538" s="32">
        <v>33517716.333333336</v>
      </c>
      <c r="G538" s="32">
        <v>33517716.333333336</v>
      </c>
      <c r="H538" s="32">
        <v>31998292.333333336</v>
      </c>
      <c r="I538" s="32">
        <v>31998292.333333336</v>
      </c>
      <c r="J538" s="32">
        <v>31998292.333333336</v>
      </c>
      <c r="K538" s="32">
        <v>31998292.333333336</v>
      </c>
      <c r="L538" s="32">
        <v>31998292.333333336</v>
      </c>
      <c r="M538" s="32">
        <v>31998292.333333336</v>
      </c>
      <c r="N538" s="32">
        <v>29833701.969607845</v>
      </c>
      <c r="O538" s="32">
        <v>29833701.969607845</v>
      </c>
      <c r="P538" s="32">
        <v>28875000.884313725</v>
      </c>
      <c r="Q538" s="32">
        <v>28875000.884313725</v>
      </c>
      <c r="R538" s="32">
        <v>28875000.884313725</v>
      </c>
      <c r="S538" s="32">
        <v>28875000.884313725</v>
      </c>
      <c r="T538" s="32">
        <v>28875000.884313725</v>
      </c>
      <c r="U538" s="32">
        <v>28875000.884313725</v>
      </c>
      <c r="V538" s="32">
        <v>28875000.884313725</v>
      </c>
      <c r="W538" s="32">
        <v>28875000.884313725</v>
      </c>
      <c r="X538" s="32">
        <v>28875000.884313725</v>
      </c>
      <c r="Y538" s="32">
        <v>28875000.884313725</v>
      </c>
      <c r="Z538" s="32">
        <v>28875000.884313725</v>
      </c>
      <c r="AA538" s="32">
        <v>28875000.884313725</v>
      </c>
      <c r="AB538" s="32">
        <v>28875000.884313725</v>
      </c>
      <c r="AC538" s="32">
        <v>28875000.884313725</v>
      </c>
      <c r="AD538" s="32">
        <v>28875000.884313725</v>
      </c>
      <c r="AE538" s="32">
        <v>28875000.884313725</v>
      </c>
      <c r="AF538" s="32">
        <v>28875000.884313725</v>
      </c>
      <c r="AH538" s="17" t="s">
        <v>279</v>
      </c>
    </row>
    <row r="539" spans="2:34" hidden="1" outlineLevel="1" x14ac:dyDescent="0.25">
      <c r="B539" s="31" t="s">
        <v>147</v>
      </c>
      <c r="C539" s="32">
        <v>0</v>
      </c>
      <c r="D539" s="32">
        <v>0</v>
      </c>
      <c r="E539" s="32">
        <v>0</v>
      </c>
      <c r="F539" s="32">
        <v>0</v>
      </c>
      <c r="G539" s="32">
        <v>0</v>
      </c>
      <c r="H539" s="32">
        <v>0</v>
      </c>
      <c r="I539" s="32">
        <v>0</v>
      </c>
      <c r="J539" s="32">
        <v>0</v>
      </c>
      <c r="K539" s="32">
        <v>0</v>
      </c>
      <c r="L539" s="32">
        <v>0</v>
      </c>
      <c r="M539" s="32">
        <v>0</v>
      </c>
      <c r="N539" s="32">
        <v>0</v>
      </c>
      <c r="O539" s="32">
        <v>0</v>
      </c>
      <c r="P539" s="32">
        <v>0</v>
      </c>
      <c r="Q539" s="32">
        <v>0</v>
      </c>
      <c r="R539" s="32">
        <v>0</v>
      </c>
      <c r="S539" s="32">
        <v>0</v>
      </c>
      <c r="T539" s="32">
        <v>0</v>
      </c>
      <c r="U539" s="32">
        <v>0</v>
      </c>
      <c r="V539" s="32">
        <v>0</v>
      </c>
      <c r="W539" s="32">
        <v>0</v>
      </c>
      <c r="X539" s="32">
        <v>0</v>
      </c>
      <c r="Y539" s="32">
        <v>0</v>
      </c>
      <c r="Z539" s="32">
        <v>0</v>
      </c>
      <c r="AA539" s="32">
        <v>0</v>
      </c>
      <c r="AB539" s="32">
        <v>0</v>
      </c>
      <c r="AC539" s="32">
        <v>0</v>
      </c>
      <c r="AD539" s="32">
        <v>0</v>
      </c>
      <c r="AE539" s="32">
        <v>0</v>
      </c>
      <c r="AF539" s="32">
        <v>0</v>
      </c>
      <c r="AG539"/>
      <c r="AH539" s="17" t="s">
        <v>279</v>
      </c>
    </row>
    <row r="540" spans="2:34" hidden="1" outlineLevel="1" x14ac:dyDescent="0.25">
      <c r="B540" s="31" t="s">
        <v>245</v>
      </c>
      <c r="C540" s="32">
        <v>0</v>
      </c>
      <c r="D540" s="32">
        <v>0</v>
      </c>
      <c r="E540" s="32">
        <v>0</v>
      </c>
      <c r="F540" s="32">
        <v>0</v>
      </c>
      <c r="G540" s="32">
        <v>0</v>
      </c>
      <c r="H540" s="32">
        <v>0</v>
      </c>
      <c r="I540" s="32">
        <v>0</v>
      </c>
      <c r="J540" s="32">
        <v>0</v>
      </c>
      <c r="K540" s="32">
        <v>0</v>
      </c>
      <c r="L540" s="32">
        <v>0</v>
      </c>
      <c r="M540" s="32">
        <v>0</v>
      </c>
      <c r="N540" s="32">
        <v>0</v>
      </c>
      <c r="O540" s="32">
        <v>0</v>
      </c>
      <c r="P540" s="32">
        <v>0</v>
      </c>
      <c r="Q540" s="32">
        <v>0</v>
      </c>
      <c r="R540" s="32">
        <v>4623100.2231905619</v>
      </c>
      <c r="S540" s="32">
        <v>4623100.2231905619</v>
      </c>
      <c r="T540" s="32">
        <v>4623100.2231905619</v>
      </c>
      <c r="U540" s="32">
        <v>4623100.2231905619</v>
      </c>
      <c r="V540" s="32">
        <v>4623100.2231905619</v>
      </c>
      <c r="W540" s="32">
        <v>4623100.2231905619</v>
      </c>
      <c r="X540" s="32">
        <v>4623100.2231905619</v>
      </c>
      <c r="Y540" s="32">
        <v>4623100.2231905619</v>
      </c>
      <c r="Z540" s="32">
        <v>4623100.2231905619</v>
      </c>
      <c r="AA540" s="32">
        <v>4623100.2231905619</v>
      </c>
      <c r="AB540" s="32">
        <v>4623100.2231905619</v>
      </c>
      <c r="AC540" s="32">
        <v>4623100.2231905619</v>
      </c>
      <c r="AD540" s="32">
        <v>4623100.2231905619</v>
      </c>
      <c r="AE540" s="32">
        <v>4623100.2231905619</v>
      </c>
      <c r="AF540" s="32">
        <v>4623100.2231905619</v>
      </c>
      <c r="AG540"/>
      <c r="AH540" s="17" t="s">
        <v>279</v>
      </c>
    </row>
    <row r="541" spans="2:34" hidden="1" outlineLevel="1" x14ac:dyDescent="0.25">
      <c r="B541" s="31" t="s">
        <v>149</v>
      </c>
      <c r="C541" s="32">
        <v>0</v>
      </c>
      <c r="D541" s="32">
        <v>0</v>
      </c>
      <c r="E541" s="32">
        <v>35030010.666666664</v>
      </c>
      <c r="F541" s="32">
        <v>136620623.22983801</v>
      </c>
      <c r="G541" s="32">
        <v>136620623.22983801</v>
      </c>
      <c r="H541" s="32">
        <v>133487839.42591646</v>
      </c>
      <c r="I541" s="32">
        <v>133487839.42591646</v>
      </c>
      <c r="J541" s="32">
        <v>133487839.42591646</v>
      </c>
      <c r="K541" s="32">
        <v>133487839.42591646</v>
      </c>
      <c r="L541" s="32">
        <v>133487839.42591646</v>
      </c>
      <c r="M541" s="32">
        <v>133487839.42591646</v>
      </c>
      <c r="N541" s="32">
        <v>131323249.06219096</v>
      </c>
      <c r="O541" s="32">
        <v>131323249.06219096</v>
      </c>
      <c r="P541" s="32">
        <v>130364547.97689685</v>
      </c>
      <c r="Q541" s="32">
        <v>130364547.97689685</v>
      </c>
      <c r="R541" s="32">
        <v>134987648.20008743</v>
      </c>
      <c r="S541" s="32">
        <v>134987648.20008743</v>
      </c>
      <c r="T541" s="32">
        <v>134628800.42193615</v>
      </c>
      <c r="U541" s="32">
        <v>134628800.42193615</v>
      </c>
      <c r="V541" s="32">
        <v>134628800.42193615</v>
      </c>
      <c r="W541" s="32">
        <v>134628800.42193615</v>
      </c>
      <c r="X541" s="32">
        <v>134628800.42193615</v>
      </c>
      <c r="Y541" s="32">
        <v>134628800.42193615</v>
      </c>
      <c r="Z541" s="32">
        <v>134628800.42193615</v>
      </c>
      <c r="AA541" s="32">
        <v>134628800.42193615</v>
      </c>
      <c r="AB541" s="32">
        <v>134628800.42193615</v>
      </c>
      <c r="AC541" s="32">
        <v>134628800.42193615</v>
      </c>
      <c r="AD541" s="32">
        <v>134628800.42193615</v>
      </c>
      <c r="AE541" s="32">
        <v>134628800.42193615</v>
      </c>
      <c r="AF541" s="32">
        <v>134628800.42193615</v>
      </c>
      <c r="AG541"/>
      <c r="AH541" s="17" t="s">
        <v>279</v>
      </c>
    </row>
    <row r="542" spans="2:34" hidden="1" outlineLevel="1" x14ac:dyDescent="0.25">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c r="AH542"/>
    </row>
    <row r="543" spans="2:34" hidden="1" outlineLevel="1" x14ac:dyDescent="0.25">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c r="AH543"/>
    </row>
    <row r="544" spans="2:34" ht="17.25" hidden="1" outlineLevel="1" thickBot="1" x14ac:dyDescent="0.3">
      <c r="B544" s="26" t="s">
        <v>282</v>
      </c>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row>
    <row r="545" spans="2:35" ht="16.5" hidden="1" outlineLevel="1" thickTop="1" thickBot="1" x14ac:dyDescent="0.3">
      <c r="B545" s="28" t="s">
        <v>278</v>
      </c>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0"/>
      <c r="AH545" s="20" t="s">
        <v>15</v>
      </c>
    </row>
    <row r="546" spans="2:35" customFormat="1" hidden="1" outlineLevel="1" x14ac:dyDescent="0.25">
      <c r="B546" s="30"/>
      <c r="C546" s="17">
        <v>2025</v>
      </c>
      <c r="D546" s="44">
        <v>2026</v>
      </c>
      <c r="E546" s="44">
        <v>2027</v>
      </c>
      <c r="F546" s="44">
        <v>2028</v>
      </c>
      <c r="G546" s="44">
        <v>2029</v>
      </c>
      <c r="H546" s="44">
        <v>2030</v>
      </c>
      <c r="I546" s="44">
        <v>2031</v>
      </c>
      <c r="J546" s="44">
        <v>2032</v>
      </c>
      <c r="K546" s="44">
        <v>2033</v>
      </c>
      <c r="L546" s="44">
        <v>2034</v>
      </c>
      <c r="M546" s="44">
        <v>2035</v>
      </c>
      <c r="N546" s="44">
        <v>2036</v>
      </c>
      <c r="O546" s="44">
        <v>2037</v>
      </c>
      <c r="P546" s="44">
        <v>2038</v>
      </c>
      <c r="Q546" s="44">
        <v>2039</v>
      </c>
      <c r="R546" s="44">
        <v>2040</v>
      </c>
      <c r="S546" s="44">
        <v>2041</v>
      </c>
      <c r="T546" s="44">
        <v>2042</v>
      </c>
      <c r="U546" s="44">
        <v>2043</v>
      </c>
      <c r="V546" s="44">
        <v>2044</v>
      </c>
      <c r="W546" s="44">
        <v>2045</v>
      </c>
      <c r="X546" s="44">
        <v>2046</v>
      </c>
      <c r="Y546" s="44">
        <v>2047</v>
      </c>
      <c r="Z546" s="44">
        <v>2048</v>
      </c>
      <c r="AA546" s="44">
        <v>2049</v>
      </c>
      <c r="AB546" s="44">
        <v>2050</v>
      </c>
      <c r="AC546" s="44">
        <v>2051</v>
      </c>
      <c r="AD546" s="44">
        <v>2052</v>
      </c>
      <c r="AE546" s="44">
        <v>2053</v>
      </c>
      <c r="AF546" s="44">
        <v>2054</v>
      </c>
      <c r="AH546" s="1"/>
      <c r="AI546" s="1"/>
    </row>
    <row r="547" spans="2:35" hidden="1" outlineLevel="1" x14ac:dyDescent="0.25">
      <c r="B547" s="31" t="s">
        <v>144</v>
      </c>
      <c r="C547" s="32">
        <v>342242.65102078754</v>
      </c>
      <c r="D547" s="32">
        <v>342242.65102078754</v>
      </c>
      <c r="E547" s="32">
        <v>342242.65102078754</v>
      </c>
      <c r="F547" s="32">
        <v>0</v>
      </c>
      <c r="G547" s="32">
        <v>0</v>
      </c>
      <c r="H547" s="32">
        <v>0</v>
      </c>
      <c r="I547" s="32">
        <v>0</v>
      </c>
      <c r="J547" s="32">
        <v>0</v>
      </c>
      <c r="K547" s="32">
        <v>0</v>
      </c>
      <c r="L547" s="32">
        <v>0</v>
      </c>
      <c r="M547" s="32">
        <v>0</v>
      </c>
      <c r="N547" s="32">
        <v>0</v>
      </c>
      <c r="O547" s="32">
        <v>0</v>
      </c>
      <c r="P547" s="32">
        <v>0</v>
      </c>
      <c r="Q547" s="32">
        <v>0</v>
      </c>
      <c r="R547" s="32">
        <v>0</v>
      </c>
      <c r="S547" s="32">
        <v>0</v>
      </c>
      <c r="T547" s="32">
        <v>0</v>
      </c>
      <c r="U547" s="32">
        <v>0</v>
      </c>
      <c r="V547" s="32">
        <v>0</v>
      </c>
      <c r="W547" s="32">
        <v>0</v>
      </c>
      <c r="X547" s="32">
        <v>0</v>
      </c>
      <c r="Y547" s="32">
        <v>0</v>
      </c>
      <c r="Z547" s="32">
        <v>0</v>
      </c>
      <c r="AA547" s="32">
        <v>0</v>
      </c>
      <c r="AB547" s="32">
        <v>0</v>
      </c>
      <c r="AC547" s="32">
        <v>0</v>
      </c>
      <c r="AD547" s="32">
        <v>0</v>
      </c>
      <c r="AE547" s="32">
        <v>0</v>
      </c>
      <c r="AF547" s="32">
        <v>0</v>
      </c>
      <c r="AG547"/>
      <c r="AH547" s="17" t="s">
        <v>279</v>
      </c>
    </row>
    <row r="548" spans="2:35" customFormat="1" hidden="1" outlineLevel="1" x14ac:dyDescent="0.25">
      <c r="B548" s="31" t="s">
        <v>145</v>
      </c>
      <c r="C548" s="32">
        <v>98109.353104549853</v>
      </c>
      <c r="D548" s="32">
        <v>98109.353104549853</v>
      </c>
      <c r="E548" s="32">
        <v>98109.353104549853</v>
      </c>
      <c r="F548" s="32">
        <v>0</v>
      </c>
      <c r="G548" s="32">
        <v>0</v>
      </c>
      <c r="H548" s="32">
        <v>0</v>
      </c>
      <c r="I548" s="32">
        <v>0</v>
      </c>
      <c r="J548" s="32">
        <v>0</v>
      </c>
      <c r="K548" s="32">
        <v>0</v>
      </c>
      <c r="L548" s="32">
        <v>0</v>
      </c>
      <c r="M548" s="32">
        <v>0</v>
      </c>
      <c r="N548" s="32">
        <v>0</v>
      </c>
      <c r="O548" s="32">
        <v>0</v>
      </c>
      <c r="P548" s="32">
        <v>0</v>
      </c>
      <c r="Q548" s="32">
        <v>0</v>
      </c>
      <c r="R548" s="32">
        <v>0</v>
      </c>
      <c r="S548" s="32">
        <v>0</v>
      </c>
      <c r="T548" s="32">
        <v>0</v>
      </c>
      <c r="U548" s="32">
        <v>0</v>
      </c>
      <c r="V548" s="32">
        <v>0</v>
      </c>
      <c r="W548" s="32">
        <v>0</v>
      </c>
      <c r="X548" s="32">
        <v>0</v>
      </c>
      <c r="Y548" s="32">
        <v>0</v>
      </c>
      <c r="Z548" s="32">
        <v>0</v>
      </c>
      <c r="AA548" s="32">
        <v>0</v>
      </c>
      <c r="AB548" s="32">
        <v>0</v>
      </c>
      <c r="AC548" s="32">
        <v>0</v>
      </c>
      <c r="AD548" s="32">
        <v>0</v>
      </c>
      <c r="AE548" s="32">
        <v>0</v>
      </c>
      <c r="AF548" s="32">
        <v>0</v>
      </c>
      <c r="AH548" s="17" t="s">
        <v>279</v>
      </c>
    </row>
    <row r="549" spans="2:35" hidden="1" outlineLevel="1" x14ac:dyDescent="0.25">
      <c r="B549" s="31" t="s">
        <v>244</v>
      </c>
      <c r="C549" s="32">
        <v>249408.4642786741</v>
      </c>
      <c r="D549" s="32">
        <v>249408.4642786741</v>
      </c>
      <c r="E549" s="32">
        <v>0</v>
      </c>
      <c r="F549" s="32">
        <v>0</v>
      </c>
      <c r="G549" s="32">
        <v>0</v>
      </c>
      <c r="H549" s="32">
        <v>0</v>
      </c>
      <c r="I549" s="32">
        <v>0</v>
      </c>
      <c r="J549" s="32">
        <v>0</v>
      </c>
      <c r="K549" s="32">
        <v>0</v>
      </c>
      <c r="L549" s="32">
        <v>0</v>
      </c>
      <c r="M549" s="32">
        <v>0</v>
      </c>
      <c r="N549" s="32">
        <v>0</v>
      </c>
      <c r="O549" s="32">
        <v>0</v>
      </c>
      <c r="P549" s="32">
        <v>0</v>
      </c>
      <c r="Q549" s="32">
        <v>0</v>
      </c>
      <c r="R549" s="32">
        <v>0</v>
      </c>
      <c r="S549" s="32">
        <v>0</v>
      </c>
      <c r="T549" s="32">
        <v>0</v>
      </c>
      <c r="U549" s="32">
        <v>0</v>
      </c>
      <c r="V549" s="32">
        <v>0</v>
      </c>
      <c r="W549" s="32">
        <v>0</v>
      </c>
      <c r="X549" s="32">
        <v>0</v>
      </c>
      <c r="Y549" s="32">
        <v>0</v>
      </c>
      <c r="Z549" s="32">
        <v>0</v>
      </c>
      <c r="AA549" s="32">
        <v>0</v>
      </c>
      <c r="AB549" s="32">
        <v>0</v>
      </c>
      <c r="AC549" s="32">
        <v>0</v>
      </c>
      <c r="AD549" s="32">
        <v>0</v>
      </c>
      <c r="AE549" s="32">
        <v>0</v>
      </c>
      <c r="AF549" s="32">
        <v>0</v>
      </c>
      <c r="AG549"/>
      <c r="AH549" s="17" t="s">
        <v>279</v>
      </c>
    </row>
    <row r="550" spans="2:35" hidden="1" outlineLevel="1" x14ac:dyDescent="0.25">
      <c r="B550" s="31" t="s">
        <v>147</v>
      </c>
      <c r="C550" s="32">
        <v>0</v>
      </c>
      <c r="D550" s="32">
        <v>0</v>
      </c>
      <c r="E550" s="32">
        <v>0</v>
      </c>
      <c r="F550" s="32">
        <v>0</v>
      </c>
      <c r="G550" s="32">
        <v>0</v>
      </c>
      <c r="H550" s="32">
        <v>0</v>
      </c>
      <c r="I550" s="32">
        <v>0</v>
      </c>
      <c r="J550" s="32">
        <v>0</v>
      </c>
      <c r="K550" s="32">
        <v>0</v>
      </c>
      <c r="L550" s="32">
        <v>0</v>
      </c>
      <c r="M550" s="32">
        <v>0</v>
      </c>
      <c r="N550" s="32">
        <v>0</v>
      </c>
      <c r="O550" s="32">
        <v>0</v>
      </c>
      <c r="P550" s="32">
        <v>0</v>
      </c>
      <c r="Q550" s="32">
        <v>0</v>
      </c>
      <c r="R550" s="32">
        <v>0</v>
      </c>
      <c r="S550" s="32">
        <v>0</v>
      </c>
      <c r="T550" s="32">
        <v>0</v>
      </c>
      <c r="U550" s="32">
        <v>0</v>
      </c>
      <c r="V550" s="32">
        <v>0</v>
      </c>
      <c r="W550" s="32">
        <v>0</v>
      </c>
      <c r="X550" s="32">
        <v>0</v>
      </c>
      <c r="Y550" s="32">
        <v>0</v>
      </c>
      <c r="Z550" s="32">
        <v>0</v>
      </c>
      <c r="AA550" s="32">
        <v>0</v>
      </c>
      <c r="AB550" s="32">
        <v>0</v>
      </c>
      <c r="AC550" s="32">
        <v>0</v>
      </c>
      <c r="AD550" s="32">
        <v>0</v>
      </c>
      <c r="AE550" s="32">
        <v>0</v>
      </c>
      <c r="AF550" s="32">
        <v>0</v>
      </c>
      <c r="AG550"/>
      <c r="AH550" s="17" t="s">
        <v>279</v>
      </c>
    </row>
    <row r="551" spans="2:35" hidden="1" outlineLevel="1" x14ac:dyDescent="0.25">
      <c r="B551" s="31" t="s">
        <v>245</v>
      </c>
      <c r="C551" s="32">
        <v>15010.998282483361</v>
      </c>
      <c r="D551" s="32">
        <v>15010.998282483361</v>
      </c>
      <c r="E551" s="32">
        <v>15010.998282483361</v>
      </c>
      <c r="F551" s="32">
        <v>0</v>
      </c>
      <c r="G551" s="32">
        <v>0</v>
      </c>
      <c r="H551" s="32">
        <v>0</v>
      </c>
      <c r="I551" s="32">
        <v>0</v>
      </c>
      <c r="J551" s="32">
        <v>0</v>
      </c>
      <c r="K551" s="32">
        <v>0</v>
      </c>
      <c r="L551" s="32">
        <v>0</v>
      </c>
      <c r="M551" s="32">
        <v>0</v>
      </c>
      <c r="N551" s="32">
        <v>0</v>
      </c>
      <c r="O551" s="32">
        <v>0</v>
      </c>
      <c r="P551" s="32">
        <v>0</v>
      </c>
      <c r="Q551" s="32">
        <v>0</v>
      </c>
      <c r="R551" s="32">
        <v>0</v>
      </c>
      <c r="S551" s="32">
        <v>0</v>
      </c>
      <c r="T551" s="32">
        <v>0</v>
      </c>
      <c r="U551" s="32">
        <v>0</v>
      </c>
      <c r="V551" s="32">
        <v>0</v>
      </c>
      <c r="W551" s="32">
        <v>0</v>
      </c>
      <c r="X551" s="32">
        <v>0</v>
      </c>
      <c r="Y551" s="32">
        <v>0</v>
      </c>
      <c r="Z551" s="32">
        <v>0</v>
      </c>
      <c r="AA551" s="32">
        <v>0</v>
      </c>
      <c r="AB551" s="32">
        <v>0</v>
      </c>
      <c r="AC551" s="32">
        <v>0</v>
      </c>
      <c r="AD551" s="32">
        <v>0</v>
      </c>
      <c r="AE551" s="32">
        <v>0</v>
      </c>
      <c r="AF551" s="32">
        <v>0</v>
      </c>
      <c r="AG551"/>
      <c r="AH551" s="17" t="s">
        <v>279</v>
      </c>
    </row>
    <row r="552" spans="2:35" hidden="1" outlineLevel="1" x14ac:dyDescent="0.25">
      <c r="B552" s="31" t="s">
        <v>149</v>
      </c>
      <c r="C552" s="32">
        <v>704771.46668649488</v>
      </c>
      <c r="D552" s="32">
        <v>704771.46668649488</v>
      </c>
      <c r="E552" s="32">
        <v>455363.00240782078</v>
      </c>
      <c r="F552" s="32">
        <v>0</v>
      </c>
      <c r="G552" s="32">
        <v>0</v>
      </c>
      <c r="H552" s="32">
        <v>0</v>
      </c>
      <c r="I552" s="32">
        <v>0</v>
      </c>
      <c r="J552" s="32">
        <v>0</v>
      </c>
      <c r="K552" s="32">
        <v>0</v>
      </c>
      <c r="L552" s="32">
        <v>0</v>
      </c>
      <c r="M552" s="32">
        <v>0</v>
      </c>
      <c r="N552" s="32">
        <v>0</v>
      </c>
      <c r="O552" s="32">
        <v>0</v>
      </c>
      <c r="P552" s="32">
        <v>0</v>
      </c>
      <c r="Q552" s="32">
        <v>0</v>
      </c>
      <c r="R552" s="32">
        <v>0</v>
      </c>
      <c r="S552" s="32">
        <v>0</v>
      </c>
      <c r="T552" s="32">
        <v>0</v>
      </c>
      <c r="U552" s="32">
        <v>0</v>
      </c>
      <c r="V552" s="32">
        <v>0</v>
      </c>
      <c r="W552" s="32">
        <v>0</v>
      </c>
      <c r="X552" s="32">
        <v>0</v>
      </c>
      <c r="Y552" s="32">
        <v>0</v>
      </c>
      <c r="Z552" s="32">
        <v>0</v>
      </c>
      <c r="AA552" s="32">
        <v>0</v>
      </c>
      <c r="AB552" s="32">
        <v>0</v>
      </c>
      <c r="AC552" s="32">
        <v>0</v>
      </c>
      <c r="AD552" s="32">
        <v>0</v>
      </c>
      <c r="AE552" s="32">
        <v>0</v>
      </c>
      <c r="AF552" s="32">
        <v>0</v>
      </c>
      <c r="AG552"/>
      <c r="AH552" s="17" t="s">
        <v>279</v>
      </c>
    </row>
    <row r="553" spans="2:35" hidden="1" outlineLevel="1" x14ac:dyDescent="0.25">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row>
    <row r="554" spans="2:35" ht="15.75" hidden="1" outlineLevel="1" thickBot="1" x14ac:dyDescent="0.3">
      <c r="B554" s="28" t="s">
        <v>280</v>
      </c>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0"/>
      <c r="AH554" s="20" t="s">
        <v>15</v>
      </c>
    </row>
    <row r="555" spans="2:35" customFormat="1" hidden="1" outlineLevel="1" x14ac:dyDescent="0.25">
      <c r="B555" s="30"/>
      <c r="C555" s="17">
        <v>2025</v>
      </c>
      <c r="D555" s="44">
        <v>2026</v>
      </c>
      <c r="E555" s="44">
        <v>2027</v>
      </c>
      <c r="F555" s="44">
        <v>2028</v>
      </c>
      <c r="G555" s="44">
        <v>2029</v>
      </c>
      <c r="H555" s="44">
        <v>2030</v>
      </c>
      <c r="I555" s="44">
        <v>2031</v>
      </c>
      <c r="J555" s="44">
        <v>2032</v>
      </c>
      <c r="K555" s="44">
        <v>2033</v>
      </c>
      <c r="L555" s="44">
        <v>2034</v>
      </c>
      <c r="M555" s="44">
        <v>2035</v>
      </c>
      <c r="N555" s="44">
        <v>2036</v>
      </c>
      <c r="O555" s="44">
        <v>2037</v>
      </c>
      <c r="P555" s="44">
        <v>2038</v>
      </c>
      <c r="Q555" s="44">
        <v>2039</v>
      </c>
      <c r="R555" s="44">
        <v>2040</v>
      </c>
      <c r="S555" s="44">
        <v>2041</v>
      </c>
      <c r="T555" s="44">
        <v>2042</v>
      </c>
      <c r="U555" s="44">
        <v>2043</v>
      </c>
      <c r="V555" s="44">
        <v>2044</v>
      </c>
      <c r="W555" s="44">
        <v>2045</v>
      </c>
      <c r="X555" s="44">
        <v>2046</v>
      </c>
      <c r="Y555" s="44">
        <v>2047</v>
      </c>
      <c r="Z555" s="44">
        <v>2048</v>
      </c>
      <c r="AA555" s="44">
        <v>2049</v>
      </c>
      <c r="AB555" s="44">
        <v>2050</v>
      </c>
      <c r="AC555" s="44">
        <v>2051</v>
      </c>
      <c r="AD555" s="44">
        <v>2052</v>
      </c>
      <c r="AE555" s="44">
        <v>2053</v>
      </c>
      <c r="AF555" s="44">
        <v>2054</v>
      </c>
      <c r="AH555" s="1"/>
    </row>
    <row r="556" spans="2:35" hidden="1" outlineLevel="1" x14ac:dyDescent="0.25">
      <c r="B556" s="31" t="s">
        <v>144</v>
      </c>
      <c r="C556" s="32">
        <v>0</v>
      </c>
      <c r="D556" s="32">
        <v>0</v>
      </c>
      <c r="E556" s="32">
        <v>0</v>
      </c>
      <c r="F556" s="32">
        <v>305603.30209601083</v>
      </c>
      <c r="G556" s="32">
        <v>305603.30209601083</v>
      </c>
      <c r="H556" s="32">
        <v>301207.80852934415</v>
      </c>
      <c r="I556" s="32">
        <v>301207.80852934415</v>
      </c>
      <c r="J556" s="32">
        <v>291945.6620454957</v>
      </c>
      <c r="K556" s="32">
        <v>291945.6620454957</v>
      </c>
      <c r="L556" s="32">
        <v>291945.6620454957</v>
      </c>
      <c r="M556" s="32">
        <v>291945.6620454957</v>
      </c>
      <c r="N556" s="32">
        <v>291945.6620454957</v>
      </c>
      <c r="O556" s="32">
        <v>291945.6620454957</v>
      </c>
      <c r="P556" s="32">
        <v>291945.6620454957</v>
      </c>
      <c r="Q556" s="32">
        <v>291945.6620454957</v>
      </c>
      <c r="R556" s="32">
        <v>291945.6620454957</v>
      </c>
      <c r="S556" s="32">
        <v>291945.6620454957</v>
      </c>
      <c r="T556" s="32">
        <v>291945.6620454957</v>
      </c>
      <c r="U556" s="32">
        <v>291945.6620454957</v>
      </c>
      <c r="V556" s="32">
        <v>291945.6620454957</v>
      </c>
      <c r="W556" s="32">
        <v>291945.6620454957</v>
      </c>
      <c r="X556" s="32">
        <v>291945.6620454957</v>
      </c>
      <c r="Y556" s="32">
        <v>291945.6620454957</v>
      </c>
      <c r="Z556" s="32">
        <v>291945.6620454957</v>
      </c>
      <c r="AA556" s="32">
        <v>291945.6620454957</v>
      </c>
      <c r="AB556" s="32">
        <v>291945.6620454957</v>
      </c>
      <c r="AC556" s="32">
        <v>291945.6620454957</v>
      </c>
      <c r="AD556" s="32">
        <v>291945.6620454957</v>
      </c>
      <c r="AE556" s="32">
        <v>291945.6620454957</v>
      </c>
      <c r="AF556" s="32">
        <v>291945.6620454957</v>
      </c>
      <c r="AG556"/>
      <c r="AH556" s="17" t="s">
        <v>279</v>
      </c>
    </row>
    <row r="557" spans="2:35" hidden="1" outlineLevel="1" x14ac:dyDescent="0.25">
      <c r="B557" s="31" t="s">
        <v>145</v>
      </c>
      <c r="C557" s="32">
        <v>0</v>
      </c>
      <c r="D557" s="32">
        <v>0</v>
      </c>
      <c r="E557" s="32">
        <v>0</v>
      </c>
      <c r="F557" s="32">
        <v>98109.353104549853</v>
      </c>
      <c r="G557" s="32">
        <v>98109.353104549853</v>
      </c>
      <c r="H557" s="32">
        <v>98109.353104549853</v>
      </c>
      <c r="I557" s="32">
        <v>98109.353104549853</v>
      </c>
      <c r="J557" s="32">
        <v>98109.353104549853</v>
      </c>
      <c r="K557" s="32">
        <v>98109.353104549853</v>
      </c>
      <c r="L557" s="32">
        <v>87477.430959262143</v>
      </c>
      <c r="M557" s="32">
        <v>87477.430959262143</v>
      </c>
      <c r="N557" s="32">
        <v>87477.430959262143</v>
      </c>
      <c r="O557" s="32">
        <v>87477.430959262143</v>
      </c>
      <c r="P557" s="32">
        <v>87287.517599226805</v>
      </c>
      <c r="Q557" s="32">
        <v>87287.517599226805</v>
      </c>
      <c r="R557" s="32">
        <v>86872.013217632499</v>
      </c>
      <c r="S557" s="32">
        <v>86872.013217632499</v>
      </c>
      <c r="T557" s="32">
        <v>85195.012122318236</v>
      </c>
      <c r="U557" s="32">
        <v>85195.012122318236</v>
      </c>
      <c r="V557" s="32">
        <v>85195.012122318236</v>
      </c>
      <c r="W557" s="32">
        <v>85195.012122318236</v>
      </c>
      <c r="X557" s="32">
        <v>85195.012122318236</v>
      </c>
      <c r="Y557" s="32">
        <v>85195.012122318236</v>
      </c>
      <c r="Z557" s="32">
        <v>85195.012122318236</v>
      </c>
      <c r="AA557" s="32">
        <v>85195.012122318236</v>
      </c>
      <c r="AB557" s="32">
        <v>83077.009532805183</v>
      </c>
      <c r="AC557" s="32">
        <v>83077.009532805183</v>
      </c>
      <c r="AD557" s="32">
        <v>83077.009532805183</v>
      </c>
      <c r="AE557" s="32">
        <v>83077.009532805183</v>
      </c>
      <c r="AF557" s="32">
        <v>83077.009532805183</v>
      </c>
      <c r="AG557"/>
      <c r="AH557" s="17" t="s">
        <v>279</v>
      </c>
    </row>
    <row r="558" spans="2:35" hidden="1" outlineLevel="1" x14ac:dyDescent="0.25">
      <c r="B558" s="31" t="s">
        <v>244</v>
      </c>
      <c r="C558" s="32">
        <v>0</v>
      </c>
      <c r="D558" s="32">
        <v>0</v>
      </c>
      <c r="E558" s="32">
        <v>249408.4642786741</v>
      </c>
      <c r="F558" s="32">
        <v>271089.76978868787</v>
      </c>
      <c r="G558" s="32">
        <v>271089.76978868787</v>
      </c>
      <c r="H558" s="32">
        <v>264563.44007260934</v>
      </c>
      <c r="I558" s="32">
        <v>264563.44007260934</v>
      </c>
      <c r="J558" s="32">
        <v>241469.52476634944</v>
      </c>
      <c r="K558" s="32">
        <v>241469.52476634944</v>
      </c>
      <c r="L558" s="32">
        <v>241469.52476634944</v>
      </c>
      <c r="M558" s="32">
        <v>241469.52476634944</v>
      </c>
      <c r="N558" s="32">
        <v>228160.89031826754</v>
      </c>
      <c r="O558" s="32">
        <v>228160.89031826754</v>
      </c>
      <c r="P558" s="32">
        <v>225094.6559789071</v>
      </c>
      <c r="Q558" s="32">
        <v>225094.6559789071</v>
      </c>
      <c r="R558" s="32">
        <v>231209.69947117515</v>
      </c>
      <c r="S558" s="32">
        <v>231209.69947117515</v>
      </c>
      <c r="T558" s="32">
        <v>231209.69947117515</v>
      </c>
      <c r="U558" s="32">
        <v>231209.69947117515</v>
      </c>
      <c r="V558" s="32">
        <v>229096.82281032932</v>
      </c>
      <c r="W558" s="32">
        <v>229096.82281032932</v>
      </c>
      <c r="X558" s="32">
        <v>229096.82281032932</v>
      </c>
      <c r="Y558" s="32">
        <v>229096.82281032932</v>
      </c>
      <c r="Z558" s="32">
        <v>229096.82281032932</v>
      </c>
      <c r="AA558" s="32">
        <v>229096.82281032932</v>
      </c>
      <c r="AB558" s="32">
        <v>229096.82281032932</v>
      </c>
      <c r="AC558" s="32">
        <v>229096.82281032932</v>
      </c>
      <c r="AD558" s="32">
        <v>229096.82281032932</v>
      </c>
      <c r="AE558" s="32">
        <v>229096.82281032932</v>
      </c>
      <c r="AF558" s="32">
        <v>229096.82281032932</v>
      </c>
      <c r="AG558"/>
      <c r="AH558" s="17" t="s">
        <v>279</v>
      </c>
    </row>
    <row r="559" spans="2:35" hidden="1" outlineLevel="1" x14ac:dyDescent="0.25">
      <c r="B559" s="31" t="s">
        <v>147</v>
      </c>
      <c r="C559" s="32">
        <v>0</v>
      </c>
      <c r="D559" s="32">
        <v>0</v>
      </c>
      <c r="E559" s="32">
        <v>0</v>
      </c>
      <c r="F559" s="32">
        <v>0</v>
      </c>
      <c r="G559" s="32">
        <v>0</v>
      </c>
      <c r="H559" s="32">
        <v>0</v>
      </c>
      <c r="I559" s="32">
        <v>0</v>
      </c>
      <c r="J559" s="32">
        <v>0</v>
      </c>
      <c r="K559" s="32">
        <v>0</v>
      </c>
      <c r="L559" s="32">
        <v>0</v>
      </c>
      <c r="M559" s="32">
        <v>0</v>
      </c>
      <c r="N559" s="32">
        <v>0</v>
      </c>
      <c r="O559" s="32">
        <v>0</v>
      </c>
      <c r="P559" s="32">
        <v>0</v>
      </c>
      <c r="Q559" s="32">
        <v>0</v>
      </c>
      <c r="R559" s="32">
        <v>0</v>
      </c>
      <c r="S559" s="32">
        <v>0</v>
      </c>
      <c r="T559" s="32">
        <v>0</v>
      </c>
      <c r="U559" s="32">
        <v>0</v>
      </c>
      <c r="V559" s="32">
        <v>0</v>
      </c>
      <c r="W559" s="32">
        <v>0</v>
      </c>
      <c r="X559" s="32">
        <v>0</v>
      </c>
      <c r="Y559" s="32">
        <v>0</v>
      </c>
      <c r="Z559" s="32">
        <v>0</v>
      </c>
      <c r="AA559" s="32">
        <v>0</v>
      </c>
      <c r="AB559" s="32">
        <v>0</v>
      </c>
      <c r="AC559" s="32">
        <v>0</v>
      </c>
      <c r="AD559" s="32">
        <v>0</v>
      </c>
      <c r="AE559" s="32">
        <v>0</v>
      </c>
      <c r="AF559" s="32">
        <v>0</v>
      </c>
      <c r="AG559"/>
      <c r="AH559" s="17" t="s">
        <v>279</v>
      </c>
    </row>
    <row r="560" spans="2:35" hidden="1" outlineLevel="1" x14ac:dyDescent="0.25">
      <c r="B560" s="31" t="s">
        <v>245</v>
      </c>
      <c r="C560" s="32">
        <v>0</v>
      </c>
      <c r="D560" s="32">
        <v>0</v>
      </c>
      <c r="E560" s="32">
        <v>0</v>
      </c>
      <c r="F560" s="32">
        <v>15010.998282483361</v>
      </c>
      <c r="G560" s="32">
        <v>15010.998282483361</v>
      </c>
      <c r="H560" s="32">
        <v>15010.998282483361</v>
      </c>
      <c r="I560" s="32">
        <v>15010.998282483361</v>
      </c>
      <c r="J560" s="32">
        <v>15010.998282483361</v>
      </c>
      <c r="K560" s="32">
        <v>15010.998282483361</v>
      </c>
      <c r="L560" s="32">
        <v>15010.998282483361</v>
      </c>
      <c r="M560" s="32">
        <v>15010.998282483361</v>
      </c>
      <c r="N560" s="32">
        <v>13436.692112233934</v>
      </c>
      <c r="O560" s="32">
        <v>13436.692112233934</v>
      </c>
      <c r="P560" s="32">
        <v>13436.692112233934</v>
      </c>
      <c r="Q560" s="32">
        <v>13436.692112233934</v>
      </c>
      <c r="R560" s="32">
        <v>51778.373813264858</v>
      </c>
      <c r="S560" s="32">
        <v>51778.373813264858</v>
      </c>
      <c r="T560" s="32">
        <v>51778.373813264858</v>
      </c>
      <c r="U560" s="32">
        <v>51778.373813264858</v>
      </c>
      <c r="V560" s="32">
        <v>51778.373813264858</v>
      </c>
      <c r="W560" s="32">
        <v>51778.373813264858</v>
      </c>
      <c r="X560" s="32">
        <v>51778.373813264858</v>
      </c>
      <c r="Y560" s="32">
        <v>51778.373813264858</v>
      </c>
      <c r="Z560" s="32">
        <v>51778.373813264858</v>
      </c>
      <c r="AA560" s="32">
        <v>51778.373813264858</v>
      </c>
      <c r="AB560" s="32">
        <v>51778.373813264858</v>
      </c>
      <c r="AC560" s="32">
        <v>51778.373813264858</v>
      </c>
      <c r="AD560" s="32">
        <v>51778.373813264858</v>
      </c>
      <c r="AE560" s="32">
        <v>51778.373813264858</v>
      </c>
      <c r="AF560" s="32">
        <v>51778.373813264858</v>
      </c>
      <c r="AG560"/>
      <c r="AH560" s="17" t="s">
        <v>279</v>
      </c>
    </row>
    <row r="561" spans="2:34" hidden="1" outlineLevel="1" x14ac:dyDescent="0.25">
      <c r="B561" s="31" t="s">
        <v>149</v>
      </c>
      <c r="C561" s="32">
        <v>0</v>
      </c>
      <c r="D561" s="32">
        <v>0</v>
      </c>
      <c r="E561" s="32">
        <v>249408.4642786741</v>
      </c>
      <c r="F561" s="32">
        <v>689813.42327173194</v>
      </c>
      <c r="G561" s="32">
        <v>689813.42327173194</v>
      </c>
      <c r="H561" s="32">
        <v>678891.59998898674</v>
      </c>
      <c r="I561" s="32">
        <v>678891.59998898674</v>
      </c>
      <c r="J561" s="32">
        <v>646535.53819887829</v>
      </c>
      <c r="K561" s="32">
        <v>646535.53819887829</v>
      </c>
      <c r="L561" s="32">
        <v>635903.61605359055</v>
      </c>
      <c r="M561" s="32">
        <v>635903.61605359055</v>
      </c>
      <c r="N561" s="32">
        <v>621020.67543525936</v>
      </c>
      <c r="O561" s="32">
        <v>621020.67543525936</v>
      </c>
      <c r="P561" s="32">
        <v>617764.52773586358</v>
      </c>
      <c r="Q561" s="32">
        <v>617764.52773586358</v>
      </c>
      <c r="R561" s="32">
        <v>661805.74854756822</v>
      </c>
      <c r="S561" s="32">
        <v>661805.74854756822</v>
      </c>
      <c r="T561" s="32">
        <v>660128.74745225406</v>
      </c>
      <c r="U561" s="32">
        <v>660128.74745225406</v>
      </c>
      <c r="V561" s="32">
        <v>658015.87079140812</v>
      </c>
      <c r="W561" s="32">
        <v>658015.87079140812</v>
      </c>
      <c r="X561" s="32">
        <v>658015.87079140812</v>
      </c>
      <c r="Y561" s="32">
        <v>658015.87079140812</v>
      </c>
      <c r="Z561" s="32">
        <v>658015.87079140812</v>
      </c>
      <c r="AA561" s="32">
        <v>658015.87079140812</v>
      </c>
      <c r="AB561" s="32">
        <v>655897.86820189503</v>
      </c>
      <c r="AC561" s="32">
        <v>655897.86820189503</v>
      </c>
      <c r="AD561" s="32">
        <v>655897.86820189503</v>
      </c>
      <c r="AE561" s="32">
        <v>655897.86820189503</v>
      </c>
      <c r="AF561" s="32">
        <v>655897.86820189503</v>
      </c>
      <c r="AG561"/>
      <c r="AH561" s="17" t="s">
        <v>279</v>
      </c>
    </row>
    <row r="562" spans="2:34" hidden="1" outlineLevel="1" x14ac:dyDescent="0.25">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row>
    <row r="563" spans="2:34" hidden="1" outlineLevel="1" x14ac:dyDescent="0.25">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row>
    <row r="564" spans="2:34" ht="17.25" hidden="1" outlineLevel="1" thickBot="1" x14ac:dyDescent="0.3">
      <c r="B564" s="26" t="s">
        <v>283</v>
      </c>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row>
    <row r="565" spans="2:34" ht="16.5" hidden="1" outlineLevel="1" thickTop="1" thickBot="1" x14ac:dyDescent="0.3">
      <c r="B565" s="28" t="s">
        <v>278</v>
      </c>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0"/>
      <c r="AH565" s="20" t="s">
        <v>15</v>
      </c>
    </row>
    <row r="566" spans="2:34" customFormat="1" hidden="1" outlineLevel="1" x14ac:dyDescent="0.25">
      <c r="B566" s="30"/>
      <c r="C566" s="17">
        <v>2025</v>
      </c>
      <c r="D566" s="44">
        <v>2026</v>
      </c>
      <c r="E566" s="44">
        <v>2027</v>
      </c>
      <c r="F566" s="44">
        <v>2028</v>
      </c>
      <c r="G566" s="44">
        <v>2029</v>
      </c>
      <c r="H566" s="44">
        <v>2030</v>
      </c>
      <c r="I566" s="44">
        <v>2031</v>
      </c>
      <c r="J566" s="44">
        <v>2032</v>
      </c>
      <c r="K566" s="44">
        <v>2033</v>
      </c>
      <c r="L566" s="44">
        <v>2034</v>
      </c>
      <c r="M566" s="44">
        <v>2035</v>
      </c>
      <c r="N566" s="44">
        <v>2036</v>
      </c>
      <c r="O566" s="44">
        <v>2037</v>
      </c>
      <c r="P566" s="44">
        <v>2038</v>
      </c>
      <c r="Q566" s="44">
        <v>2039</v>
      </c>
      <c r="R566" s="44">
        <v>2040</v>
      </c>
      <c r="S566" s="44">
        <v>2041</v>
      </c>
      <c r="T566" s="44">
        <v>2042</v>
      </c>
      <c r="U566" s="44">
        <v>2043</v>
      </c>
      <c r="V566" s="44">
        <v>2044</v>
      </c>
      <c r="W566" s="44">
        <v>2045</v>
      </c>
      <c r="X566" s="44">
        <v>2046</v>
      </c>
      <c r="Y566" s="44">
        <v>2047</v>
      </c>
      <c r="Z566" s="44">
        <v>2048</v>
      </c>
      <c r="AA566" s="44">
        <v>2049</v>
      </c>
      <c r="AB566" s="44">
        <v>2050</v>
      </c>
      <c r="AC566" s="44">
        <v>2051</v>
      </c>
      <c r="AD566" s="44">
        <v>2052</v>
      </c>
      <c r="AE566" s="44">
        <v>2053</v>
      </c>
      <c r="AF566" s="44">
        <v>2054</v>
      </c>
      <c r="AH566" s="1"/>
    </row>
    <row r="567" spans="2:34" hidden="1" outlineLevel="1" x14ac:dyDescent="0.25">
      <c r="B567" s="31" t="s">
        <v>144</v>
      </c>
      <c r="C567" s="32">
        <v>8678140.1263548788</v>
      </c>
      <c r="D567" s="32">
        <v>8678140.1263548788</v>
      </c>
      <c r="E567" s="32">
        <v>8678140.1263548788</v>
      </c>
      <c r="F567" s="32">
        <v>0</v>
      </c>
      <c r="G567" s="32">
        <v>0</v>
      </c>
      <c r="H567" s="32">
        <v>0</v>
      </c>
      <c r="I567" s="32">
        <v>0</v>
      </c>
      <c r="J567" s="32">
        <v>0</v>
      </c>
      <c r="K567" s="32">
        <v>0</v>
      </c>
      <c r="L567" s="32">
        <v>0</v>
      </c>
      <c r="M567" s="32">
        <v>0</v>
      </c>
      <c r="N567" s="32">
        <v>0</v>
      </c>
      <c r="O567" s="32">
        <v>0</v>
      </c>
      <c r="P567" s="32">
        <v>0</v>
      </c>
      <c r="Q567" s="32">
        <v>0</v>
      </c>
      <c r="R567" s="32">
        <v>0</v>
      </c>
      <c r="S567" s="32">
        <v>0</v>
      </c>
      <c r="T567" s="32">
        <v>0</v>
      </c>
      <c r="U567" s="32">
        <v>0</v>
      </c>
      <c r="V567" s="32">
        <v>0</v>
      </c>
      <c r="W567" s="32">
        <v>0</v>
      </c>
      <c r="X567" s="32">
        <v>0</v>
      </c>
      <c r="Y567" s="32">
        <v>0</v>
      </c>
      <c r="Z567" s="32">
        <v>0</v>
      </c>
      <c r="AA567" s="32">
        <v>0</v>
      </c>
      <c r="AB567" s="32">
        <v>0</v>
      </c>
      <c r="AC567" s="32">
        <v>0</v>
      </c>
      <c r="AD567" s="32">
        <v>0</v>
      </c>
      <c r="AE567" s="32">
        <v>0</v>
      </c>
      <c r="AF567" s="32">
        <v>0</v>
      </c>
      <c r="AG567"/>
      <c r="AH567" s="17" t="s">
        <v>279</v>
      </c>
    </row>
    <row r="568" spans="2:34" hidden="1" outlineLevel="1" x14ac:dyDescent="0.25">
      <c r="B568" s="31" t="s">
        <v>145</v>
      </c>
      <c r="C568" s="32">
        <v>3544817.3883669907</v>
      </c>
      <c r="D568" s="32">
        <v>7148037.0083669899</v>
      </c>
      <c r="E568" s="32">
        <v>7148037.0083669899</v>
      </c>
      <c r="F568" s="32">
        <v>0</v>
      </c>
      <c r="G568" s="32">
        <v>0</v>
      </c>
      <c r="H568" s="32">
        <v>0</v>
      </c>
      <c r="I568" s="32">
        <v>0</v>
      </c>
      <c r="J568" s="32">
        <v>0</v>
      </c>
      <c r="K568" s="32">
        <v>0</v>
      </c>
      <c r="L568" s="32">
        <v>0</v>
      </c>
      <c r="M568" s="32">
        <v>0</v>
      </c>
      <c r="N568" s="32">
        <v>0</v>
      </c>
      <c r="O568" s="32">
        <v>0</v>
      </c>
      <c r="P568" s="32">
        <v>0</v>
      </c>
      <c r="Q568" s="32">
        <v>0</v>
      </c>
      <c r="R568" s="32">
        <v>0</v>
      </c>
      <c r="S568" s="32">
        <v>0</v>
      </c>
      <c r="T568" s="32">
        <v>0</v>
      </c>
      <c r="U568" s="32">
        <v>0</v>
      </c>
      <c r="V568" s="32">
        <v>0</v>
      </c>
      <c r="W568" s="32">
        <v>0</v>
      </c>
      <c r="X568" s="32">
        <v>0</v>
      </c>
      <c r="Y568" s="32">
        <v>0</v>
      </c>
      <c r="Z568" s="32">
        <v>0</v>
      </c>
      <c r="AA568" s="32">
        <v>0</v>
      </c>
      <c r="AB568" s="32">
        <v>0</v>
      </c>
      <c r="AC568" s="32">
        <v>0</v>
      </c>
      <c r="AD568" s="32">
        <v>0</v>
      </c>
      <c r="AE568" s="32">
        <v>0</v>
      </c>
      <c r="AF568" s="32">
        <v>0</v>
      </c>
      <c r="AG568"/>
      <c r="AH568" s="17" t="s">
        <v>279</v>
      </c>
    </row>
    <row r="569" spans="2:34" hidden="1" outlineLevel="1" x14ac:dyDescent="0.25">
      <c r="B569" s="31" t="s">
        <v>244</v>
      </c>
      <c r="C569" s="32">
        <v>10424562.72955735</v>
      </c>
      <c r="D569" s="32">
        <v>10424562.72955735</v>
      </c>
      <c r="E569" s="32">
        <v>0</v>
      </c>
      <c r="F569" s="32">
        <v>0</v>
      </c>
      <c r="G569" s="32">
        <v>0</v>
      </c>
      <c r="H569" s="32">
        <v>0</v>
      </c>
      <c r="I569" s="32">
        <v>0</v>
      </c>
      <c r="J569" s="32">
        <v>0</v>
      </c>
      <c r="K569" s="32">
        <v>0</v>
      </c>
      <c r="L569" s="32">
        <v>0</v>
      </c>
      <c r="M569" s="32">
        <v>0</v>
      </c>
      <c r="N569" s="32">
        <v>0</v>
      </c>
      <c r="O569" s="32">
        <v>0</v>
      </c>
      <c r="P569" s="32">
        <v>0</v>
      </c>
      <c r="Q569" s="32">
        <v>0</v>
      </c>
      <c r="R569" s="32">
        <v>0</v>
      </c>
      <c r="S569" s="32">
        <v>0</v>
      </c>
      <c r="T569" s="32">
        <v>0</v>
      </c>
      <c r="U569" s="32">
        <v>0</v>
      </c>
      <c r="V569" s="32">
        <v>0</v>
      </c>
      <c r="W569" s="32">
        <v>0</v>
      </c>
      <c r="X569" s="32">
        <v>0</v>
      </c>
      <c r="Y569" s="32">
        <v>0</v>
      </c>
      <c r="Z569" s="32">
        <v>0</v>
      </c>
      <c r="AA569" s="32">
        <v>0</v>
      </c>
      <c r="AB569" s="32">
        <v>0</v>
      </c>
      <c r="AC569" s="32">
        <v>0</v>
      </c>
      <c r="AD569" s="32">
        <v>0</v>
      </c>
      <c r="AE569" s="32">
        <v>0</v>
      </c>
      <c r="AF569" s="32">
        <v>0</v>
      </c>
      <c r="AG569"/>
      <c r="AH569" s="17" t="s">
        <v>279</v>
      </c>
    </row>
    <row r="570" spans="2:34" hidden="1" outlineLevel="1" x14ac:dyDescent="0.25">
      <c r="B570" s="31" t="s">
        <v>147</v>
      </c>
      <c r="C570" s="32">
        <v>0</v>
      </c>
      <c r="D570" s="32">
        <v>0</v>
      </c>
      <c r="E570" s="32">
        <v>0</v>
      </c>
      <c r="F570" s="32">
        <v>0</v>
      </c>
      <c r="G570" s="32">
        <v>0</v>
      </c>
      <c r="H570" s="32">
        <v>0</v>
      </c>
      <c r="I570" s="32">
        <v>0</v>
      </c>
      <c r="J570" s="32">
        <v>0</v>
      </c>
      <c r="K570" s="32">
        <v>0</v>
      </c>
      <c r="L570" s="32">
        <v>0</v>
      </c>
      <c r="M570" s="32">
        <v>0</v>
      </c>
      <c r="N570" s="32">
        <v>0</v>
      </c>
      <c r="O570" s="32">
        <v>0</v>
      </c>
      <c r="P570" s="32">
        <v>0</v>
      </c>
      <c r="Q570" s="32">
        <v>0</v>
      </c>
      <c r="R570" s="32">
        <v>0</v>
      </c>
      <c r="S570" s="32">
        <v>0</v>
      </c>
      <c r="T570" s="32">
        <v>0</v>
      </c>
      <c r="U570" s="32">
        <v>0</v>
      </c>
      <c r="V570" s="32">
        <v>0</v>
      </c>
      <c r="W570" s="32">
        <v>0</v>
      </c>
      <c r="X570" s="32">
        <v>0</v>
      </c>
      <c r="Y570" s="32">
        <v>0</v>
      </c>
      <c r="Z570" s="32">
        <v>0</v>
      </c>
      <c r="AA570" s="32">
        <v>0</v>
      </c>
      <c r="AB570" s="32">
        <v>0</v>
      </c>
      <c r="AC570" s="32">
        <v>0</v>
      </c>
      <c r="AD570" s="32">
        <v>0</v>
      </c>
      <c r="AE570" s="32">
        <v>0</v>
      </c>
      <c r="AF570" s="32">
        <v>0</v>
      </c>
      <c r="AG570"/>
      <c r="AH570" s="17" t="s">
        <v>279</v>
      </c>
    </row>
    <row r="571" spans="2:34" hidden="1" outlineLevel="1" x14ac:dyDescent="0.25">
      <c r="B571" s="31" t="s">
        <v>245</v>
      </c>
      <c r="C571" s="32">
        <v>1207501.7119999998</v>
      </c>
      <c r="D571" s="32">
        <v>1207501.7119999998</v>
      </c>
      <c r="E571" s="32">
        <v>1207501.7119999998</v>
      </c>
      <c r="F571" s="32">
        <v>0</v>
      </c>
      <c r="G571" s="32">
        <v>0</v>
      </c>
      <c r="H571" s="32">
        <v>0</v>
      </c>
      <c r="I571" s="32">
        <v>0</v>
      </c>
      <c r="J571" s="32">
        <v>0</v>
      </c>
      <c r="K571" s="32">
        <v>0</v>
      </c>
      <c r="L571" s="32">
        <v>0</v>
      </c>
      <c r="M571" s="32">
        <v>0</v>
      </c>
      <c r="N571" s="32">
        <v>0</v>
      </c>
      <c r="O571" s="32">
        <v>0</v>
      </c>
      <c r="P571" s="32">
        <v>0</v>
      </c>
      <c r="Q571" s="32">
        <v>0</v>
      </c>
      <c r="R571" s="32">
        <v>0</v>
      </c>
      <c r="S571" s="32">
        <v>0</v>
      </c>
      <c r="T571" s="32">
        <v>0</v>
      </c>
      <c r="U571" s="32">
        <v>0</v>
      </c>
      <c r="V571" s="32">
        <v>0</v>
      </c>
      <c r="W571" s="32">
        <v>0</v>
      </c>
      <c r="X571" s="32">
        <v>0</v>
      </c>
      <c r="Y571" s="32">
        <v>0</v>
      </c>
      <c r="Z571" s="32">
        <v>0</v>
      </c>
      <c r="AA571" s="32">
        <v>0</v>
      </c>
      <c r="AB571" s="32">
        <v>0</v>
      </c>
      <c r="AC571" s="32">
        <v>0</v>
      </c>
      <c r="AD571" s="32">
        <v>0</v>
      </c>
      <c r="AE571" s="32">
        <v>0</v>
      </c>
      <c r="AF571" s="32">
        <v>0</v>
      </c>
      <c r="AG571"/>
      <c r="AH571" s="17" t="s">
        <v>279</v>
      </c>
    </row>
    <row r="572" spans="2:34" hidden="1" outlineLevel="1" x14ac:dyDescent="0.25">
      <c r="B572" s="31" t="s">
        <v>149</v>
      </c>
      <c r="C572" s="32">
        <v>23855021.956279222</v>
      </c>
      <c r="D572" s="32">
        <v>27458241.576279219</v>
      </c>
      <c r="E572" s="32">
        <v>17033678.846721869</v>
      </c>
      <c r="F572" s="32">
        <v>0</v>
      </c>
      <c r="G572" s="32">
        <v>0</v>
      </c>
      <c r="H572" s="32">
        <v>0</v>
      </c>
      <c r="I572" s="32">
        <v>0</v>
      </c>
      <c r="J572" s="32">
        <v>0</v>
      </c>
      <c r="K572" s="32">
        <v>0</v>
      </c>
      <c r="L572" s="32">
        <v>0</v>
      </c>
      <c r="M572" s="32">
        <v>0</v>
      </c>
      <c r="N572" s="32">
        <v>0</v>
      </c>
      <c r="O572" s="32">
        <v>0</v>
      </c>
      <c r="P572" s="32">
        <v>0</v>
      </c>
      <c r="Q572" s="32">
        <v>0</v>
      </c>
      <c r="R572" s="32">
        <v>0</v>
      </c>
      <c r="S572" s="32">
        <v>0</v>
      </c>
      <c r="T572" s="32">
        <v>0</v>
      </c>
      <c r="U572" s="32">
        <v>0</v>
      </c>
      <c r="V572" s="32">
        <v>0</v>
      </c>
      <c r="W572" s="32">
        <v>0</v>
      </c>
      <c r="X572" s="32">
        <v>0</v>
      </c>
      <c r="Y572" s="32">
        <v>0</v>
      </c>
      <c r="Z572" s="32">
        <v>0</v>
      </c>
      <c r="AA572" s="32">
        <v>0</v>
      </c>
      <c r="AB572" s="32">
        <v>0</v>
      </c>
      <c r="AC572" s="32">
        <v>0</v>
      </c>
      <c r="AD572" s="32">
        <v>0</v>
      </c>
      <c r="AE572" s="32">
        <v>0</v>
      </c>
      <c r="AF572" s="32">
        <v>0</v>
      </c>
      <c r="AG572"/>
      <c r="AH572" s="17" t="s">
        <v>279</v>
      </c>
    </row>
    <row r="573" spans="2:34" hidden="1" outlineLevel="1" x14ac:dyDescent="0.25">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row>
    <row r="574" spans="2:34" ht="15.75" hidden="1" outlineLevel="1" thickBot="1" x14ac:dyDescent="0.3">
      <c r="B574" s="28" t="s">
        <v>280</v>
      </c>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0"/>
      <c r="AH574" s="20" t="s">
        <v>15</v>
      </c>
    </row>
    <row r="575" spans="2:34" customFormat="1" hidden="1" outlineLevel="1" x14ac:dyDescent="0.25">
      <c r="B575" s="30"/>
      <c r="C575" s="17">
        <v>2025</v>
      </c>
      <c r="D575" s="44">
        <v>2026</v>
      </c>
      <c r="E575" s="44">
        <v>2027</v>
      </c>
      <c r="F575" s="44">
        <v>2028</v>
      </c>
      <c r="G575" s="44">
        <v>2029</v>
      </c>
      <c r="H575" s="44">
        <v>2030</v>
      </c>
      <c r="I575" s="44">
        <v>2031</v>
      </c>
      <c r="J575" s="44">
        <v>2032</v>
      </c>
      <c r="K575" s="44">
        <v>2033</v>
      </c>
      <c r="L575" s="44">
        <v>2034</v>
      </c>
      <c r="M575" s="44">
        <v>2035</v>
      </c>
      <c r="N575" s="44">
        <v>2036</v>
      </c>
      <c r="O575" s="44">
        <v>2037</v>
      </c>
      <c r="P575" s="44">
        <v>2038</v>
      </c>
      <c r="Q575" s="44">
        <v>2039</v>
      </c>
      <c r="R575" s="44">
        <v>2040</v>
      </c>
      <c r="S575" s="44">
        <v>2041</v>
      </c>
      <c r="T575" s="44">
        <v>2042</v>
      </c>
      <c r="U575" s="44">
        <v>2043</v>
      </c>
      <c r="V575" s="44">
        <v>2044</v>
      </c>
      <c r="W575" s="44">
        <v>2045</v>
      </c>
      <c r="X575" s="44">
        <v>2046</v>
      </c>
      <c r="Y575" s="44">
        <v>2047</v>
      </c>
      <c r="Z575" s="44">
        <v>2048</v>
      </c>
      <c r="AA575" s="44">
        <v>2049</v>
      </c>
      <c r="AB575" s="44">
        <v>2050</v>
      </c>
      <c r="AC575" s="44">
        <v>2051</v>
      </c>
      <c r="AD575" s="44">
        <v>2052</v>
      </c>
      <c r="AE575" s="44">
        <v>2053</v>
      </c>
      <c r="AF575" s="44">
        <v>2054</v>
      </c>
      <c r="AH575" s="1"/>
    </row>
    <row r="576" spans="2:34" hidden="1" outlineLevel="1" x14ac:dyDescent="0.25">
      <c r="B576" s="31" t="s">
        <v>144</v>
      </c>
      <c r="C576" s="32">
        <v>0</v>
      </c>
      <c r="D576" s="32">
        <v>0</v>
      </c>
      <c r="E576" s="32">
        <v>0</v>
      </c>
      <c r="F576" s="32">
        <v>8237611.3694371348</v>
      </c>
      <c r="G576" s="32">
        <v>8237611.3694371348</v>
      </c>
      <c r="H576" s="32">
        <v>9012734.2894371357</v>
      </c>
      <c r="I576" s="32">
        <v>9012734.2894371357</v>
      </c>
      <c r="J576" s="32">
        <v>8552617.6962371375</v>
      </c>
      <c r="K576" s="32">
        <v>8552617.6962371375</v>
      </c>
      <c r="L576" s="32">
        <v>9180639.3762371354</v>
      </c>
      <c r="M576" s="32">
        <v>9180639.3762371354</v>
      </c>
      <c r="N576" s="32">
        <v>9180639.3762371354</v>
      </c>
      <c r="O576" s="32">
        <v>9180639.3762371354</v>
      </c>
      <c r="P576" s="32">
        <v>9180639.3762371354</v>
      </c>
      <c r="Q576" s="32">
        <v>9180639.3762371354</v>
      </c>
      <c r="R576" s="32">
        <v>9180639.3762371354</v>
      </c>
      <c r="S576" s="32">
        <v>9180639.3762371354</v>
      </c>
      <c r="T576" s="32">
        <v>9180639.3762371354</v>
      </c>
      <c r="U576" s="32">
        <v>9180639.3762371354</v>
      </c>
      <c r="V576" s="32">
        <v>9180639.3762371354</v>
      </c>
      <c r="W576" s="32">
        <v>9180639.3762371354</v>
      </c>
      <c r="X576" s="32">
        <v>9180639.3762371354</v>
      </c>
      <c r="Y576" s="32">
        <v>9180639.3762371354</v>
      </c>
      <c r="Z576" s="32">
        <v>9180639.3762371354</v>
      </c>
      <c r="AA576" s="32">
        <v>9180639.3762371354</v>
      </c>
      <c r="AB576" s="32">
        <v>9180639.3762371354</v>
      </c>
      <c r="AC576" s="32">
        <v>9180639.3762371354</v>
      </c>
      <c r="AD576" s="32">
        <v>9180639.3762371354</v>
      </c>
      <c r="AE576" s="32">
        <v>9180639.3762371354</v>
      </c>
      <c r="AF576" s="32">
        <v>9180639.3762371354</v>
      </c>
      <c r="AG576"/>
      <c r="AH576" s="17" t="s">
        <v>279</v>
      </c>
    </row>
    <row r="577" spans="2:35" hidden="1" outlineLevel="1" x14ac:dyDescent="0.25">
      <c r="B577" s="31" t="s">
        <v>145</v>
      </c>
      <c r="C577" s="32">
        <v>0</v>
      </c>
      <c r="D577" s="32">
        <v>0</v>
      </c>
      <c r="E577" s="32">
        <v>0</v>
      </c>
      <c r="F577" s="32">
        <v>7148037.0083669899</v>
      </c>
      <c r="G577" s="32">
        <v>7148037.0083669899</v>
      </c>
      <c r="H577" s="32">
        <v>7234294.6083669895</v>
      </c>
      <c r="I577" s="32">
        <v>7234294.6083669895</v>
      </c>
      <c r="J577" s="32">
        <v>7234294.6083669895</v>
      </c>
      <c r="K577" s="32">
        <v>7234294.6083669895</v>
      </c>
      <c r="L577" s="32">
        <v>7082106.2166567408</v>
      </c>
      <c r="M577" s="32">
        <v>7082106.2166567408</v>
      </c>
      <c r="N577" s="32">
        <v>7082106.2166567408</v>
      </c>
      <c r="O577" s="32">
        <v>7082106.2166567408</v>
      </c>
      <c r="P577" s="32">
        <v>7070995.9866567403</v>
      </c>
      <c r="Q577" s="32">
        <v>7070995.9866567403</v>
      </c>
      <c r="R577" s="32">
        <v>7414629.3906567395</v>
      </c>
      <c r="S577" s="32">
        <v>7414629.3906567395</v>
      </c>
      <c r="T577" s="32">
        <v>7414629.3906567395</v>
      </c>
      <c r="U577" s="32">
        <v>7414629.3906567395</v>
      </c>
      <c r="V577" s="32">
        <v>7414629.3906567395</v>
      </c>
      <c r="W577" s="32">
        <v>7414629.3906567395</v>
      </c>
      <c r="X577" s="32">
        <v>7414629.3906567395</v>
      </c>
      <c r="Y577" s="32">
        <v>7414629.3906567395</v>
      </c>
      <c r="Z577" s="32">
        <v>7414629.3906567395</v>
      </c>
      <c r="AA577" s="32">
        <v>7414629.3906567395</v>
      </c>
      <c r="AB577" s="32">
        <v>7275034.2137464946</v>
      </c>
      <c r="AC577" s="32">
        <v>7275034.2137464946</v>
      </c>
      <c r="AD577" s="32">
        <v>7275034.2137464946</v>
      </c>
      <c r="AE577" s="32">
        <v>7275034.2137464946</v>
      </c>
      <c r="AF577" s="32">
        <v>7275034.2137464946</v>
      </c>
      <c r="AG577"/>
      <c r="AH577" s="17" t="s">
        <v>279</v>
      </c>
    </row>
    <row r="578" spans="2:35" hidden="1" outlineLevel="1" x14ac:dyDescent="0.25">
      <c r="B578" s="31" t="s">
        <v>244</v>
      </c>
      <c r="C578" s="32">
        <v>0</v>
      </c>
      <c r="D578" s="32">
        <v>0</v>
      </c>
      <c r="E578" s="32">
        <v>10424562.72955735</v>
      </c>
      <c r="F578" s="32">
        <v>14928448.609557347</v>
      </c>
      <c r="G578" s="32">
        <v>14928448.609557347</v>
      </c>
      <c r="H578" s="32">
        <v>16003705.267622186</v>
      </c>
      <c r="I578" s="32">
        <v>16003705.267622186</v>
      </c>
      <c r="J578" s="32">
        <v>15247954.784394085</v>
      </c>
      <c r="K578" s="32">
        <v>15247954.784394085</v>
      </c>
      <c r="L578" s="32">
        <v>15247954.784394085</v>
      </c>
      <c r="M578" s="32">
        <v>15247954.784394085</v>
      </c>
      <c r="N578" s="32">
        <v>15033617.237543011</v>
      </c>
      <c r="O578" s="32">
        <v>15033617.237543011</v>
      </c>
      <c r="P578" s="32">
        <v>14997195.012872687</v>
      </c>
      <c r="Q578" s="32">
        <v>14997195.012872687</v>
      </c>
      <c r="R578" s="32">
        <v>15766985.012872687</v>
      </c>
      <c r="S578" s="32">
        <v>15766985.012872687</v>
      </c>
      <c r="T578" s="32">
        <v>15766985.012872687</v>
      </c>
      <c r="U578" s="32">
        <v>15766985.012872687</v>
      </c>
      <c r="V578" s="32">
        <v>15661982.603749251</v>
      </c>
      <c r="W578" s="32">
        <v>15661982.603749251</v>
      </c>
      <c r="X578" s="32">
        <v>15661982.603749251</v>
      </c>
      <c r="Y578" s="32">
        <v>15661982.603749251</v>
      </c>
      <c r="Z578" s="32">
        <v>15661982.603749251</v>
      </c>
      <c r="AA578" s="32">
        <v>15661982.603749251</v>
      </c>
      <c r="AB578" s="32">
        <v>15661982.603749251</v>
      </c>
      <c r="AC578" s="32">
        <v>15661982.603749251</v>
      </c>
      <c r="AD578" s="32">
        <v>15661982.603749251</v>
      </c>
      <c r="AE578" s="32">
        <v>15661982.603749251</v>
      </c>
      <c r="AF578" s="32">
        <v>15661982.603749251</v>
      </c>
      <c r="AG578"/>
      <c r="AH578" s="17" t="s">
        <v>279</v>
      </c>
    </row>
    <row r="579" spans="2:35" hidden="1" outlineLevel="1" x14ac:dyDescent="0.25">
      <c r="B579" s="31" t="s">
        <v>147</v>
      </c>
      <c r="C579" s="32">
        <v>0</v>
      </c>
      <c r="D579" s="32">
        <v>0</v>
      </c>
      <c r="E579" s="32">
        <v>0</v>
      </c>
      <c r="F579" s="32">
        <v>0</v>
      </c>
      <c r="G579" s="32">
        <v>0</v>
      </c>
      <c r="H579" s="32">
        <v>0</v>
      </c>
      <c r="I579" s="32">
        <v>0</v>
      </c>
      <c r="J579" s="32">
        <v>0</v>
      </c>
      <c r="K579" s="32">
        <v>0</v>
      </c>
      <c r="L579" s="32">
        <v>0</v>
      </c>
      <c r="M579" s="32">
        <v>0</v>
      </c>
      <c r="N579" s="32">
        <v>0</v>
      </c>
      <c r="O579" s="32">
        <v>0</v>
      </c>
      <c r="P579" s="32">
        <v>0</v>
      </c>
      <c r="Q579" s="32">
        <v>0</v>
      </c>
      <c r="R579" s="32">
        <v>0</v>
      </c>
      <c r="S579" s="32">
        <v>0</v>
      </c>
      <c r="T579" s="32">
        <v>0</v>
      </c>
      <c r="U579" s="32">
        <v>0</v>
      </c>
      <c r="V579" s="32">
        <v>0</v>
      </c>
      <c r="W579" s="32">
        <v>0</v>
      </c>
      <c r="X579" s="32">
        <v>0</v>
      </c>
      <c r="Y579" s="32">
        <v>0</v>
      </c>
      <c r="Z579" s="32">
        <v>0</v>
      </c>
      <c r="AA579" s="32">
        <v>0</v>
      </c>
      <c r="AB579" s="32">
        <v>0</v>
      </c>
      <c r="AC579" s="32">
        <v>0</v>
      </c>
      <c r="AD579" s="32">
        <v>0</v>
      </c>
      <c r="AE579" s="32">
        <v>0</v>
      </c>
      <c r="AF579" s="32">
        <v>0</v>
      </c>
      <c r="AG579"/>
      <c r="AH579" s="17" t="s">
        <v>279</v>
      </c>
    </row>
    <row r="580" spans="2:35" hidden="1" outlineLevel="1" x14ac:dyDescent="0.25">
      <c r="B580" s="31" t="s">
        <v>245</v>
      </c>
      <c r="C580" s="32">
        <v>0</v>
      </c>
      <c r="D580" s="32">
        <v>0</v>
      </c>
      <c r="E580" s="32">
        <v>0</v>
      </c>
      <c r="F580" s="32">
        <v>1207501.7119999998</v>
      </c>
      <c r="G580" s="32">
        <v>1207501.7119999998</v>
      </c>
      <c r="H580" s="32">
        <v>3455696.2320000003</v>
      </c>
      <c r="I580" s="32">
        <v>3455696.2320000003</v>
      </c>
      <c r="J580" s="32">
        <v>3455696.2320000003</v>
      </c>
      <c r="K580" s="32">
        <v>3455696.2320000003</v>
      </c>
      <c r="L580" s="32">
        <v>3455696.2320000003</v>
      </c>
      <c r="M580" s="32">
        <v>3455696.2320000003</v>
      </c>
      <c r="N580" s="32">
        <v>3395321.1464</v>
      </c>
      <c r="O580" s="32">
        <v>3395321.1464</v>
      </c>
      <c r="P580" s="32">
        <v>3395321.1464</v>
      </c>
      <c r="Q580" s="32">
        <v>3395321.1464</v>
      </c>
      <c r="R580" s="32">
        <v>8011631.8983999994</v>
      </c>
      <c r="S580" s="32">
        <v>8011631.8983999994</v>
      </c>
      <c r="T580" s="32">
        <v>8011631.8983999994</v>
      </c>
      <c r="U580" s="32">
        <v>8011631.8983999994</v>
      </c>
      <c r="V580" s="32">
        <v>8011631.8983999994</v>
      </c>
      <c r="W580" s="32">
        <v>8011631.8983999994</v>
      </c>
      <c r="X580" s="32">
        <v>8011631.8983999994</v>
      </c>
      <c r="Y580" s="32">
        <v>8011631.8983999994</v>
      </c>
      <c r="Z580" s="32">
        <v>8011631.8983999994</v>
      </c>
      <c r="AA580" s="32">
        <v>8011631.8983999994</v>
      </c>
      <c r="AB580" s="32">
        <v>8011631.8983999994</v>
      </c>
      <c r="AC580" s="32">
        <v>8011631.8983999994</v>
      </c>
      <c r="AD580" s="32">
        <v>8011631.8983999994</v>
      </c>
      <c r="AE580" s="32">
        <v>8011631.8983999994</v>
      </c>
      <c r="AF580" s="32">
        <v>8011631.8983999994</v>
      </c>
      <c r="AG580"/>
      <c r="AH580" s="17" t="s">
        <v>279</v>
      </c>
    </row>
    <row r="581" spans="2:35" hidden="1" outlineLevel="1" x14ac:dyDescent="0.25">
      <c r="B581" s="31" t="s">
        <v>149</v>
      </c>
      <c r="C581" s="32">
        <v>0</v>
      </c>
      <c r="D581" s="32">
        <v>0</v>
      </c>
      <c r="E581" s="32">
        <v>10424562.72955735</v>
      </c>
      <c r="F581" s="32">
        <v>31521598.699361473</v>
      </c>
      <c r="G581" s="32">
        <v>31521598.699361473</v>
      </c>
      <c r="H581" s="32">
        <v>35706430.397426315</v>
      </c>
      <c r="I581" s="32">
        <v>35706430.397426315</v>
      </c>
      <c r="J581" s="32">
        <v>34490563.320998214</v>
      </c>
      <c r="K581" s="32">
        <v>34490563.320998214</v>
      </c>
      <c r="L581" s="32">
        <v>34966396.609287962</v>
      </c>
      <c r="M581" s="32">
        <v>34966396.609287962</v>
      </c>
      <c r="N581" s="32">
        <v>34691683.976836883</v>
      </c>
      <c r="O581" s="32">
        <v>34691683.976836883</v>
      </c>
      <c r="P581" s="32">
        <v>34644151.522166558</v>
      </c>
      <c r="Q581" s="32">
        <v>34644151.522166558</v>
      </c>
      <c r="R581" s="32">
        <v>40373885.678166561</v>
      </c>
      <c r="S581" s="32">
        <v>40373885.678166561</v>
      </c>
      <c r="T581" s="32">
        <v>40373885.678166561</v>
      </c>
      <c r="U581" s="32">
        <v>40373885.678166561</v>
      </c>
      <c r="V581" s="32">
        <v>40268883.269043125</v>
      </c>
      <c r="W581" s="32">
        <v>40268883.269043125</v>
      </c>
      <c r="X581" s="32">
        <v>40268883.269043125</v>
      </c>
      <c r="Y581" s="32">
        <v>40268883.269043125</v>
      </c>
      <c r="Z581" s="32">
        <v>40268883.269043125</v>
      </c>
      <c r="AA581" s="32">
        <v>40268883.269043125</v>
      </c>
      <c r="AB581" s="32">
        <v>40129288.092132881</v>
      </c>
      <c r="AC581" s="32">
        <v>40129288.092132881</v>
      </c>
      <c r="AD581" s="32">
        <v>40129288.092132881</v>
      </c>
      <c r="AE581" s="32">
        <v>40129288.092132881</v>
      </c>
      <c r="AF581" s="32">
        <v>40129288.092132881</v>
      </c>
      <c r="AG581"/>
      <c r="AH581" s="17" t="s">
        <v>279</v>
      </c>
    </row>
    <row r="582" spans="2:35" ht="15.75" collapsed="1" thickTop="1" x14ac:dyDescent="0.25"/>
    <row r="583" spans="2:35" ht="20.25" thickBot="1" x14ac:dyDescent="0.35">
      <c r="B583" s="18" t="s">
        <v>290</v>
      </c>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row>
    <row r="584" spans="2:35" ht="18" hidden="1" outlineLevel="1" thickTop="1" thickBot="1" x14ac:dyDescent="0.3">
      <c r="B584" s="26" t="s">
        <v>277</v>
      </c>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19"/>
      <c r="AH584" s="19"/>
    </row>
    <row r="585" spans="2:35" ht="16.5" hidden="1" outlineLevel="1" thickTop="1" thickBot="1" x14ac:dyDescent="0.3">
      <c r="B585" s="28" t="s">
        <v>278</v>
      </c>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0"/>
      <c r="AH585" s="20" t="s">
        <v>15</v>
      </c>
    </row>
    <row r="586" spans="2:35" customFormat="1" hidden="1" outlineLevel="1" x14ac:dyDescent="0.25">
      <c r="B586" s="30"/>
      <c r="C586" s="17">
        <v>2025</v>
      </c>
      <c r="D586" s="44">
        <v>2026</v>
      </c>
      <c r="E586" s="44">
        <v>2027</v>
      </c>
      <c r="F586" s="44">
        <v>2028</v>
      </c>
      <c r="G586" s="44">
        <v>2029</v>
      </c>
      <c r="H586" s="44">
        <v>2030</v>
      </c>
      <c r="I586" s="44">
        <v>2031</v>
      </c>
      <c r="J586" s="44">
        <v>2032</v>
      </c>
      <c r="K586" s="44">
        <v>2033</v>
      </c>
      <c r="L586" s="44">
        <v>2034</v>
      </c>
      <c r="M586" s="44">
        <v>2035</v>
      </c>
      <c r="N586" s="44">
        <v>2036</v>
      </c>
      <c r="O586" s="44">
        <v>2037</v>
      </c>
      <c r="P586" s="44">
        <v>2038</v>
      </c>
      <c r="Q586" s="44">
        <v>2039</v>
      </c>
      <c r="R586" s="44">
        <v>2040</v>
      </c>
      <c r="S586" s="44">
        <v>2041</v>
      </c>
      <c r="T586" s="44">
        <v>2042</v>
      </c>
      <c r="U586" s="44">
        <v>2043</v>
      </c>
      <c r="V586" s="44">
        <v>2044</v>
      </c>
      <c r="W586" s="44">
        <v>2045</v>
      </c>
      <c r="X586" s="44">
        <v>2046</v>
      </c>
      <c r="Y586" s="44">
        <v>2047</v>
      </c>
      <c r="Z586" s="44">
        <v>2048</v>
      </c>
      <c r="AA586" s="44">
        <v>2049</v>
      </c>
      <c r="AB586" s="44">
        <v>2050</v>
      </c>
      <c r="AC586" s="44">
        <v>2051</v>
      </c>
      <c r="AD586" s="44">
        <v>2052</v>
      </c>
      <c r="AE586" s="44">
        <v>2053</v>
      </c>
      <c r="AF586" s="44">
        <v>2054</v>
      </c>
    </row>
    <row r="587" spans="2:35" hidden="1" outlineLevel="1" x14ac:dyDescent="0.25">
      <c r="B587" s="31" t="s">
        <v>144</v>
      </c>
      <c r="C587" s="32">
        <v>41100367.759866863</v>
      </c>
      <c r="D587" s="32">
        <v>41100367.759866863</v>
      </c>
      <c r="E587" s="32">
        <v>0</v>
      </c>
      <c r="F587" s="32">
        <v>0</v>
      </c>
      <c r="G587" s="32">
        <v>0</v>
      </c>
      <c r="H587" s="32">
        <v>0</v>
      </c>
      <c r="I587" s="32">
        <v>0</v>
      </c>
      <c r="J587" s="32">
        <v>0</v>
      </c>
      <c r="K587" s="32">
        <v>0</v>
      </c>
      <c r="L587" s="32">
        <v>0</v>
      </c>
      <c r="M587" s="32">
        <v>0</v>
      </c>
      <c r="N587" s="32">
        <v>0</v>
      </c>
      <c r="O587" s="32">
        <v>0</v>
      </c>
      <c r="P587" s="32">
        <v>0</v>
      </c>
      <c r="Q587" s="32">
        <v>0</v>
      </c>
      <c r="R587" s="32">
        <v>0</v>
      </c>
      <c r="S587" s="32">
        <v>0</v>
      </c>
      <c r="T587" s="32">
        <v>0</v>
      </c>
      <c r="U587" s="32">
        <v>0</v>
      </c>
      <c r="V587" s="32">
        <v>0</v>
      </c>
      <c r="W587" s="32">
        <v>0</v>
      </c>
      <c r="X587" s="32">
        <v>0</v>
      </c>
      <c r="Y587" s="32">
        <v>0</v>
      </c>
      <c r="Z587" s="32">
        <v>0</v>
      </c>
      <c r="AA587" s="32">
        <v>0</v>
      </c>
      <c r="AB587" s="32">
        <v>0</v>
      </c>
      <c r="AC587" s="32">
        <v>0</v>
      </c>
      <c r="AD587" s="32">
        <v>0</v>
      </c>
      <c r="AE587" s="32">
        <v>0</v>
      </c>
      <c r="AF587" s="32">
        <v>0</v>
      </c>
      <c r="AG587"/>
      <c r="AH587" s="17" t="s">
        <v>279</v>
      </c>
    </row>
    <row r="588" spans="2:35" hidden="1" outlineLevel="1" x14ac:dyDescent="0.25">
      <c r="B588" s="31" t="s">
        <v>145</v>
      </c>
      <c r="C588" s="32">
        <v>15277743.907373067</v>
      </c>
      <c r="D588" s="32">
        <v>15770486.74488374</v>
      </c>
      <c r="E588" s="32">
        <v>0</v>
      </c>
      <c r="F588" s="32">
        <v>0</v>
      </c>
      <c r="G588" s="32">
        <v>0</v>
      </c>
      <c r="H588" s="32">
        <v>0</v>
      </c>
      <c r="I588" s="32">
        <v>0</v>
      </c>
      <c r="J588" s="32">
        <v>0</v>
      </c>
      <c r="K588" s="32">
        <v>0</v>
      </c>
      <c r="L588" s="32">
        <v>0</v>
      </c>
      <c r="M588" s="32">
        <v>0</v>
      </c>
      <c r="N588" s="32">
        <v>0</v>
      </c>
      <c r="O588" s="32">
        <v>0</v>
      </c>
      <c r="P588" s="32">
        <v>0</v>
      </c>
      <c r="Q588" s="32">
        <v>0</v>
      </c>
      <c r="R588" s="32">
        <v>0</v>
      </c>
      <c r="S588" s="32">
        <v>0</v>
      </c>
      <c r="T588" s="32">
        <v>0</v>
      </c>
      <c r="U588" s="32">
        <v>0</v>
      </c>
      <c r="V588" s="32">
        <v>0</v>
      </c>
      <c r="W588" s="32">
        <v>0</v>
      </c>
      <c r="X588" s="32">
        <v>0</v>
      </c>
      <c r="Y588" s="32">
        <v>0</v>
      </c>
      <c r="Z588" s="32">
        <v>0</v>
      </c>
      <c r="AA588" s="32">
        <v>0</v>
      </c>
      <c r="AB588" s="32">
        <v>0</v>
      </c>
      <c r="AC588" s="32">
        <v>0</v>
      </c>
      <c r="AD588" s="32">
        <v>0</v>
      </c>
      <c r="AE588" s="32">
        <v>0</v>
      </c>
      <c r="AF588" s="32">
        <v>0</v>
      </c>
      <c r="AG588"/>
      <c r="AH588" s="17" t="s">
        <v>279</v>
      </c>
    </row>
    <row r="589" spans="2:35" hidden="1" outlineLevel="1" x14ac:dyDescent="0.25">
      <c r="B589" s="31" t="s">
        <v>244</v>
      </c>
      <c r="C589" s="32">
        <v>74467327.643795222</v>
      </c>
      <c r="D589" s="32">
        <v>74467327.643795222</v>
      </c>
      <c r="E589" s="32">
        <v>0</v>
      </c>
      <c r="F589" s="32">
        <v>0</v>
      </c>
      <c r="G589" s="32">
        <v>0</v>
      </c>
      <c r="H589" s="32">
        <v>0</v>
      </c>
      <c r="I589" s="32">
        <v>0</v>
      </c>
      <c r="J589" s="32">
        <v>0</v>
      </c>
      <c r="K589" s="32">
        <v>0</v>
      </c>
      <c r="L589" s="32">
        <v>0</v>
      </c>
      <c r="M589" s="32">
        <v>0</v>
      </c>
      <c r="N589" s="32">
        <v>0</v>
      </c>
      <c r="O589" s="32">
        <v>0</v>
      </c>
      <c r="P589" s="32">
        <v>0</v>
      </c>
      <c r="Q589" s="32">
        <v>0</v>
      </c>
      <c r="R589" s="32">
        <v>0</v>
      </c>
      <c r="S589" s="32">
        <v>0</v>
      </c>
      <c r="T589" s="32">
        <v>0</v>
      </c>
      <c r="U589" s="32">
        <v>0</v>
      </c>
      <c r="V589" s="32">
        <v>0</v>
      </c>
      <c r="W589" s="32">
        <v>0</v>
      </c>
      <c r="X589" s="32">
        <v>0</v>
      </c>
      <c r="Y589" s="32">
        <v>0</v>
      </c>
      <c r="Z589" s="32">
        <v>0</v>
      </c>
      <c r="AA589" s="32">
        <v>0</v>
      </c>
      <c r="AB589" s="32">
        <v>0</v>
      </c>
      <c r="AC589" s="32">
        <v>0</v>
      </c>
      <c r="AD589" s="32">
        <v>0</v>
      </c>
      <c r="AE589" s="32">
        <v>0</v>
      </c>
      <c r="AF589" s="32">
        <v>0</v>
      </c>
      <c r="AG589"/>
      <c r="AH589" s="17" t="s">
        <v>279</v>
      </c>
    </row>
    <row r="590" spans="2:35" hidden="1" outlineLevel="1" x14ac:dyDescent="0.25">
      <c r="B590" s="31" t="s">
        <v>147</v>
      </c>
      <c r="C590" s="32">
        <v>0</v>
      </c>
      <c r="D590" s="32">
        <v>0</v>
      </c>
      <c r="E590" s="32">
        <v>0</v>
      </c>
      <c r="F590" s="32">
        <v>0</v>
      </c>
      <c r="G590" s="32">
        <v>0</v>
      </c>
      <c r="H590" s="32">
        <v>0</v>
      </c>
      <c r="I590" s="32">
        <v>0</v>
      </c>
      <c r="J590" s="32">
        <v>0</v>
      </c>
      <c r="K590" s="32">
        <v>0</v>
      </c>
      <c r="L590" s="32">
        <v>0</v>
      </c>
      <c r="M590" s="32">
        <v>0</v>
      </c>
      <c r="N590" s="32">
        <v>0</v>
      </c>
      <c r="O590" s="32">
        <v>0</v>
      </c>
      <c r="P590" s="32">
        <v>0</v>
      </c>
      <c r="Q590" s="32">
        <v>0</v>
      </c>
      <c r="R590" s="32">
        <v>0</v>
      </c>
      <c r="S590" s="32">
        <v>0</v>
      </c>
      <c r="T590" s="32">
        <v>0</v>
      </c>
      <c r="U590" s="32">
        <v>0</v>
      </c>
      <c r="V590" s="32">
        <v>0</v>
      </c>
      <c r="W590" s="32">
        <v>0</v>
      </c>
      <c r="X590" s="32">
        <v>0</v>
      </c>
      <c r="Y590" s="32">
        <v>0</v>
      </c>
      <c r="Z590" s="32">
        <v>0</v>
      </c>
      <c r="AA590" s="32">
        <v>0</v>
      </c>
      <c r="AB590" s="32">
        <v>0</v>
      </c>
      <c r="AC590" s="32">
        <v>0</v>
      </c>
      <c r="AD590" s="32">
        <v>0</v>
      </c>
      <c r="AE590" s="32">
        <v>0</v>
      </c>
      <c r="AF590" s="32">
        <v>0</v>
      </c>
      <c r="AG590"/>
      <c r="AH590" s="17" t="s">
        <v>279</v>
      </c>
    </row>
    <row r="591" spans="2:35" hidden="1" outlineLevel="1" x14ac:dyDescent="0.25">
      <c r="B591" s="31" t="s">
        <v>245</v>
      </c>
      <c r="C591" s="32">
        <v>5531260.8599999994</v>
      </c>
      <c r="D591" s="32">
        <v>5531260.8599999994</v>
      </c>
      <c r="E591" s="32">
        <v>0</v>
      </c>
      <c r="F591" s="32">
        <v>0</v>
      </c>
      <c r="G591" s="32">
        <v>0</v>
      </c>
      <c r="H591" s="32">
        <v>0</v>
      </c>
      <c r="I591" s="32">
        <v>0</v>
      </c>
      <c r="J591" s="32">
        <v>0</v>
      </c>
      <c r="K591" s="32">
        <v>0</v>
      </c>
      <c r="L591" s="32">
        <v>0</v>
      </c>
      <c r="M591" s="32">
        <v>0</v>
      </c>
      <c r="N591" s="32">
        <v>0</v>
      </c>
      <c r="O591" s="32">
        <v>0</v>
      </c>
      <c r="P591" s="32">
        <v>0</v>
      </c>
      <c r="Q591" s="32">
        <v>0</v>
      </c>
      <c r="R591" s="32">
        <v>0</v>
      </c>
      <c r="S591" s="32">
        <v>0</v>
      </c>
      <c r="T591" s="32">
        <v>0</v>
      </c>
      <c r="U591" s="32">
        <v>0</v>
      </c>
      <c r="V591" s="32">
        <v>0</v>
      </c>
      <c r="W591" s="32">
        <v>0</v>
      </c>
      <c r="X591" s="32">
        <v>0</v>
      </c>
      <c r="Y591" s="32">
        <v>0</v>
      </c>
      <c r="Z591" s="32">
        <v>0</v>
      </c>
      <c r="AA591" s="32">
        <v>0</v>
      </c>
      <c r="AB591" s="32">
        <v>0</v>
      </c>
      <c r="AC591" s="32">
        <v>0</v>
      </c>
      <c r="AD591" s="32">
        <v>0</v>
      </c>
      <c r="AE591" s="32">
        <v>0</v>
      </c>
      <c r="AF591" s="32">
        <v>0</v>
      </c>
      <c r="AG591"/>
      <c r="AH591" s="17" t="s">
        <v>279</v>
      </c>
    </row>
    <row r="592" spans="2:35" hidden="1" outlineLevel="1" x14ac:dyDescent="0.25">
      <c r="B592" s="31" t="s">
        <v>149</v>
      </c>
      <c r="C592" s="32">
        <v>136376700.17103517</v>
      </c>
      <c r="D592" s="32">
        <v>136869443.00854582</v>
      </c>
      <c r="E592" s="32">
        <v>0</v>
      </c>
      <c r="F592" s="32">
        <v>0</v>
      </c>
      <c r="G592" s="32">
        <v>0</v>
      </c>
      <c r="H592" s="32">
        <v>0</v>
      </c>
      <c r="I592" s="32">
        <v>0</v>
      </c>
      <c r="J592" s="32">
        <v>0</v>
      </c>
      <c r="K592" s="32">
        <v>0</v>
      </c>
      <c r="L592" s="32">
        <v>0</v>
      </c>
      <c r="M592" s="32">
        <v>0</v>
      </c>
      <c r="N592" s="32">
        <v>0</v>
      </c>
      <c r="O592" s="32">
        <v>0</v>
      </c>
      <c r="P592" s="32">
        <v>0</v>
      </c>
      <c r="Q592" s="32">
        <v>0</v>
      </c>
      <c r="R592" s="32">
        <v>0</v>
      </c>
      <c r="S592" s="32">
        <v>0</v>
      </c>
      <c r="T592" s="32">
        <v>0</v>
      </c>
      <c r="U592" s="32">
        <v>0</v>
      </c>
      <c r="V592" s="32">
        <v>0</v>
      </c>
      <c r="W592" s="32">
        <v>0</v>
      </c>
      <c r="X592" s="32">
        <v>0</v>
      </c>
      <c r="Y592" s="32">
        <v>0</v>
      </c>
      <c r="Z592" s="32">
        <v>0</v>
      </c>
      <c r="AA592" s="32">
        <v>0</v>
      </c>
      <c r="AB592" s="32">
        <v>0</v>
      </c>
      <c r="AC592" s="32">
        <v>0</v>
      </c>
      <c r="AD592" s="32">
        <v>0</v>
      </c>
      <c r="AE592" s="32">
        <v>0</v>
      </c>
      <c r="AF592" s="32">
        <v>0</v>
      </c>
      <c r="AG592"/>
      <c r="AH592" s="17" t="s">
        <v>279</v>
      </c>
      <c r="AI592"/>
    </row>
    <row r="593" spans="2:35" hidden="1" outlineLevel="1" x14ac:dyDescent="0.25">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c r="AH593"/>
      <c r="AI593"/>
    </row>
    <row r="594" spans="2:35" customFormat="1" ht="15.75" hidden="1" outlineLevel="1" thickBot="1" x14ac:dyDescent="0.3">
      <c r="B594" s="28" t="s">
        <v>280</v>
      </c>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0"/>
      <c r="AH594" s="20" t="s">
        <v>15</v>
      </c>
    </row>
    <row r="595" spans="2:35" customFormat="1" hidden="1" outlineLevel="1" x14ac:dyDescent="0.25">
      <c r="B595" s="30"/>
      <c r="C595" s="17">
        <v>2025</v>
      </c>
      <c r="D595" s="44">
        <v>2026</v>
      </c>
      <c r="E595" s="44">
        <v>2027</v>
      </c>
      <c r="F595" s="44">
        <v>2028</v>
      </c>
      <c r="G595" s="44">
        <v>2029</v>
      </c>
      <c r="H595" s="44">
        <v>2030</v>
      </c>
      <c r="I595" s="44">
        <v>2031</v>
      </c>
      <c r="J595" s="44">
        <v>2032</v>
      </c>
      <c r="K595" s="44">
        <v>2033</v>
      </c>
      <c r="L595" s="44">
        <v>2034</v>
      </c>
      <c r="M595" s="44">
        <v>2035</v>
      </c>
      <c r="N595" s="44">
        <v>2036</v>
      </c>
      <c r="O595" s="44">
        <v>2037</v>
      </c>
      <c r="P595" s="44">
        <v>2038</v>
      </c>
      <c r="Q595" s="44">
        <v>2039</v>
      </c>
      <c r="R595" s="44">
        <v>2040</v>
      </c>
      <c r="S595" s="44">
        <v>2041</v>
      </c>
      <c r="T595" s="44">
        <v>2042</v>
      </c>
      <c r="U595" s="44">
        <v>2043</v>
      </c>
      <c r="V595" s="44">
        <v>2044</v>
      </c>
      <c r="W595" s="44">
        <v>2045</v>
      </c>
      <c r="X595" s="44">
        <v>2046</v>
      </c>
      <c r="Y595" s="44">
        <v>2047</v>
      </c>
      <c r="Z595" s="44">
        <v>2048</v>
      </c>
      <c r="AA595" s="44">
        <v>2049</v>
      </c>
      <c r="AB595" s="44">
        <v>2050</v>
      </c>
      <c r="AC595" s="44">
        <v>2051</v>
      </c>
      <c r="AD595" s="44">
        <v>2052</v>
      </c>
      <c r="AE595" s="44">
        <v>2053</v>
      </c>
      <c r="AF595" s="44">
        <v>2054</v>
      </c>
    </row>
    <row r="596" spans="2:35" hidden="1" outlineLevel="1" x14ac:dyDescent="0.25">
      <c r="B596" s="31" t="s">
        <v>144</v>
      </c>
      <c r="C596" s="17">
        <v>0</v>
      </c>
      <c r="D596" s="32">
        <v>0</v>
      </c>
      <c r="E596" s="32">
        <v>41100367.759866863</v>
      </c>
      <c r="F596" s="32">
        <v>39612639.320832737</v>
      </c>
      <c r="G596" s="32">
        <v>39612639.320832737</v>
      </c>
      <c r="H596" s="32">
        <v>39763990.663512737</v>
      </c>
      <c r="I596" s="32">
        <v>39763990.663512737</v>
      </c>
      <c r="J596" s="32">
        <v>38704492.561179683</v>
      </c>
      <c r="K596" s="32">
        <v>38704492.561179683</v>
      </c>
      <c r="L596" s="32">
        <v>38772187.839759685</v>
      </c>
      <c r="M596" s="32">
        <v>38772187.839759685</v>
      </c>
      <c r="N596" s="32">
        <v>38772187.839759685</v>
      </c>
      <c r="O596" s="32">
        <v>38772187.839759685</v>
      </c>
      <c r="P596" s="32">
        <v>38772187.839759685</v>
      </c>
      <c r="Q596" s="32">
        <v>38772187.839759685</v>
      </c>
      <c r="R596" s="32">
        <v>38772187.839759685</v>
      </c>
      <c r="S596" s="32">
        <v>38772187.839759685</v>
      </c>
      <c r="T596" s="32">
        <v>38772187.839759685</v>
      </c>
      <c r="U596" s="32">
        <v>38772187.839759685</v>
      </c>
      <c r="V596" s="32">
        <v>38772187.839759685</v>
      </c>
      <c r="W596" s="32">
        <v>38772187.839759685</v>
      </c>
      <c r="X596" s="32">
        <v>38772187.839759685</v>
      </c>
      <c r="Y596" s="32">
        <v>38772187.839759685</v>
      </c>
      <c r="Z596" s="32">
        <v>38772187.839759685</v>
      </c>
      <c r="AA596" s="32">
        <v>38772187.839759685</v>
      </c>
      <c r="AB596" s="32">
        <v>38772187.839759685</v>
      </c>
      <c r="AC596" s="32">
        <v>38772187.839759685</v>
      </c>
      <c r="AD596" s="32">
        <v>38772187.839759685</v>
      </c>
      <c r="AE596" s="32">
        <v>38772187.839759685</v>
      </c>
      <c r="AF596" s="32">
        <v>38772187.839759685</v>
      </c>
      <c r="AG596"/>
      <c r="AH596" s="17" t="s">
        <v>279</v>
      </c>
    </row>
    <row r="597" spans="2:35" hidden="1" outlineLevel="1" x14ac:dyDescent="0.25">
      <c r="B597" s="31" t="s">
        <v>145</v>
      </c>
      <c r="C597" s="32">
        <v>0</v>
      </c>
      <c r="D597" s="32">
        <v>0</v>
      </c>
      <c r="E597" s="32">
        <v>15770486.74488374</v>
      </c>
      <c r="F597" s="32">
        <v>15770486.74488374</v>
      </c>
      <c r="G597" s="32">
        <v>15770486.74488374</v>
      </c>
      <c r="H597" s="32">
        <v>15787184.845623737</v>
      </c>
      <c r="I597" s="32">
        <v>15787184.845623737</v>
      </c>
      <c r="J597" s="32">
        <v>15787184.845623737</v>
      </c>
      <c r="K597" s="32">
        <v>15787184.845623737</v>
      </c>
      <c r="L597" s="32">
        <v>15390568.910004416</v>
      </c>
      <c r="M597" s="32">
        <v>15390568.910004416</v>
      </c>
      <c r="N597" s="32">
        <v>15390568.910004416</v>
      </c>
      <c r="O597" s="32">
        <v>15390568.910004416</v>
      </c>
      <c r="P597" s="32">
        <v>15364645.040004415</v>
      </c>
      <c r="Q597" s="32">
        <v>15364645.040004415</v>
      </c>
      <c r="R597" s="32">
        <v>15384699.734404417</v>
      </c>
      <c r="S597" s="32">
        <v>15384699.734404417</v>
      </c>
      <c r="T597" s="32">
        <v>15384699.734404417</v>
      </c>
      <c r="U597" s="32">
        <v>15384699.734404417</v>
      </c>
      <c r="V597" s="32">
        <v>15384699.734404417</v>
      </c>
      <c r="W597" s="32">
        <v>15384699.734404417</v>
      </c>
      <c r="X597" s="32">
        <v>15384699.734404417</v>
      </c>
      <c r="Y597" s="32">
        <v>15384699.734404417</v>
      </c>
      <c r="Z597" s="32">
        <v>15384699.734404417</v>
      </c>
      <c r="AA597" s="32">
        <v>15384699.734404417</v>
      </c>
      <c r="AB597" s="32">
        <v>14843250.017475424</v>
      </c>
      <c r="AC597" s="32">
        <v>14843250.017475424</v>
      </c>
      <c r="AD597" s="32">
        <v>14843250.017475424</v>
      </c>
      <c r="AE597" s="32">
        <v>14843250.017475424</v>
      </c>
      <c r="AF597" s="32">
        <v>14843250.017475424</v>
      </c>
      <c r="AG597"/>
      <c r="AH597" s="17" t="s">
        <v>279</v>
      </c>
    </row>
    <row r="598" spans="2:35" hidden="1" outlineLevel="1" x14ac:dyDescent="0.25">
      <c r="B598" s="31" t="s">
        <v>244</v>
      </c>
      <c r="C598" s="32">
        <v>0</v>
      </c>
      <c r="D598" s="32">
        <v>0</v>
      </c>
      <c r="E598" s="32">
        <v>74467327.643795222</v>
      </c>
      <c r="F598" s="32">
        <v>87649721.664786637</v>
      </c>
      <c r="G598" s="32">
        <v>87649721.664786637</v>
      </c>
      <c r="H598" s="32">
        <v>88236897.776487172</v>
      </c>
      <c r="I598" s="32">
        <v>88236897.776487172</v>
      </c>
      <c r="J598" s="32">
        <v>80002966.613187522</v>
      </c>
      <c r="K598" s="32">
        <v>80002966.613187522</v>
      </c>
      <c r="L598" s="32">
        <v>80002966.613187522</v>
      </c>
      <c r="M598" s="32">
        <v>80002966.613187522</v>
      </c>
      <c r="N598" s="32">
        <v>79425262.459042355</v>
      </c>
      <c r="O598" s="32">
        <v>79425262.459042355</v>
      </c>
      <c r="P598" s="32">
        <v>79425262.459042355</v>
      </c>
      <c r="Q598" s="32">
        <v>79425262.459042355</v>
      </c>
      <c r="R598" s="32">
        <v>82311974.959042355</v>
      </c>
      <c r="S598" s="32">
        <v>82311974.959042355</v>
      </c>
      <c r="T598" s="32">
        <v>82311974.959042355</v>
      </c>
      <c r="U598" s="32">
        <v>82311974.959042355</v>
      </c>
      <c r="V598" s="32">
        <v>81863454.238701224</v>
      </c>
      <c r="W598" s="32">
        <v>81863454.238701224</v>
      </c>
      <c r="X598" s="32">
        <v>81863454.238701224</v>
      </c>
      <c r="Y598" s="32">
        <v>81863454.238701224</v>
      </c>
      <c r="Z598" s="32">
        <v>81863454.238701224</v>
      </c>
      <c r="AA598" s="32">
        <v>81863454.238701224</v>
      </c>
      <c r="AB598" s="32">
        <v>81863454.238701224</v>
      </c>
      <c r="AC598" s="32">
        <v>81863454.238701224</v>
      </c>
      <c r="AD598" s="32">
        <v>81863454.238701224</v>
      </c>
      <c r="AE598" s="32">
        <v>81863454.238701224</v>
      </c>
      <c r="AF598" s="32">
        <v>81863454.238701224</v>
      </c>
      <c r="AG598"/>
      <c r="AH598" s="17" t="s">
        <v>279</v>
      </c>
    </row>
    <row r="599" spans="2:35" hidden="1" outlineLevel="1" x14ac:dyDescent="0.25">
      <c r="B599" s="31" t="s">
        <v>147</v>
      </c>
      <c r="C599" s="32">
        <v>0</v>
      </c>
      <c r="D599" s="32">
        <v>0</v>
      </c>
      <c r="E599" s="32">
        <v>0</v>
      </c>
      <c r="F599" s="32">
        <v>0</v>
      </c>
      <c r="G599" s="32">
        <v>0</v>
      </c>
      <c r="H599" s="32">
        <v>0</v>
      </c>
      <c r="I599" s="32">
        <v>0</v>
      </c>
      <c r="J599" s="32">
        <v>0</v>
      </c>
      <c r="K599" s="32">
        <v>0</v>
      </c>
      <c r="L599" s="32">
        <v>0</v>
      </c>
      <c r="M599" s="32">
        <v>0</v>
      </c>
      <c r="N599" s="32">
        <v>0</v>
      </c>
      <c r="O599" s="32">
        <v>0</v>
      </c>
      <c r="P599" s="32">
        <v>0</v>
      </c>
      <c r="Q599" s="32">
        <v>0</v>
      </c>
      <c r="R599" s="32">
        <v>0</v>
      </c>
      <c r="S599" s="32">
        <v>0</v>
      </c>
      <c r="T599" s="32">
        <v>0</v>
      </c>
      <c r="U599" s="32">
        <v>0</v>
      </c>
      <c r="V599" s="32">
        <v>0</v>
      </c>
      <c r="W599" s="32">
        <v>0</v>
      </c>
      <c r="X599" s="32">
        <v>0</v>
      </c>
      <c r="Y599" s="32">
        <v>0</v>
      </c>
      <c r="Z599" s="32">
        <v>0</v>
      </c>
      <c r="AA599" s="32">
        <v>0</v>
      </c>
      <c r="AB599" s="32">
        <v>0</v>
      </c>
      <c r="AC599" s="32">
        <v>0</v>
      </c>
      <c r="AD599" s="32">
        <v>0</v>
      </c>
      <c r="AE599" s="32">
        <v>0</v>
      </c>
      <c r="AF599" s="32">
        <v>0</v>
      </c>
      <c r="AG599"/>
      <c r="AH599" s="17" t="s">
        <v>279</v>
      </c>
    </row>
    <row r="600" spans="2:35" hidden="1" outlineLevel="1" x14ac:dyDescent="0.25">
      <c r="B600" s="31" t="s">
        <v>245</v>
      </c>
      <c r="C600" s="32">
        <v>0</v>
      </c>
      <c r="D600" s="32">
        <v>0</v>
      </c>
      <c r="E600" s="32">
        <v>5531260.8599999994</v>
      </c>
      <c r="F600" s="32">
        <v>5531260.8599999994</v>
      </c>
      <c r="G600" s="32">
        <v>5531260.8599999994</v>
      </c>
      <c r="H600" s="32">
        <v>5911722.2974800002</v>
      </c>
      <c r="I600" s="32">
        <v>5911722.2974800002</v>
      </c>
      <c r="J600" s="32">
        <v>5911722.2974800002</v>
      </c>
      <c r="K600" s="32">
        <v>5911722.2974800002</v>
      </c>
      <c r="L600" s="32">
        <v>5911722.2974800002</v>
      </c>
      <c r="M600" s="32">
        <v>5911722.2974800002</v>
      </c>
      <c r="N600" s="32">
        <v>5743970.637480001</v>
      </c>
      <c r="O600" s="32">
        <v>5743970.637480001</v>
      </c>
      <c r="P600" s="32">
        <v>5743970.637480001</v>
      </c>
      <c r="Q600" s="32">
        <v>5743970.637480001</v>
      </c>
      <c r="R600" s="32">
        <v>36060627.457479998</v>
      </c>
      <c r="S600" s="32">
        <v>36060627.457479998</v>
      </c>
      <c r="T600" s="32">
        <v>36060627.457479998</v>
      </c>
      <c r="U600" s="32">
        <v>36060627.457479998</v>
      </c>
      <c r="V600" s="32">
        <v>36060627.457479998</v>
      </c>
      <c r="W600" s="32">
        <v>36060627.457479998</v>
      </c>
      <c r="X600" s="32">
        <v>36060627.457479998</v>
      </c>
      <c r="Y600" s="32">
        <v>36060627.457479998</v>
      </c>
      <c r="Z600" s="32">
        <v>36060627.457479998</v>
      </c>
      <c r="AA600" s="32">
        <v>36060627.457479998</v>
      </c>
      <c r="AB600" s="32">
        <v>36060627.457479998</v>
      </c>
      <c r="AC600" s="32">
        <v>36060627.457479998</v>
      </c>
      <c r="AD600" s="32">
        <v>36060627.457479998</v>
      </c>
      <c r="AE600" s="32">
        <v>36060627.457479998</v>
      </c>
      <c r="AF600" s="32">
        <v>36060627.457479998</v>
      </c>
      <c r="AG600"/>
      <c r="AH600" s="17" t="s">
        <v>279</v>
      </c>
    </row>
    <row r="601" spans="2:35" hidden="1" outlineLevel="1" x14ac:dyDescent="0.25">
      <c r="B601" s="31" t="s">
        <v>149</v>
      </c>
      <c r="C601" s="32">
        <v>0</v>
      </c>
      <c r="D601" s="32">
        <v>0</v>
      </c>
      <c r="E601" s="32">
        <v>136869443.00854582</v>
      </c>
      <c r="F601" s="32">
        <v>148564108.5905031</v>
      </c>
      <c r="G601" s="32">
        <v>148564108.5905031</v>
      </c>
      <c r="H601" s="32">
        <v>149699795.58310363</v>
      </c>
      <c r="I601" s="32">
        <v>149699795.58310363</v>
      </c>
      <c r="J601" s="32">
        <v>140406366.31747094</v>
      </c>
      <c r="K601" s="32">
        <v>140406366.31747094</v>
      </c>
      <c r="L601" s="32">
        <v>140077445.66043162</v>
      </c>
      <c r="M601" s="32">
        <v>140077445.66043162</v>
      </c>
      <c r="N601" s="32">
        <v>139331989.84628645</v>
      </c>
      <c r="O601" s="32">
        <v>139331989.84628645</v>
      </c>
      <c r="P601" s="32">
        <v>139306065.97628644</v>
      </c>
      <c r="Q601" s="32">
        <v>139306065.97628644</v>
      </c>
      <c r="R601" s="32">
        <v>172529489.99068648</v>
      </c>
      <c r="S601" s="32">
        <v>172529489.99068648</v>
      </c>
      <c r="T601" s="32">
        <v>172529489.99068648</v>
      </c>
      <c r="U601" s="32">
        <v>172529489.99068648</v>
      </c>
      <c r="V601" s="32">
        <v>172080969.27034533</v>
      </c>
      <c r="W601" s="32">
        <v>172080969.27034533</v>
      </c>
      <c r="X601" s="32">
        <v>172080969.27034533</v>
      </c>
      <c r="Y601" s="32">
        <v>172080969.27034533</v>
      </c>
      <c r="Z601" s="32">
        <v>172080969.27034533</v>
      </c>
      <c r="AA601" s="32">
        <v>172080969.27034533</v>
      </c>
      <c r="AB601" s="32">
        <v>171539519.55341631</v>
      </c>
      <c r="AC601" s="32">
        <v>171539519.55341631</v>
      </c>
      <c r="AD601" s="32">
        <v>171539519.55341631</v>
      </c>
      <c r="AE601" s="32">
        <v>171539519.55341631</v>
      </c>
      <c r="AF601" s="32">
        <v>171539519.55341631</v>
      </c>
      <c r="AG601"/>
      <c r="AH601" s="17" t="s">
        <v>279</v>
      </c>
    </row>
    <row r="602" spans="2:35" customFormat="1" hidden="1" outlineLevel="1" x14ac:dyDescent="0.25">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row>
    <row r="603" spans="2:35" hidden="1" outlineLevel="1" x14ac:dyDescent="0.25">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c r="AH603"/>
    </row>
    <row r="604" spans="2:35" ht="17.25" hidden="1" outlineLevel="1" thickBot="1" x14ac:dyDescent="0.3">
      <c r="B604" s="26" t="s">
        <v>281</v>
      </c>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row>
    <row r="605" spans="2:35" ht="16.5" hidden="1" outlineLevel="1" thickTop="1" thickBot="1" x14ac:dyDescent="0.3">
      <c r="B605" s="28" t="s">
        <v>278</v>
      </c>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0"/>
      <c r="AH605" s="20" t="s">
        <v>15</v>
      </c>
    </row>
    <row r="606" spans="2:35" customFormat="1" hidden="1" outlineLevel="1" x14ac:dyDescent="0.25">
      <c r="B606" s="30"/>
      <c r="C606" s="17">
        <v>2025</v>
      </c>
      <c r="D606" s="44">
        <v>2026</v>
      </c>
      <c r="E606" s="44">
        <v>2027</v>
      </c>
      <c r="F606" s="44">
        <v>2028</v>
      </c>
      <c r="G606" s="44">
        <v>2029</v>
      </c>
      <c r="H606" s="44">
        <v>2030</v>
      </c>
      <c r="I606" s="44">
        <v>2031</v>
      </c>
      <c r="J606" s="44">
        <v>2032</v>
      </c>
      <c r="K606" s="44">
        <v>2033</v>
      </c>
      <c r="L606" s="44">
        <v>2034</v>
      </c>
      <c r="M606" s="44">
        <v>2035</v>
      </c>
      <c r="N606" s="44">
        <v>2036</v>
      </c>
      <c r="O606" s="44">
        <v>2037</v>
      </c>
      <c r="P606" s="44">
        <v>2038</v>
      </c>
      <c r="Q606" s="44">
        <v>2039</v>
      </c>
      <c r="R606" s="44">
        <v>2040</v>
      </c>
      <c r="S606" s="44">
        <v>2041</v>
      </c>
      <c r="T606" s="44">
        <v>2042</v>
      </c>
      <c r="U606" s="44">
        <v>2043</v>
      </c>
      <c r="V606" s="44">
        <v>2044</v>
      </c>
      <c r="W606" s="44">
        <v>2045</v>
      </c>
      <c r="X606" s="44">
        <v>2046</v>
      </c>
      <c r="Y606" s="44">
        <v>2047</v>
      </c>
      <c r="Z606" s="44">
        <v>2048</v>
      </c>
      <c r="AA606" s="44">
        <v>2049</v>
      </c>
      <c r="AB606" s="44">
        <v>2050</v>
      </c>
      <c r="AC606" s="44">
        <v>2051</v>
      </c>
      <c r="AD606" s="44">
        <v>2052</v>
      </c>
      <c r="AE606" s="44">
        <v>2053</v>
      </c>
      <c r="AF606" s="44">
        <v>2054</v>
      </c>
      <c r="AH606" s="17" t="s">
        <v>279</v>
      </c>
    </row>
    <row r="607" spans="2:35" hidden="1" outlineLevel="1" x14ac:dyDescent="0.25">
      <c r="B607" s="31" t="s">
        <v>144</v>
      </c>
      <c r="C607" s="32">
        <v>91218518.516397119</v>
      </c>
      <c r="D607" s="32">
        <v>91218518.516397119</v>
      </c>
      <c r="E607" s="32">
        <v>0</v>
      </c>
      <c r="F607" s="32">
        <v>0</v>
      </c>
      <c r="G607" s="32">
        <v>0</v>
      </c>
      <c r="H607" s="32">
        <v>0</v>
      </c>
      <c r="I607" s="32">
        <v>0</v>
      </c>
      <c r="J607" s="32">
        <v>0</v>
      </c>
      <c r="K607" s="32">
        <v>0</v>
      </c>
      <c r="L607" s="32">
        <v>0</v>
      </c>
      <c r="M607" s="32">
        <v>0</v>
      </c>
      <c r="N607" s="32">
        <v>0</v>
      </c>
      <c r="O607" s="32">
        <v>0</v>
      </c>
      <c r="P607" s="32">
        <v>0</v>
      </c>
      <c r="Q607" s="32">
        <v>0</v>
      </c>
      <c r="R607" s="32">
        <v>0</v>
      </c>
      <c r="S607" s="32">
        <v>0</v>
      </c>
      <c r="T607" s="32">
        <v>0</v>
      </c>
      <c r="U607" s="32">
        <v>0</v>
      </c>
      <c r="V607" s="32">
        <v>0</v>
      </c>
      <c r="W607" s="32">
        <v>0</v>
      </c>
      <c r="X607" s="32">
        <v>0</v>
      </c>
      <c r="Y607" s="32">
        <v>0</v>
      </c>
      <c r="Z607" s="32">
        <v>0</v>
      </c>
      <c r="AA607" s="32">
        <v>0</v>
      </c>
      <c r="AB607" s="32">
        <v>0</v>
      </c>
      <c r="AC607" s="32">
        <v>0</v>
      </c>
      <c r="AD607" s="32">
        <v>0</v>
      </c>
      <c r="AE607" s="32">
        <v>0</v>
      </c>
      <c r="AF607" s="32">
        <v>0</v>
      </c>
      <c r="AG607"/>
      <c r="AH607" s="17" t="s">
        <v>279</v>
      </c>
    </row>
    <row r="608" spans="2:35" hidden="1" outlineLevel="1" x14ac:dyDescent="0.25">
      <c r="B608" s="31" t="s">
        <v>145</v>
      </c>
      <c r="C608" s="32">
        <v>11884388.380107559</v>
      </c>
      <c r="D608" s="32">
        <v>11884388.380107559</v>
      </c>
      <c r="E608" s="32">
        <v>0</v>
      </c>
      <c r="F608" s="32">
        <v>0</v>
      </c>
      <c r="G608" s="32">
        <v>0</v>
      </c>
      <c r="H608" s="32">
        <v>0</v>
      </c>
      <c r="I608" s="32">
        <v>0</v>
      </c>
      <c r="J608" s="32">
        <v>0</v>
      </c>
      <c r="K608" s="32">
        <v>0</v>
      </c>
      <c r="L608" s="32">
        <v>0</v>
      </c>
      <c r="M608" s="32">
        <v>0</v>
      </c>
      <c r="N608" s="32">
        <v>0</v>
      </c>
      <c r="O608" s="32">
        <v>0</v>
      </c>
      <c r="P608" s="32">
        <v>0</v>
      </c>
      <c r="Q608" s="32">
        <v>0</v>
      </c>
      <c r="R608" s="32">
        <v>0</v>
      </c>
      <c r="S608" s="32">
        <v>0</v>
      </c>
      <c r="T608" s="32">
        <v>0</v>
      </c>
      <c r="U608" s="32">
        <v>0</v>
      </c>
      <c r="V608" s="32">
        <v>0</v>
      </c>
      <c r="W608" s="32">
        <v>0</v>
      </c>
      <c r="X608" s="32">
        <v>0</v>
      </c>
      <c r="Y608" s="32">
        <v>0</v>
      </c>
      <c r="Z608" s="32">
        <v>0</v>
      </c>
      <c r="AA608" s="32">
        <v>0</v>
      </c>
      <c r="AB608" s="32">
        <v>0</v>
      </c>
      <c r="AC608" s="32">
        <v>0</v>
      </c>
      <c r="AD608" s="32">
        <v>0</v>
      </c>
      <c r="AE608" s="32">
        <v>0</v>
      </c>
      <c r="AF608" s="32">
        <v>0</v>
      </c>
      <c r="AG608"/>
      <c r="AH608" s="17" t="s">
        <v>279</v>
      </c>
    </row>
    <row r="609" spans="2:34" hidden="1" outlineLevel="1" x14ac:dyDescent="0.25">
      <c r="B609" s="31" t="s">
        <v>244</v>
      </c>
      <c r="C609" s="32">
        <v>35030010.666666664</v>
      </c>
      <c r="D609" s="32">
        <v>35030010.666666664</v>
      </c>
      <c r="E609" s="32">
        <v>0</v>
      </c>
      <c r="F609" s="32">
        <v>0</v>
      </c>
      <c r="G609" s="32">
        <v>0</v>
      </c>
      <c r="H609" s="32">
        <v>0</v>
      </c>
      <c r="I609" s="32">
        <v>0</v>
      </c>
      <c r="J609" s="32">
        <v>0</v>
      </c>
      <c r="K609" s="32">
        <v>0</v>
      </c>
      <c r="L609" s="32">
        <v>0</v>
      </c>
      <c r="M609" s="32">
        <v>0</v>
      </c>
      <c r="N609" s="32">
        <v>0</v>
      </c>
      <c r="O609" s="32">
        <v>0</v>
      </c>
      <c r="P609" s="32">
        <v>0</v>
      </c>
      <c r="Q609" s="32">
        <v>0</v>
      </c>
      <c r="R609" s="32">
        <v>0</v>
      </c>
      <c r="S609" s="32">
        <v>0</v>
      </c>
      <c r="T609" s="32">
        <v>0</v>
      </c>
      <c r="U609" s="32">
        <v>0</v>
      </c>
      <c r="V609" s="32">
        <v>0</v>
      </c>
      <c r="W609" s="32">
        <v>0</v>
      </c>
      <c r="X609" s="32">
        <v>0</v>
      </c>
      <c r="Y609" s="32">
        <v>0</v>
      </c>
      <c r="Z609" s="32">
        <v>0</v>
      </c>
      <c r="AA609" s="32">
        <v>0</v>
      </c>
      <c r="AB609" s="32">
        <v>0</v>
      </c>
      <c r="AC609" s="32">
        <v>0</v>
      </c>
      <c r="AD609" s="32">
        <v>0</v>
      </c>
      <c r="AE609" s="32">
        <v>0</v>
      </c>
      <c r="AF609" s="32">
        <v>0</v>
      </c>
      <c r="AG609"/>
      <c r="AH609" s="17" t="s">
        <v>279</v>
      </c>
    </row>
    <row r="610" spans="2:34" customFormat="1" hidden="1" outlineLevel="1" x14ac:dyDescent="0.25">
      <c r="B610" s="31" t="s">
        <v>147</v>
      </c>
      <c r="C610" s="32">
        <v>0</v>
      </c>
      <c r="D610" s="32">
        <v>0</v>
      </c>
      <c r="E610" s="32">
        <v>0</v>
      </c>
      <c r="F610" s="32">
        <v>0</v>
      </c>
      <c r="G610" s="32">
        <v>0</v>
      </c>
      <c r="H610" s="32">
        <v>0</v>
      </c>
      <c r="I610" s="32">
        <v>0</v>
      </c>
      <c r="J610" s="32">
        <v>0</v>
      </c>
      <c r="K610" s="32">
        <v>0</v>
      </c>
      <c r="L610" s="32">
        <v>0</v>
      </c>
      <c r="M610" s="32">
        <v>0</v>
      </c>
      <c r="N610" s="32">
        <v>0</v>
      </c>
      <c r="O610" s="32">
        <v>0</v>
      </c>
      <c r="P610" s="32">
        <v>0</v>
      </c>
      <c r="Q610" s="32">
        <v>0</v>
      </c>
      <c r="R610" s="32">
        <v>0</v>
      </c>
      <c r="S610" s="32">
        <v>0</v>
      </c>
      <c r="T610" s="32">
        <v>0</v>
      </c>
      <c r="U610" s="32">
        <v>0</v>
      </c>
      <c r="V610" s="32">
        <v>0</v>
      </c>
      <c r="W610" s="32">
        <v>0</v>
      </c>
      <c r="X610" s="32">
        <v>0</v>
      </c>
      <c r="Y610" s="32">
        <v>0</v>
      </c>
      <c r="Z610" s="32">
        <v>0</v>
      </c>
      <c r="AA610" s="32">
        <v>0</v>
      </c>
      <c r="AB610" s="32">
        <v>0</v>
      </c>
      <c r="AC610" s="32">
        <v>0</v>
      </c>
      <c r="AD610" s="32">
        <v>0</v>
      </c>
      <c r="AE610" s="32">
        <v>0</v>
      </c>
      <c r="AF610" s="32">
        <v>0</v>
      </c>
      <c r="AH610" s="17" t="s">
        <v>279</v>
      </c>
    </row>
    <row r="611" spans="2:34" hidden="1" outlineLevel="1" x14ac:dyDescent="0.25">
      <c r="B611" s="31" t="s">
        <v>245</v>
      </c>
      <c r="C611" s="32">
        <v>0</v>
      </c>
      <c r="D611" s="32">
        <v>0</v>
      </c>
      <c r="E611" s="32">
        <v>0</v>
      </c>
      <c r="F611" s="32">
        <v>0</v>
      </c>
      <c r="G611" s="32">
        <v>0</v>
      </c>
      <c r="H611" s="32">
        <v>0</v>
      </c>
      <c r="I611" s="32">
        <v>0</v>
      </c>
      <c r="J611" s="32">
        <v>0</v>
      </c>
      <c r="K611" s="32">
        <v>0</v>
      </c>
      <c r="L611" s="32">
        <v>0</v>
      </c>
      <c r="M611" s="32">
        <v>0</v>
      </c>
      <c r="N611" s="32">
        <v>0</v>
      </c>
      <c r="O611" s="32">
        <v>0</v>
      </c>
      <c r="P611" s="32">
        <v>0</v>
      </c>
      <c r="Q611" s="32">
        <v>0</v>
      </c>
      <c r="R611" s="32">
        <v>0</v>
      </c>
      <c r="S611" s="32">
        <v>0</v>
      </c>
      <c r="T611" s="32">
        <v>0</v>
      </c>
      <c r="U611" s="32">
        <v>0</v>
      </c>
      <c r="V611" s="32">
        <v>0</v>
      </c>
      <c r="W611" s="32">
        <v>0</v>
      </c>
      <c r="X611" s="32">
        <v>0</v>
      </c>
      <c r="Y611" s="32">
        <v>0</v>
      </c>
      <c r="Z611" s="32">
        <v>0</v>
      </c>
      <c r="AA611" s="32">
        <v>0</v>
      </c>
      <c r="AB611" s="32">
        <v>0</v>
      </c>
      <c r="AC611" s="32">
        <v>0</v>
      </c>
      <c r="AD611" s="32">
        <v>0</v>
      </c>
      <c r="AE611" s="32">
        <v>0</v>
      </c>
      <c r="AF611" s="32">
        <v>0</v>
      </c>
      <c r="AG611"/>
      <c r="AH611" s="17" t="s">
        <v>279</v>
      </c>
    </row>
    <row r="612" spans="2:34" hidden="1" outlineLevel="1" x14ac:dyDescent="0.25">
      <c r="B612" s="31" t="s">
        <v>149</v>
      </c>
      <c r="C612" s="32">
        <v>138132917.56317133</v>
      </c>
      <c r="D612" s="32">
        <v>138132917.56317133</v>
      </c>
      <c r="E612" s="32">
        <v>0</v>
      </c>
      <c r="F612" s="32">
        <v>0</v>
      </c>
      <c r="G612" s="32">
        <v>0</v>
      </c>
      <c r="H612" s="32">
        <v>0</v>
      </c>
      <c r="I612" s="32">
        <v>0</v>
      </c>
      <c r="J612" s="32">
        <v>0</v>
      </c>
      <c r="K612" s="32">
        <v>0</v>
      </c>
      <c r="L612" s="32">
        <v>0</v>
      </c>
      <c r="M612" s="32">
        <v>0</v>
      </c>
      <c r="N612" s="32">
        <v>0</v>
      </c>
      <c r="O612" s="32">
        <v>0</v>
      </c>
      <c r="P612" s="32">
        <v>0</v>
      </c>
      <c r="Q612" s="32">
        <v>0</v>
      </c>
      <c r="R612" s="32">
        <v>0</v>
      </c>
      <c r="S612" s="32">
        <v>0</v>
      </c>
      <c r="T612" s="32">
        <v>0</v>
      </c>
      <c r="U612" s="32">
        <v>0</v>
      </c>
      <c r="V612" s="32">
        <v>0</v>
      </c>
      <c r="W612" s="32">
        <v>0</v>
      </c>
      <c r="X612" s="32">
        <v>0</v>
      </c>
      <c r="Y612" s="32">
        <v>0</v>
      </c>
      <c r="Z612" s="32">
        <v>0</v>
      </c>
      <c r="AA612" s="32">
        <v>0</v>
      </c>
      <c r="AB612" s="32">
        <v>0</v>
      </c>
      <c r="AC612" s="32">
        <v>0</v>
      </c>
      <c r="AD612" s="32">
        <v>0</v>
      </c>
      <c r="AE612" s="32">
        <v>0</v>
      </c>
      <c r="AF612" s="32">
        <v>0</v>
      </c>
      <c r="AG612"/>
      <c r="AH612" s="17" t="s">
        <v>279</v>
      </c>
    </row>
    <row r="613" spans="2:34" hidden="1" outlineLevel="1" x14ac:dyDescent="0.25">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c r="AH613"/>
    </row>
    <row r="614" spans="2:34" ht="15.75" hidden="1" outlineLevel="1" thickBot="1" x14ac:dyDescent="0.3">
      <c r="B614" s="28" t="s">
        <v>280</v>
      </c>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0"/>
      <c r="AH614" s="20" t="s">
        <v>15</v>
      </c>
    </row>
    <row r="615" spans="2:34" customFormat="1" hidden="1" outlineLevel="1" x14ac:dyDescent="0.25">
      <c r="B615" s="30"/>
      <c r="C615" s="17">
        <v>2025</v>
      </c>
      <c r="D615" s="44">
        <v>2026</v>
      </c>
      <c r="E615" s="44">
        <v>2027</v>
      </c>
      <c r="F615" s="44">
        <v>2028</v>
      </c>
      <c r="G615" s="44">
        <v>2029</v>
      </c>
      <c r="H615" s="44">
        <v>2030</v>
      </c>
      <c r="I615" s="44">
        <v>2031</v>
      </c>
      <c r="J615" s="44">
        <v>2032</v>
      </c>
      <c r="K615" s="44">
        <v>2033</v>
      </c>
      <c r="L615" s="44">
        <v>2034</v>
      </c>
      <c r="M615" s="44">
        <v>2035</v>
      </c>
      <c r="N615" s="44">
        <v>2036</v>
      </c>
      <c r="O615" s="44">
        <v>2037</v>
      </c>
      <c r="P615" s="44">
        <v>2038</v>
      </c>
      <c r="Q615" s="44">
        <v>2039</v>
      </c>
      <c r="R615" s="44">
        <v>2040</v>
      </c>
      <c r="S615" s="44">
        <v>2041</v>
      </c>
      <c r="T615" s="44">
        <v>2042</v>
      </c>
      <c r="U615" s="44">
        <v>2043</v>
      </c>
      <c r="V615" s="44">
        <v>2044</v>
      </c>
      <c r="W615" s="44">
        <v>2045</v>
      </c>
      <c r="X615" s="44">
        <v>2046</v>
      </c>
      <c r="Y615" s="44">
        <v>2047</v>
      </c>
      <c r="Z615" s="44">
        <v>2048</v>
      </c>
      <c r="AA615" s="44">
        <v>2049</v>
      </c>
      <c r="AB615" s="44">
        <v>2050</v>
      </c>
      <c r="AC615" s="44">
        <v>2051</v>
      </c>
      <c r="AD615" s="44">
        <v>2052</v>
      </c>
      <c r="AE615" s="44">
        <v>2053</v>
      </c>
      <c r="AF615" s="44">
        <v>2054</v>
      </c>
      <c r="AG615" s="1"/>
      <c r="AH615" s="1"/>
    </row>
    <row r="616" spans="2:34" hidden="1" outlineLevel="1" x14ac:dyDescent="0.25">
      <c r="B616" s="31" t="s">
        <v>144</v>
      </c>
      <c r="C616" s="32">
        <v>0</v>
      </c>
      <c r="D616" s="32">
        <v>0</v>
      </c>
      <c r="E616" s="32">
        <v>91218518.516397119</v>
      </c>
      <c r="F616" s="32">
        <v>91218518.516397119</v>
      </c>
      <c r="G616" s="32">
        <v>91218518.516397119</v>
      </c>
      <c r="H616" s="32">
        <v>89605158.712475568</v>
      </c>
      <c r="I616" s="32">
        <v>89605158.712475568</v>
      </c>
      <c r="J616" s="32">
        <v>89605158.712475568</v>
      </c>
      <c r="K616" s="32">
        <v>89605158.712475568</v>
      </c>
      <c r="L616" s="32">
        <v>89605158.712475568</v>
      </c>
      <c r="M616" s="32">
        <v>89605158.712475568</v>
      </c>
      <c r="N616" s="32">
        <v>89605158.712475568</v>
      </c>
      <c r="O616" s="32">
        <v>89605158.712475568</v>
      </c>
      <c r="P616" s="32">
        <v>89605158.712475568</v>
      </c>
      <c r="Q616" s="32">
        <v>89605158.712475568</v>
      </c>
      <c r="R616" s="32">
        <v>89605158.712475568</v>
      </c>
      <c r="S616" s="32">
        <v>89605158.712475568</v>
      </c>
      <c r="T616" s="32">
        <v>89605158.712475568</v>
      </c>
      <c r="U616" s="32">
        <v>89605158.712475568</v>
      </c>
      <c r="V616" s="32">
        <v>89605158.712475568</v>
      </c>
      <c r="W616" s="32">
        <v>89605158.712475568</v>
      </c>
      <c r="X616" s="32">
        <v>89605158.712475568</v>
      </c>
      <c r="Y616" s="32">
        <v>89605158.712475568</v>
      </c>
      <c r="Z616" s="32">
        <v>89605158.712475568</v>
      </c>
      <c r="AA616" s="32">
        <v>89605158.712475568</v>
      </c>
      <c r="AB616" s="32">
        <v>89605158.712475568</v>
      </c>
      <c r="AC616" s="32">
        <v>89605158.712475568</v>
      </c>
      <c r="AD616" s="32">
        <v>89605158.712475568</v>
      </c>
      <c r="AE616" s="32">
        <v>89605158.712475568</v>
      </c>
      <c r="AF616" s="32">
        <v>89605158.712475568</v>
      </c>
      <c r="AG616"/>
      <c r="AH616" s="17" t="s">
        <v>279</v>
      </c>
    </row>
    <row r="617" spans="2:34" hidden="1" outlineLevel="1" x14ac:dyDescent="0.25">
      <c r="B617" s="31" t="s">
        <v>145</v>
      </c>
      <c r="C617" s="32">
        <v>0</v>
      </c>
      <c r="D617" s="32">
        <v>0</v>
      </c>
      <c r="E617" s="32">
        <v>11884388.380107559</v>
      </c>
      <c r="F617" s="32">
        <v>11884388.380107559</v>
      </c>
      <c r="G617" s="32">
        <v>11884388.380107559</v>
      </c>
      <c r="H617" s="32">
        <v>11884388.380107559</v>
      </c>
      <c r="I617" s="32">
        <v>11884388.380107559</v>
      </c>
      <c r="J617" s="32">
        <v>11884388.380107559</v>
      </c>
      <c r="K617" s="32">
        <v>11884388.380107559</v>
      </c>
      <c r="L617" s="32">
        <v>11884388.380107559</v>
      </c>
      <c r="M617" s="32">
        <v>11884388.380107559</v>
      </c>
      <c r="N617" s="32">
        <v>11884388.380107559</v>
      </c>
      <c r="O617" s="32">
        <v>11884388.380107559</v>
      </c>
      <c r="P617" s="32">
        <v>11884388.380107559</v>
      </c>
      <c r="Q617" s="32">
        <v>11884388.380107559</v>
      </c>
      <c r="R617" s="32">
        <v>11884388.380107559</v>
      </c>
      <c r="S617" s="32">
        <v>11884388.380107559</v>
      </c>
      <c r="T617" s="32">
        <v>11525540.601956299</v>
      </c>
      <c r="U617" s="32">
        <v>11525540.601956299</v>
      </c>
      <c r="V617" s="32">
        <v>11525540.601956299</v>
      </c>
      <c r="W617" s="32">
        <v>11525540.601956299</v>
      </c>
      <c r="X617" s="32">
        <v>11525540.601956299</v>
      </c>
      <c r="Y617" s="32">
        <v>11525540.601956299</v>
      </c>
      <c r="Z617" s="32">
        <v>11525540.601956299</v>
      </c>
      <c r="AA617" s="32">
        <v>11525540.601956299</v>
      </c>
      <c r="AB617" s="32">
        <v>11525540.601956299</v>
      </c>
      <c r="AC617" s="32">
        <v>11525540.601956299</v>
      </c>
      <c r="AD617" s="32">
        <v>11525540.601956299</v>
      </c>
      <c r="AE617" s="32">
        <v>11525540.601956299</v>
      </c>
      <c r="AF617" s="32">
        <v>11525540.601956299</v>
      </c>
      <c r="AG617"/>
      <c r="AH617" s="17" t="s">
        <v>279</v>
      </c>
    </row>
    <row r="618" spans="2:34" customFormat="1" hidden="1" outlineLevel="1" x14ac:dyDescent="0.25">
      <c r="B618" s="31" t="s">
        <v>244</v>
      </c>
      <c r="C618" s="32">
        <v>0</v>
      </c>
      <c r="D618" s="32">
        <v>0</v>
      </c>
      <c r="E618" s="32">
        <v>35030010.666666664</v>
      </c>
      <c r="F618" s="32">
        <v>33517716.333333336</v>
      </c>
      <c r="G618" s="32">
        <v>33517716.333333336</v>
      </c>
      <c r="H618" s="32">
        <v>31998292.333333336</v>
      </c>
      <c r="I618" s="32">
        <v>31998292.333333336</v>
      </c>
      <c r="J618" s="32">
        <v>31998292.333333336</v>
      </c>
      <c r="K618" s="32">
        <v>31998292.333333336</v>
      </c>
      <c r="L618" s="32">
        <v>31998292.333333336</v>
      </c>
      <c r="M618" s="32">
        <v>31998292.333333336</v>
      </c>
      <c r="N618" s="32">
        <v>29833701.969607845</v>
      </c>
      <c r="O618" s="32">
        <v>29833701.969607845</v>
      </c>
      <c r="P618" s="32">
        <v>28875000.884313725</v>
      </c>
      <c r="Q618" s="32">
        <v>28875000.884313725</v>
      </c>
      <c r="R618" s="32">
        <v>28875000.884313725</v>
      </c>
      <c r="S618" s="32">
        <v>28875000.884313725</v>
      </c>
      <c r="T618" s="32">
        <v>28875000.884313725</v>
      </c>
      <c r="U618" s="32">
        <v>28875000.884313725</v>
      </c>
      <c r="V618" s="32">
        <v>28875000.884313725</v>
      </c>
      <c r="W618" s="32">
        <v>28875000.884313725</v>
      </c>
      <c r="X618" s="32">
        <v>28875000.884313725</v>
      </c>
      <c r="Y618" s="32">
        <v>28875000.884313725</v>
      </c>
      <c r="Z618" s="32">
        <v>28875000.884313725</v>
      </c>
      <c r="AA618" s="32">
        <v>28875000.884313725</v>
      </c>
      <c r="AB618" s="32">
        <v>28875000.884313725</v>
      </c>
      <c r="AC618" s="32">
        <v>28875000.884313725</v>
      </c>
      <c r="AD618" s="32">
        <v>28875000.884313725</v>
      </c>
      <c r="AE618" s="32">
        <v>28875000.884313725</v>
      </c>
      <c r="AF618" s="32">
        <v>28875000.884313725</v>
      </c>
      <c r="AH618" s="17" t="s">
        <v>279</v>
      </c>
    </row>
    <row r="619" spans="2:34" hidden="1" outlineLevel="1" x14ac:dyDescent="0.25">
      <c r="B619" s="31" t="s">
        <v>147</v>
      </c>
      <c r="C619" s="32">
        <v>0</v>
      </c>
      <c r="D619" s="32">
        <v>0</v>
      </c>
      <c r="E619" s="32">
        <v>0</v>
      </c>
      <c r="F619" s="32">
        <v>0</v>
      </c>
      <c r="G619" s="32">
        <v>0</v>
      </c>
      <c r="H619" s="32">
        <v>0</v>
      </c>
      <c r="I619" s="32">
        <v>0</v>
      </c>
      <c r="J619" s="32">
        <v>0</v>
      </c>
      <c r="K619" s="32">
        <v>0</v>
      </c>
      <c r="L619" s="32">
        <v>0</v>
      </c>
      <c r="M619" s="32">
        <v>0</v>
      </c>
      <c r="N619" s="32">
        <v>0</v>
      </c>
      <c r="O619" s="32">
        <v>0</v>
      </c>
      <c r="P619" s="32">
        <v>0</v>
      </c>
      <c r="Q619" s="32">
        <v>0</v>
      </c>
      <c r="R619" s="32">
        <v>0</v>
      </c>
      <c r="S619" s="32">
        <v>0</v>
      </c>
      <c r="T619" s="32">
        <v>0</v>
      </c>
      <c r="U619" s="32">
        <v>0</v>
      </c>
      <c r="V619" s="32">
        <v>0</v>
      </c>
      <c r="W619" s="32">
        <v>0</v>
      </c>
      <c r="X619" s="32">
        <v>0</v>
      </c>
      <c r="Y619" s="32">
        <v>0</v>
      </c>
      <c r="Z619" s="32">
        <v>0</v>
      </c>
      <c r="AA619" s="32">
        <v>0</v>
      </c>
      <c r="AB619" s="32">
        <v>0</v>
      </c>
      <c r="AC619" s="32">
        <v>0</v>
      </c>
      <c r="AD619" s="32">
        <v>0</v>
      </c>
      <c r="AE619" s="32">
        <v>0</v>
      </c>
      <c r="AF619" s="32">
        <v>0</v>
      </c>
      <c r="AG619"/>
      <c r="AH619" s="17" t="s">
        <v>279</v>
      </c>
    </row>
    <row r="620" spans="2:34" hidden="1" outlineLevel="1" x14ac:dyDescent="0.25">
      <c r="B620" s="31" t="s">
        <v>245</v>
      </c>
      <c r="C620" s="32">
        <v>0</v>
      </c>
      <c r="D620" s="32">
        <v>0</v>
      </c>
      <c r="E620" s="32">
        <v>0</v>
      </c>
      <c r="F620" s="32">
        <v>0</v>
      </c>
      <c r="G620" s="32">
        <v>0</v>
      </c>
      <c r="H620" s="32">
        <v>0</v>
      </c>
      <c r="I620" s="32">
        <v>0</v>
      </c>
      <c r="J620" s="32">
        <v>0</v>
      </c>
      <c r="K620" s="32">
        <v>0</v>
      </c>
      <c r="L620" s="32">
        <v>0</v>
      </c>
      <c r="M620" s="32">
        <v>0</v>
      </c>
      <c r="N620" s="32">
        <v>0</v>
      </c>
      <c r="O620" s="32">
        <v>0</v>
      </c>
      <c r="P620" s="32">
        <v>0</v>
      </c>
      <c r="Q620" s="32">
        <v>0</v>
      </c>
      <c r="R620" s="32">
        <v>4623100.2231905619</v>
      </c>
      <c r="S620" s="32">
        <v>4623100.2231905619</v>
      </c>
      <c r="T620" s="32">
        <v>4623100.2231905619</v>
      </c>
      <c r="U620" s="32">
        <v>4623100.2231905619</v>
      </c>
      <c r="V620" s="32">
        <v>4623100.2231905619</v>
      </c>
      <c r="W620" s="32">
        <v>4623100.2231905619</v>
      </c>
      <c r="X620" s="32">
        <v>4623100.2231905619</v>
      </c>
      <c r="Y620" s="32">
        <v>4623100.2231905619</v>
      </c>
      <c r="Z620" s="32">
        <v>4623100.2231905619</v>
      </c>
      <c r="AA620" s="32">
        <v>4623100.2231905619</v>
      </c>
      <c r="AB620" s="32">
        <v>4623100.2231905619</v>
      </c>
      <c r="AC620" s="32">
        <v>4623100.2231905619</v>
      </c>
      <c r="AD620" s="32">
        <v>4623100.2231905619</v>
      </c>
      <c r="AE620" s="32">
        <v>4623100.2231905619</v>
      </c>
      <c r="AF620" s="32">
        <v>4623100.2231905619</v>
      </c>
      <c r="AG620"/>
      <c r="AH620" s="17" t="s">
        <v>279</v>
      </c>
    </row>
    <row r="621" spans="2:34" hidden="1" outlineLevel="1" x14ac:dyDescent="0.25">
      <c r="B621" s="31" t="s">
        <v>149</v>
      </c>
      <c r="C621" s="32">
        <v>0</v>
      </c>
      <c r="D621" s="32">
        <v>0</v>
      </c>
      <c r="E621" s="32">
        <v>138132917.56317133</v>
      </c>
      <c r="F621" s="32">
        <v>136620623.22983801</v>
      </c>
      <c r="G621" s="32">
        <v>136620623.22983801</v>
      </c>
      <c r="H621" s="32">
        <v>133487839.42591646</v>
      </c>
      <c r="I621" s="32">
        <v>133487839.42591646</v>
      </c>
      <c r="J621" s="32">
        <v>133487839.42591646</v>
      </c>
      <c r="K621" s="32">
        <v>133487839.42591646</v>
      </c>
      <c r="L621" s="32">
        <v>133487839.42591646</v>
      </c>
      <c r="M621" s="32">
        <v>133487839.42591646</v>
      </c>
      <c r="N621" s="32">
        <v>131323249.06219096</v>
      </c>
      <c r="O621" s="32">
        <v>131323249.06219096</v>
      </c>
      <c r="P621" s="32">
        <v>130364547.97689685</v>
      </c>
      <c r="Q621" s="32">
        <v>130364547.97689685</v>
      </c>
      <c r="R621" s="32">
        <v>134987648.20008743</v>
      </c>
      <c r="S621" s="32">
        <v>134987648.20008743</v>
      </c>
      <c r="T621" s="32">
        <v>134628800.42193615</v>
      </c>
      <c r="U621" s="32">
        <v>134628800.42193615</v>
      </c>
      <c r="V621" s="32">
        <v>134628800.42193615</v>
      </c>
      <c r="W621" s="32">
        <v>134628800.42193615</v>
      </c>
      <c r="X621" s="32">
        <v>134628800.42193615</v>
      </c>
      <c r="Y621" s="32">
        <v>134628800.42193615</v>
      </c>
      <c r="Z621" s="32">
        <v>134628800.42193615</v>
      </c>
      <c r="AA621" s="32">
        <v>134628800.42193615</v>
      </c>
      <c r="AB621" s="32">
        <v>134628800.42193615</v>
      </c>
      <c r="AC621" s="32">
        <v>134628800.42193615</v>
      </c>
      <c r="AD621" s="32">
        <v>134628800.42193615</v>
      </c>
      <c r="AE621" s="32">
        <v>134628800.42193615</v>
      </c>
      <c r="AF621" s="32">
        <v>134628800.42193615</v>
      </c>
      <c r="AG621"/>
      <c r="AH621" s="17" t="s">
        <v>279</v>
      </c>
    </row>
    <row r="622" spans="2:34" hidden="1" outlineLevel="1" x14ac:dyDescent="0.25">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c r="AH622"/>
    </row>
    <row r="623" spans="2:34" hidden="1" outlineLevel="1" x14ac:dyDescent="0.25">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c r="AH623"/>
    </row>
    <row r="624" spans="2:34" ht="17.25" hidden="1" outlineLevel="1" thickBot="1" x14ac:dyDescent="0.3">
      <c r="B624" s="26" t="s">
        <v>282</v>
      </c>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row>
    <row r="625" spans="2:35" ht="16.5" hidden="1" outlineLevel="1" thickTop="1" thickBot="1" x14ac:dyDescent="0.3">
      <c r="B625" s="28" t="s">
        <v>278</v>
      </c>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0"/>
      <c r="AH625" s="20" t="s">
        <v>15</v>
      </c>
    </row>
    <row r="626" spans="2:35" customFormat="1" hidden="1" outlineLevel="1" x14ac:dyDescent="0.25">
      <c r="B626" s="30"/>
      <c r="C626" s="17">
        <v>2025</v>
      </c>
      <c r="D626" s="44">
        <v>2026</v>
      </c>
      <c r="E626" s="44">
        <v>2027</v>
      </c>
      <c r="F626" s="44">
        <v>2028</v>
      </c>
      <c r="G626" s="44">
        <v>2029</v>
      </c>
      <c r="H626" s="44">
        <v>2030</v>
      </c>
      <c r="I626" s="44">
        <v>2031</v>
      </c>
      <c r="J626" s="44">
        <v>2032</v>
      </c>
      <c r="K626" s="44">
        <v>2033</v>
      </c>
      <c r="L626" s="44">
        <v>2034</v>
      </c>
      <c r="M626" s="44">
        <v>2035</v>
      </c>
      <c r="N626" s="44">
        <v>2036</v>
      </c>
      <c r="O626" s="44">
        <v>2037</v>
      </c>
      <c r="P626" s="44">
        <v>2038</v>
      </c>
      <c r="Q626" s="44">
        <v>2039</v>
      </c>
      <c r="R626" s="44">
        <v>2040</v>
      </c>
      <c r="S626" s="44">
        <v>2041</v>
      </c>
      <c r="T626" s="44">
        <v>2042</v>
      </c>
      <c r="U626" s="44">
        <v>2043</v>
      </c>
      <c r="V626" s="44">
        <v>2044</v>
      </c>
      <c r="W626" s="44">
        <v>2045</v>
      </c>
      <c r="X626" s="44">
        <v>2046</v>
      </c>
      <c r="Y626" s="44">
        <v>2047</v>
      </c>
      <c r="Z626" s="44">
        <v>2048</v>
      </c>
      <c r="AA626" s="44">
        <v>2049</v>
      </c>
      <c r="AB626" s="44">
        <v>2050</v>
      </c>
      <c r="AC626" s="44">
        <v>2051</v>
      </c>
      <c r="AD626" s="44">
        <v>2052</v>
      </c>
      <c r="AE626" s="44">
        <v>2053</v>
      </c>
      <c r="AF626" s="44">
        <v>2054</v>
      </c>
      <c r="AH626" s="1"/>
      <c r="AI626" s="1"/>
    </row>
    <row r="627" spans="2:35" hidden="1" outlineLevel="1" x14ac:dyDescent="0.25">
      <c r="B627" s="31" t="s">
        <v>144</v>
      </c>
      <c r="C627" s="32">
        <v>342242.65102078754</v>
      </c>
      <c r="D627" s="32">
        <v>342242.65102078754</v>
      </c>
      <c r="E627" s="32">
        <v>0</v>
      </c>
      <c r="F627" s="32">
        <v>0</v>
      </c>
      <c r="G627" s="32">
        <v>0</v>
      </c>
      <c r="H627" s="32">
        <v>0</v>
      </c>
      <c r="I627" s="32">
        <v>0</v>
      </c>
      <c r="J627" s="32">
        <v>0</v>
      </c>
      <c r="K627" s="32">
        <v>0</v>
      </c>
      <c r="L627" s="32">
        <v>0</v>
      </c>
      <c r="M627" s="32">
        <v>0</v>
      </c>
      <c r="N627" s="32">
        <v>0</v>
      </c>
      <c r="O627" s="32">
        <v>0</v>
      </c>
      <c r="P627" s="32">
        <v>0</v>
      </c>
      <c r="Q627" s="32">
        <v>0</v>
      </c>
      <c r="R627" s="32">
        <v>0</v>
      </c>
      <c r="S627" s="32">
        <v>0</v>
      </c>
      <c r="T627" s="32">
        <v>0</v>
      </c>
      <c r="U627" s="32">
        <v>0</v>
      </c>
      <c r="V627" s="32">
        <v>0</v>
      </c>
      <c r="W627" s="32">
        <v>0</v>
      </c>
      <c r="X627" s="32">
        <v>0</v>
      </c>
      <c r="Y627" s="32">
        <v>0</v>
      </c>
      <c r="Z627" s="32">
        <v>0</v>
      </c>
      <c r="AA627" s="32">
        <v>0</v>
      </c>
      <c r="AB627" s="32">
        <v>0</v>
      </c>
      <c r="AC627" s="32">
        <v>0</v>
      </c>
      <c r="AD627" s="32">
        <v>0</v>
      </c>
      <c r="AE627" s="32">
        <v>0</v>
      </c>
      <c r="AF627" s="32">
        <v>0</v>
      </c>
      <c r="AG627"/>
      <c r="AH627" s="17" t="s">
        <v>279</v>
      </c>
    </row>
    <row r="628" spans="2:35" customFormat="1" hidden="1" outlineLevel="1" x14ac:dyDescent="0.25">
      <c r="B628" s="31" t="s">
        <v>145</v>
      </c>
      <c r="C628" s="32">
        <v>98109.353104549853</v>
      </c>
      <c r="D628" s="32">
        <v>98109.353104549853</v>
      </c>
      <c r="E628" s="32">
        <v>0</v>
      </c>
      <c r="F628" s="32">
        <v>0</v>
      </c>
      <c r="G628" s="32">
        <v>0</v>
      </c>
      <c r="H628" s="32">
        <v>0</v>
      </c>
      <c r="I628" s="32">
        <v>0</v>
      </c>
      <c r="J628" s="32">
        <v>0</v>
      </c>
      <c r="K628" s="32">
        <v>0</v>
      </c>
      <c r="L628" s="32">
        <v>0</v>
      </c>
      <c r="M628" s="32">
        <v>0</v>
      </c>
      <c r="N628" s="32">
        <v>0</v>
      </c>
      <c r="O628" s="32">
        <v>0</v>
      </c>
      <c r="P628" s="32">
        <v>0</v>
      </c>
      <c r="Q628" s="32">
        <v>0</v>
      </c>
      <c r="R628" s="32">
        <v>0</v>
      </c>
      <c r="S628" s="32">
        <v>0</v>
      </c>
      <c r="T628" s="32">
        <v>0</v>
      </c>
      <c r="U628" s="32">
        <v>0</v>
      </c>
      <c r="V628" s="32">
        <v>0</v>
      </c>
      <c r="W628" s="32">
        <v>0</v>
      </c>
      <c r="X628" s="32">
        <v>0</v>
      </c>
      <c r="Y628" s="32">
        <v>0</v>
      </c>
      <c r="Z628" s="32">
        <v>0</v>
      </c>
      <c r="AA628" s="32">
        <v>0</v>
      </c>
      <c r="AB628" s="32">
        <v>0</v>
      </c>
      <c r="AC628" s="32">
        <v>0</v>
      </c>
      <c r="AD628" s="32">
        <v>0</v>
      </c>
      <c r="AE628" s="32">
        <v>0</v>
      </c>
      <c r="AF628" s="32">
        <v>0</v>
      </c>
      <c r="AH628" s="17" t="s">
        <v>279</v>
      </c>
    </row>
    <row r="629" spans="2:35" hidden="1" outlineLevel="1" x14ac:dyDescent="0.25">
      <c r="B629" s="31" t="s">
        <v>244</v>
      </c>
      <c r="C629" s="32">
        <v>249408.4642786741</v>
      </c>
      <c r="D629" s="32">
        <v>249408.4642786741</v>
      </c>
      <c r="E629" s="32">
        <v>0</v>
      </c>
      <c r="F629" s="32">
        <v>0</v>
      </c>
      <c r="G629" s="32">
        <v>0</v>
      </c>
      <c r="H629" s="32">
        <v>0</v>
      </c>
      <c r="I629" s="32">
        <v>0</v>
      </c>
      <c r="J629" s="32">
        <v>0</v>
      </c>
      <c r="K629" s="32">
        <v>0</v>
      </c>
      <c r="L629" s="32">
        <v>0</v>
      </c>
      <c r="M629" s="32">
        <v>0</v>
      </c>
      <c r="N629" s="32">
        <v>0</v>
      </c>
      <c r="O629" s="32">
        <v>0</v>
      </c>
      <c r="P629" s="32">
        <v>0</v>
      </c>
      <c r="Q629" s="32">
        <v>0</v>
      </c>
      <c r="R629" s="32">
        <v>0</v>
      </c>
      <c r="S629" s="32">
        <v>0</v>
      </c>
      <c r="T629" s="32">
        <v>0</v>
      </c>
      <c r="U629" s="32">
        <v>0</v>
      </c>
      <c r="V629" s="32">
        <v>0</v>
      </c>
      <c r="W629" s="32">
        <v>0</v>
      </c>
      <c r="X629" s="32">
        <v>0</v>
      </c>
      <c r="Y629" s="32">
        <v>0</v>
      </c>
      <c r="Z629" s="32">
        <v>0</v>
      </c>
      <c r="AA629" s="32">
        <v>0</v>
      </c>
      <c r="AB629" s="32">
        <v>0</v>
      </c>
      <c r="AC629" s="32">
        <v>0</v>
      </c>
      <c r="AD629" s="32">
        <v>0</v>
      </c>
      <c r="AE629" s="32">
        <v>0</v>
      </c>
      <c r="AF629" s="32">
        <v>0</v>
      </c>
      <c r="AG629"/>
      <c r="AH629" s="17" t="s">
        <v>279</v>
      </c>
    </row>
    <row r="630" spans="2:35" hidden="1" outlineLevel="1" x14ac:dyDescent="0.25">
      <c r="B630" s="31" t="s">
        <v>147</v>
      </c>
      <c r="C630" s="32">
        <v>0</v>
      </c>
      <c r="D630" s="32">
        <v>0</v>
      </c>
      <c r="E630" s="32">
        <v>0</v>
      </c>
      <c r="F630" s="32">
        <v>0</v>
      </c>
      <c r="G630" s="32">
        <v>0</v>
      </c>
      <c r="H630" s="32">
        <v>0</v>
      </c>
      <c r="I630" s="32">
        <v>0</v>
      </c>
      <c r="J630" s="32">
        <v>0</v>
      </c>
      <c r="K630" s="32">
        <v>0</v>
      </c>
      <c r="L630" s="32">
        <v>0</v>
      </c>
      <c r="M630" s="32">
        <v>0</v>
      </c>
      <c r="N630" s="32">
        <v>0</v>
      </c>
      <c r="O630" s="32">
        <v>0</v>
      </c>
      <c r="P630" s="32">
        <v>0</v>
      </c>
      <c r="Q630" s="32">
        <v>0</v>
      </c>
      <c r="R630" s="32">
        <v>0</v>
      </c>
      <c r="S630" s="32">
        <v>0</v>
      </c>
      <c r="T630" s="32">
        <v>0</v>
      </c>
      <c r="U630" s="32">
        <v>0</v>
      </c>
      <c r="V630" s="32">
        <v>0</v>
      </c>
      <c r="W630" s="32">
        <v>0</v>
      </c>
      <c r="X630" s="32">
        <v>0</v>
      </c>
      <c r="Y630" s="32">
        <v>0</v>
      </c>
      <c r="Z630" s="32">
        <v>0</v>
      </c>
      <c r="AA630" s="32">
        <v>0</v>
      </c>
      <c r="AB630" s="32">
        <v>0</v>
      </c>
      <c r="AC630" s="32">
        <v>0</v>
      </c>
      <c r="AD630" s="32">
        <v>0</v>
      </c>
      <c r="AE630" s="32">
        <v>0</v>
      </c>
      <c r="AF630" s="32">
        <v>0</v>
      </c>
      <c r="AG630"/>
      <c r="AH630" s="17" t="s">
        <v>279</v>
      </c>
    </row>
    <row r="631" spans="2:35" hidden="1" outlineLevel="1" x14ac:dyDescent="0.25">
      <c r="B631" s="31" t="s">
        <v>245</v>
      </c>
      <c r="C631" s="32">
        <v>15010.998282483361</v>
      </c>
      <c r="D631" s="32">
        <v>15010.998282483361</v>
      </c>
      <c r="E631" s="32">
        <v>0</v>
      </c>
      <c r="F631" s="32">
        <v>0</v>
      </c>
      <c r="G631" s="32">
        <v>0</v>
      </c>
      <c r="H631" s="32">
        <v>0</v>
      </c>
      <c r="I631" s="32">
        <v>0</v>
      </c>
      <c r="J631" s="32">
        <v>0</v>
      </c>
      <c r="K631" s="32">
        <v>0</v>
      </c>
      <c r="L631" s="32">
        <v>0</v>
      </c>
      <c r="M631" s="32">
        <v>0</v>
      </c>
      <c r="N631" s="32">
        <v>0</v>
      </c>
      <c r="O631" s="32">
        <v>0</v>
      </c>
      <c r="P631" s="32">
        <v>0</v>
      </c>
      <c r="Q631" s="32">
        <v>0</v>
      </c>
      <c r="R631" s="32">
        <v>0</v>
      </c>
      <c r="S631" s="32">
        <v>0</v>
      </c>
      <c r="T631" s="32">
        <v>0</v>
      </c>
      <c r="U631" s="32">
        <v>0</v>
      </c>
      <c r="V631" s="32">
        <v>0</v>
      </c>
      <c r="W631" s="32">
        <v>0</v>
      </c>
      <c r="X631" s="32">
        <v>0</v>
      </c>
      <c r="Y631" s="32">
        <v>0</v>
      </c>
      <c r="Z631" s="32">
        <v>0</v>
      </c>
      <c r="AA631" s="32">
        <v>0</v>
      </c>
      <c r="AB631" s="32">
        <v>0</v>
      </c>
      <c r="AC631" s="32">
        <v>0</v>
      </c>
      <c r="AD631" s="32">
        <v>0</v>
      </c>
      <c r="AE631" s="32">
        <v>0</v>
      </c>
      <c r="AF631" s="32">
        <v>0</v>
      </c>
      <c r="AG631"/>
      <c r="AH631" s="17" t="s">
        <v>279</v>
      </c>
    </row>
    <row r="632" spans="2:35" hidden="1" outlineLevel="1" x14ac:dyDescent="0.25">
      <c r="B632" s="31" t="s">
        <v>149</v>
      </c>
      <c r="C632" s="32">
        <v>704771.46668649488</v>
      </c>
      <c r="D632" s="32">
        <v>704771.46668649488</v>
      </c>
      <c r="E632" s="32">
        <v>0</v>
      </c>
      <c r="F632" s="32">
        <v>0</v>
      </c>
      <c r="G632" s="32">
        <v>0</v>
      </c>
      <c r="H632" s="32">
        <v>0</v>
      </c>
      <c r="I632" s="32">
        <v>0</v>
      </c>
      <c r="J632" s="32">
        <v>0</v>
      </c>
      <c r="K632" s="32">
        <v>0</v>
      </c>
      <c r="L632" s="32">
        <v>0</v>
      </c>
      <c r="M632" s="32">
        <v>0</v>
      </c>
      <c r="N632" s="32">
        <v>0</v>
      </c>
      <c r="O632" s="32">
        <v>0</v>
      </c>
      <c r="P632" s="32">
        <v>0</v>
      </c>
      <c r="Q632" s="32">
        <v>0</v>
      </c>
      <c r="R632" s="32">
        <v>0</v>
      </c>
      <c r="S632" s="32">
        <v>0</v>
      </c>
      <c r="T632" s="32">
        <v>0</v>
      </c>
      <c r="U632" s="32">
        <v>0</v>
      </c>
      <c r="V632" s="32">
        <v>0</v>
      </c>
      <c r="W632" s="32">
        <v>0</v>
      </c>
      <c r="X632" s="32">
        <v>0</v>
      </c>
      <c r="Y632" s="32">
        <v>0</v>
      </c>
      <c r="Z632" s="32">
        <v>0</v>
      </c>
      <c r="AA632" s="32">
        <v>0</v>
      </c>
      <c r="AB632" s="32">
        <v>0</v>
      </c>
      <c r="AC632" s="32">
        <v>0</v>
      </c>
      <c r="AD632" s="32">
        <v>0</v>
      </c>
      <c r="AE632" s="32">
        <v>0</v>
      </c>
      <c r="AF632" s="32">
        <v>0</v>
      </c>
      <c r="AG632"/>
      <c r="AH632" s="17" t="s">
        <v>279</v>
      </c>
    </row>
    <row r="633" spans="2:35" hidden="1" outlineLevel="1" x14ac:dyDescent="0.25">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row>
    <row r="634" spans="2:35" ht="15.75" hidden="1" outlineLevel="1" thickBot="1" x14ac:dyDescent="0.3">
      <c r="B634" s="28" t="s">
        <v>280</v>
      </c>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0"/>
      <c r="AH634" s="20" t="s">
        <v>15</v>
      </c>
    </row>
    <row r="635" spans="2:35" customFormat="1" hidden="1" outlineLevel="1" x14ac:dyDescent="0.25">
      <c r="B635" s="30"/>
      <c r="C635" s="17">
        <v>2025</v>
      </c>
      <c r="D635" s="44">
        <v>2026</v>
      </c>
      <c r="E635" s="44">
        <v>2027</v>
      </c>
      <c r="F635" s="44">
        <v>2028</v>
      </c>
      <c r="G635" s="44">
        <v>2029</v>
      </c>
      <c r="H635" s="44">
        <v>2030</v>
      </c>
      <c r="I635" s="44">
        <v>2031</v>
      </c>
      <c r="J635" s="44">
        <v>2032</v>
      </c>
      <c r="K635" s="44">
        <v>2033</v>
      </c>
      <c r="L635" s="44">
        <v>2034</v>
      </c>
      <c r="M635" s="44">
        <v>2035</v>
      </c>
      <c r="N635" s="44">
        <v>2036</v>
      </c>
      <c r="O635" s="44">
        <v>2037</v>
      </c>
      <c r="P635" s="44">
        <v>2038</v>
      </c>
      <c r="Q635" s="44">
        <v>2039</v>
      </c>
      <c r="R635" s="44">
        <v>2040</v>
      </c>
      <c r="S635" s="44">
        <v>2041</v>
      </c>
      <c r="T635" s="44">
        <v>2042</v>
      </c>
      <c r="U635" s="44">
        <v>2043</v>
      </c>
      <c r="V635" s="44">
        <v>2044</v>
      </c>
      <c r="W635" s="44">
        <v>2045</v>
      </c>
      <c r="X635" s="44">
        <v>2046</v>
      </c>
      <c r="Y635" s="44">
        <v>2047</v>
      </c>
      <c r="Z635" s="44">
        <v>2048</v>
      </c>
      <c r="AA635" s="44">
        <v>2049</v>
      </c>
      <c r="AB635" s="44">
        <v>2050</v>
      </c>
      <c r="AC635" s="44">
        <v>2051</v>
      </c>
      <c r="AD635" s="44">
        <v>2052</v>
      </c>
      <c r="AE635" s="44">
        <v>2053</v>
      </c>
      <c r="AF635" s="44">
        <v>2054</v>
      </c>
      <c r="AH635" s="1"/>
    </row>
    <row r="636" spans="2:35" hidden="1" outlineLevel="1" x14ac:dyDescent="0.25">
      <c r="B636" s="31" t="s">
        <v>144</v>
      </c>
      <c r="C636" s="32">
        <v>0</v>
      </c>
      <c r="D636" s="32">
        <v>0</v>
      </c>
      <c r="E636" s="32">
        <v>342242.65102078754</v>
      </c>
      <c r="F636" s="32">
        <v>305603.30209601083</v>
      </c>
      <c r="G636" s="32">
        <v>305603.30209601083</v>
      </c>
      <c r="H636" s="32">
        <v>301207.80852934415</v>
      </c>
      <c r="I636" s="32">
        <v>301207.80852934415</v>
      </c>
      <c r="J636" s="32">
        <v>291945.6620454957</v>
      </c>
      <c r="K636" s="32">
        <v>291945.6620454957</v>
      </c>
      <c r="L636" s="32">
        <v>291945.6620454957</v>
      </c>
      <c r="M636" s="32">
        <v>291945.6620454957</v>
      </c>
      <c r="N636" s="32">
        <v>291945.6620454957</v>
      </c>
      <c r="O636" s="32">
        <v>291945.6620454957</v>
      </c>
      <c r="P636" s="32">
        <v>291945.6620454957</v>
      </c>
      <c r="Q636" s="32">
        <v>291945.6620454957</v>
      </c>
      <c r="R636" s="32">
        <v>291945.6620454957</v>
      </c>
      <c r="S636" s="32">
        <v>291945.6620454957</v>
      </c>
      <c r="T636" s="32">
        <v>291945.6620454957</v>
      </c>
      <c r="U636" s="32">
        <v>291945.6620454957</v>
      </c>
      <c r="V636" s="32">
        <v>291945.6620454957</v>
      </c>
      <c r="W636" s="32">
        <v>291945.6620454957</v>
      </c>
      <c r="X636" s="32">
        <v>291945.6620454957</v>
      </c>
      <c r="Y636" s="32">
        <v>291945.6620454957</v>
      </c>
      <c r="Z636" s="32">
        <v>291945.6620454957</v>
      </c>
      <c r="AA636" s="32">
        <v>291945.6620454957</v>
      </c>
      <c r="AB636" s="32">
        <v>291945.6620454957</v>
      </c>
      <c r="AC636" s="32">
        <v>291945.6620454957</v>
      </c>
      <c r="AD636" s="32">
        <v>291945.6620454957</v>
      </c>
      <c r="AE636" s="32">
        <v>291945.6620454957</v>
      </c>
      <c r="AF636" s="32">
        <v>291945.6620454957</v>
      </c>
      <c r="AG636"/>
      <c r="AH636" s="17" t="s">
        <v>279</v>
      </c>
    </row>
    <row r="637" spans="2:35" hidden="1" outlineLevel="1" x14ac:dyDescent="0.25">
      <c r="B637" s="31" t="s">
        <v>145</v>
      </c>
      <c r="C637" s="32">
        <v>0</v>
      </c>
      <c r="D637" s="32">
        <v>0</v>
      </c>
      <c r="E637" s="32">
        <v>98109.353104549853</v>
      </c>
      <c r="F637" s="32">
        <v>98109.353104549853</v>
      </c>
      <c r="G637" s="32">
        <v>98109.353104549853</v>
      </c>
      <c r="H637" s="32">
        <v>98109.353104549853</v>
      </c>
      <c r="I637" s="32">
        <v>98109.353104549853</v>
      </c>
      <c r="J637" s="32">
        <v>98109.353104549853</v>
      </c>
      <c r="K637" s="32">
        <v>98109.353104549853</v>
      </c>
      <c r="L637" s="32">
        <v>87477.430959262143</v>
      </c>
      <c r="M637" s="32">
        <v>87477.430959262143</v>
      </c>
      <c r="N637" s="32">
        <v>87477.430959262143</v>
      </c>
      <c r="O637" s="32">
        <v>87477.430959262143</v>
      </c>
      <c r="P637" s="32">
        <v>87287.517599226805</v>
      </c>
      <c r="Q637" s="32">
        <v>87287.517599226805</v>
      </c>
      <c r="R637" s="32">
        <v>86872.013217632499</v>
      </c>
      <c r="S637" s="32">
        <v>86872.013217632499</v>
      </c>
      <c r="T637" s="32">
        <v>85195.012122318236</v>
      </c>
      <c r="U637" s="32">
        <v>85195.012122318236</v>
      </c>
      <c r="V637" s="32">
        <v>85195.012122318236</v>
      </c>
      <c r="W637" s="32">
        <v>85195.012122318236</v>
      </c>
      <c r="X637" s="32">
        <v>85195.012122318236</v>
      </c>
      <c r="Y637" s="32">
        <v>85195.012122318236</v>
      </c>
      <c r="Z637" s="32">
        <v>85195.012122318236</v>
      </c>
      <c r="AA637" s="32">
        <v>85195.012122318236</v>
      </c>
      <c r="AB637" s="32">
        <v>83077.009532805183</v>
      </c>
      <c r="AC637" s="32">
        <v>83077.009532805183</v>
      </c>
      <c r="AD637" s="32">
        <v>83077.009532805183</v>
      </c>
      <c r="AE637" s="32">
        <v>83077.009532805183</v>
      </c>
      <c r="AF637" s="32">
        <v>83077.009532805183</v>
      </c>
      <c r="AG637"/>
      <c r="AH637" s="17" t="s">
        <v>279</v>
      </c>
    </row>
    <row r="638" spans="2:35" hidden="1" outlineLevel="1" x14ac:dyDescent="0.25">
      <c r="B638" s="31" t="s">
        <v>244</v>
      </c>
      <c r="C638" s="32">
        <v>0</v>
      </c>
      <c r="D638" s="32">
        <v>0</v>
      </c>
      <c r="E638" s="32">
        <v>249408.4642786741</v>
      </c>
      <c r="F638" s="32">
        <v>271089.76978868787</v>
      </c>
      <c r="G638" s="32">
        <v>271089.76978868787</v>
      </c>
      <c r="H638" s="32">
        <v>264563.44007260934</v>
      </c>
      <c r="I638" s="32">
        <v>264563.44007260934</v>
      </c>
      <c r="J638" s="32">
        <v>241469.52476634944</v>
      </c>
      <c r="K638" s="32">
        <v>241469.52476634944</v>
      </c>
      <c r="L638" s="32">
        <v>241469.52476634944</v>
      </c>
      <c r="M638" s="32">
        <v>241469.52476634944</v>
      </c>
      <c r="N638" s="32">
        <v>228160.89031826754</v>
      </c>
      <c r="O638" s="32">
        <v>228160.89031826754</v>
      </c>
      <c r="P638" s="32">
        <v>225094.6559789071</v>
      </c>
      <c r="Q638" s="32">
        <v>225094.6559789071</v>
      </c>
      <c r="R638" s="32">
        <v>231209.69947117515</v>
      </c>
      <c r="S638" s="32">
        <v>231209.69947117515</v>
      </c>
      <c r="T638" s="32">
        <v>231209.69947117515</v>
      </c>
      <c r="U638" s="32">
        <v>231209.69947117515</v>
      </c>
      <c r="V638" s="32">
        <v>229096.82281032932</v>
      </c>
      <c r="W638" s="32">
        <v>229096.82281032932</v>
      </c>
      <c r="X638" s="32">
        <v>229096.82281032932</v>
      </c>
      <c r="Y638" s="32">
        <v>229096.82281032932</v>
      </c>
      <c r="Z638" s="32">
        <v>229096.82281032932</v>
      </c>
      <c r="AA638" s="32">
        <v>229096.82281032932</v>
      </c>
      <c r="AB638" s="32">
        <v>229096.82281032932</v>
      </c>
      <c r="AC638" s="32">
        <v>229096.82281032932</v>
      </c>
      <c r="AD638" s="32">
        <v>229096.82281032932</v>
      </c>
      <c r="AE638" s="32">
        <v>229096.82281032932</v>
      </c>
      <c r="AF638" s="32">
        <v>229096.82281032932</v>
      </c>
      <c r="AG638"/>
      <c r="AH638" s="17" t="s">
        <v>279</v>
      </c>
    </row>
    <row r="639" spans="2:35" hidden="1" outlineLevel="1" x14ac:dyDescent="0.25">
      <c r="B639" s="31" t="s">
        <v>147</v>
      </c>
      <c r="C639" s="32">
        <v>0</v>
      </c>
      <c r="D639" s="32">
        <v>0</v>
      </c>
      <c r="E639" s="32">
        <v>0</v>
      </c>
      <c r="F639" s="32">
        <v>0</v>
      </c>
      <c r="G639" s="32">
        <v>0</v>
      </c>
      <c r="H639" s="32">
        <v>0</v>
      </c>
      <c r="I639" s="32">
        <v>0</v>
      </c>
      <c r="J639" s="32">
        <v>0</v>
      </c>
      <c r="K639" s="32">
        <v>0</v>
      </c>
      <c r="L639" s="32">
        <v>0</v>
      </c>
      <c r="M639" s="32">
        <v>0</v>
      </c>
      <c r="N639" s="32">
        <v>0</v>
      </c>
      <c r="O639" s="32">
        <v>0</v>
      </c>
      <c r="P639" s="32">
        <v>0</v>
      </c>
      <c r="Q639" s="32">
        <v>0</v>
      </c>
      <c r="R639" s="32">
        <v>0</v>
      </c>
      <c r="S639" s="32">
        <v>0</v>
      </c>
      <c r="T639" s="32">
        <v>0</v>
      </c>
      <c r="U639" s="32">
        <v>0</v>
      </c>
      <c r="V639" s="32">
        <v>0</v>
      </c>
      <c r="W639" s="32">
        <v>0</v>
      </c>
      <c r="X639" s="32">
        <v>0</v>
      </c>
      <c r="Y639" s="32">
        <v>0</v>
      </c>
      <c r="Z639" s="32">
        <v>0</v>
      </c>
      <c r="AA639" s="32">
        <v>0</v>
      </c>
      <c r="AB639" s="32">
        <v>0</v>
      </c>
      <c r="AC639" s="32">
        <v>0</v>
      </c>
      <c r="AD639" s="32">
        <v>0</v>
      </c>
      <c r="AE639" s="32">
        <v>0</v>
      </c>
      <c r="AF639" s="32">
        <v>0</v>
      </c>
      <c r="AG639"/>
      <c r="AH639" s="17" t="s">
        <v>279</v>
      </c>
    </row>
    <row r="640" spans="2:35" hidden="1" outlineLevel="1" x14ac:dyDescent="0.25">
      <c r="B640" s="31" t="s">
        <v>245</v>
      </c>
      <c r="C640" s="32">
        <v>0</v>
      </c>
      <c r="D640" s="32">
        <v>0</v>
      </c>
      <c r="E640" s="32">
        <v>15010.998282483361</v>
      </c>
      <c r="F640" s="32">
        <v>15010.998282483361</v>
      </c>
      <c r="G640" s="32">
        <v>15010.998282483361</v>
      </c>
      <c r="H640" s="32">
        <v>15010.998282483361</v>
      </c>
      <c r="I640" s="32">
        <v>15010.998282483361</v>
      </c>
      <c r="J640" s="32">
        <v>15010.998282483361</v>
      </c>
      <c r="K640" s="32">
        <v>15010.998282483361</v>
      </c>
      <c r="L640" s="32">
        <v>15010.998282483361</v>
      </c>
      <c r="M640" s="32">
        <v>15010.998282483361</v>
      </c>
      <c r="N640" s="32">
        <v>13436.692112233934</v>
      </c>
      <c r="O640" s="32">
        <v>13436.692112233934</v>
      </c>
      <c r="P640" s="32">
        <v>13436.692112233934</v>
      </c>
      <c r="Q640" s="32">
        <v>13436.692112233934</v>
      </c>
      <c r="R640" s="32">
        <v>51778.373813264858</v>
      </c>
      <c r="S640" s="32">
        <v>51778.373813264858</v>
      </c>
      <c r="T640" s="32">
        <v>51778.373813264858</v>
      </c>
      <c r="U640" s="32">
        <v>51778.373813264858</v>
      </c>
      <c r="V640" s="32">
        <v>51778.373813264858</v>
      </c>
      <c r="W640" s="32">
        <v>51778.373813264858</v>
      </c>
      <c r="X640" s="32">
        <v>51778.373813264858</v>
      </c>
      <c r="Y640" s="32">
        <v>51778.373813264858</v>
      </c>
      <c r="Z640" s="32">
        <v>51778.373813264858</v>
      </c>
      <c r="AA640" s="32">
        <v>51778.373813264858</v>
      </c>
      <c r="AB640" s="32">
        <v>51778.373813264858</v>
      </c>
      <c r="AC640" s="32">
        <v>51778.373813264858</v>
      </c>
      <c r="AD640" s="32">
        <v>51778.373813264858</v>
      </c>
      <c r="AE640" s="32">
        <v>51778.373813264858</v>
      </c>
      <c r="AF640" s="32">
        <v>51778.373813264858</v>
      </c>
      <c r="AG640"/>
      <c r="AH640" s="17" t="s">
        <v>279</v>
      </c>
    </row>
    <row r="641" spans="2:34" hidden="1" outlineLevel="1" x14ac:dyDescent="0.25">
      <c r="B641" s="31" t="s">
        <v>149</v>
      </c>
      <c r="C641" s="32">
        <v>0</v>
      </c>
      <c r="D641" s="32">
        <v>0</v>
      </c>
      <c r="E641" s="32">
        <v>704771.46668649488</v>
      </c>
      <c r="F641" s="32">
        <v>689813.42327173194</v>
      </c>
      <c r="G641" s="32">
        <v>689813.42327173194</v>
      </c>
      <c r="H641" s="32">
        <v>678891.59998898674</v>
      </c>
      <c r="I641" s="32">
        <v>678891.59998898674</v>
      </c>
      <c r="J641" s="32">
        <v>646535.53819887829</v>
      </c>
      <c r="K641" s="32">
        <v>646535.53819887829</v>
      </c>
      <c r="L641" s="32">
        <v>635903.61605359055</v>
      </c>
      <c r="M641" s="32">
        <v>635903.61605359055</v>
      </c>
      <c r="N641" s="32">
        <v>621020.67543525936</v>
      </c>
      <c r="O641" s="32">
        <v>621020.67543525936</v>
      </c>
      <c r="P641" s="32">
        <v>617764.52773586358</v>
      </c>
      <c r="Q641" s="32">
        <v>617764.52773586358</v>
      </c>
      <c r="R641" s="32">
        <v>661805.74854756822</v>
      </c>
      <c r="S641" s="32">
        <v>661805.74854756822</v>
      </c>
      <c r="T641" s="32">
        <v>660128.74745225406</v>
      </c>
      <c r="U641" s="32">
        <v>660128.74745225406</v>
      </c>
      <c r="V641" s="32">
        <v>658015.87079140812</v>
      </c>
      <c r="W641" s="32">
        <v>658015.87079140812</v>
      </c>
      <c r="X641" s="32">
        <v>658015.87079140812</v>
      </c>
      <c r="Y641" s="32">
        <v>658015.87079140812</v>
      </c>
      <c r="Z641" s="32">
        <v>658015.87079140812</v>
      </c>
      <c r="AA641" s="32">
        <v>658015.87079140812</v>
      </c>
      <c r="AB641" s="32">
        <v>655897.86820189503</v>
      </c>
      <c r="AC641" s="32">
        <v>655897.86820189503</v>
      </c>
      <c r="AD641" s="32">
        <v>655897.86820189503</v>
      </c>
      <c r="AE641" s="32">
        <v>655897.86820189503</v>
      </c>
      <c r="AF641" s="32">
        <v>655897.86820189503</v>
      </c>
      <c r="AG641"/>
      <c r="AH641" s="17" t="s">
        <v>279</v>
      </c>
    </row>
    <row r="642" spans="2:34" hidden="1" outlineLevel="1" x14ac:dyDescent="0.25">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row>
    <row r="643" spans="2:34" hidden="1" outlineLevel="1" x14ac:dyDescent="0.25">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row>
    <row r="644" spans="2:34" ht="17.25" hidden="1" outlineLevel="1" thickBot="1" x14ac:dyDescent="0.3">
      <c r="B644" s="26" t="s">
        <v>283</v>
      </c>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row>
    <row r="645" spans="2:34" ht="16.5" hidden="1" outlineLevel="1" thickTop="1" thickBot="1" x14ac:dyDescent="0.3">
      <c r="B645" s="28" t="s">
        <v>278</v>
      </c>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0"/>
      <c r="AH645" s="20" t="s">
        <v>15</v>
      </c>
    </row>
    <row r="646" spans="2:34" customFormat="1" hidden="1" outlineLevel="1" x14ac:dyDescent="0.25">
      <c r="B646" s="30"/>
      <c r="C646" s="17">
        <v>2025</v>
      </c>
      <c r="D646" s="44">
        <v>2026</v>
      </c>
      <c r="E646" s="44">
        <v>2027</v>
      </c>
      <c r="F646" s="44">
        <v>2028</v>
      </c>
      <c r="G646" s="44">
        <v>2029</v>
      </c>
      <c r="H646" s="44">
        <v>2030</v>
      </c>
      <c r="I646" s="44">
        <v>2031</v>
      </c>
      <c r="J646" s="44">
        <v>2032</v>
      </c>
      <c r="K646" s="44">
        <v>2033</v>
      </c>
      <c r="L646" s="44">
        <v>2034</v>
      </c>
      <c r="M646" s="44">
        <v>2035</v>
      </c>
      <c r="N646" s="44">
        <v>2036</v>
      </c>
      <c r="O646" s="44">
        <v>2037</v>
      </c>
      <c r="P646" s="44">
        <v>2038</v>
      </c>
      <c r="Q646" s="44">
        <v>2039</v>
      </c>
      <c r="R646" s="44">
        <v>2040</v>
      </c>
      <c r="S646" s="44">
        <v>2041</v>
      </c>
      <c r="T646" s="44">
        <v>2042</v>
      </c>
      <c r="U646" s="44">
        <v>2043</v>
      </c>
      <c r="V646" s="44">
        <v>2044</v>
      </c>
      <c r="W646" s="44">
        <v>2045</v>
      </c>
      <c r="X646" s="44">
        <v>2046</v>
      </c>
      <c r="Y646" s="44">
        <v>2047</v>
      </c>
      <c r="Z646" s="44">
        <v>2048</v>
      </c>
      <c r="AA646" s="44">
        <v>2049</v>
      </c>
      <c r="AB646" s="44">
        <v>2050</v>
      </c>
      <c r="AC646" s="44">
        <v>2051</v>
      </c>
      <c r="AD646" s="44">
        <v>2052</v>
      </c>
      <c r="AE646" s="44">
        <v>2053</v>
      </c>
      <c r="AF646" s="44">
        <v>2054</v>
      </c>
      <c r="AH646" s="1"/>
    </row>
    <row r="647" spans="2:34" hidden="1" outlineLevel="1" x14ac:dyDescent="0.25">
      <c r="B647" s="31" t="s">
        <v>144</v>
      </c>
      <c r="C647" s="32">
        <v>8678140.1263548788</v>
      </c>
      <c r="D647" s="32">
        <v>8678140.1263548788</v>
      </c>
      <c r="E647" s="32">
        <v>0</v>
      </c>
      <c r="F647" s="32">
        <v>0</v>
      </c>
      <c r="G647" s="32">
        <v>0</v>
      </c>
      <c r="H647" s="32">
        <v>0</v>
      </c>
      <c r="I647" s="32">
        <v>0</v>
      </c>
      <c r="J647" s="32">
        <v>0</v>
      </c>
      <c r="K647" s="32">
        <v>0</v>
      </c>
      <c r="L647" s="32">
        <v>0</v>
      </c>
      <c r="M647" s="32">
        <v>0</v>
      </c>
      <c r="N647" s="32">
        <v>0</v>
      </c>
      <c r="O647" s="32">
        <v>0</v>
      </c>
      <c r="P647" s="32">
        <v>0</v>
      </c>
      <c r="Q647" s="32">
        <v>0</v>
      </c>
      <c r="R647" s="32">
        <v>0</v>
      </c>
      <c r="S647" s="32">
        <v>0</v>
      </c>
      <c r="T647" s="32">
        <v>0</v>
      </c>
      <c r="U647" s="32">
        <v>0</v>
      </c>
      <c r="V647" s="32">
        <v>0</v>
      </c>
      <c r="W647" s="32">
        <v>0</v>
      </c>
      <c r="X647" s="32">
        <v>0</v>
      </c>
      <c r="Y647" s="32">
        <v>0</v>
      </c>
      <c r="Z647" s="32">
        <v>0</v>
      </c>
      <c r="AA647" s="32">
        <v>0</v>
      </c>
      <c r="AB647" s="32">
        <v>0</v>
      </c>
      <c r="AC647" s="32">
        <v>0</v>
      </c>
      <c r="AD647" s="32">
        <v>0</v>
      </c>
      <c r="AE647" s="32">
        <v>0</v>
      </c>
      <c r="AF647" s="32">
        <v>0</v>
      </c>
      <c r="AG647"/>
      <c r="AH647" s="17" t="s">
        <v>279</v>
      </c>
    </row>
    <row r="648" spans="2:34" hidden="1" outlineLevel="1" x14ac:dyDescent="0.25">
      <c r="B648" s="31" t="s">
        <v>145</v>
      </c>
      <c r="C648" s="32">
        <v>3544817.3883669907</v>
      </c>
      <c r="D648" s="32">
        <v>7148037.0083669899</v>
      </c>
      <c r="E648" s="32">
        <v>0</v>
      </c>
      <c r="F648" s="32">
        <v>0</v>
      </c>
      <c r="G648" s="32">
        <v>0</v>
      </c>
      <c r="H648" s="32">
        <v>0</v>
      </c>
      <c r="I648" s="32">
        <v>0</v>
      </c>
      <c r="J648" s="32">
        <v>0</v>
      </c>
      <c r="K648" s="32">
        <v>0</v>
      </c>
      <c r="L648" s="32">
        <v>0</v>
      </c>
      <c r="M648" s="32">
        <v>0</v>
      </c>
      <c r="N648" s="32">
        <v>0</v>
      </c>
      <c r="O648" s="32">
        <v>0</v>
      </c>
      <c r="P648" s="32">
        <v>0</v>
      </c>
      <c r="Q648" s="32">
        <v>0</v>
      </c>
      <c r="R648" s="32">
        <v>0</v>
      </c>
      <c r="S648" s="32">
        <v>0</v>
      </c>
      <c r="T648" s="32">
        <v>0</v>
      </c>
      <c r="U648" s="32">
        <v>0</v>
      </c>
      <c r="V648" s="32">
        <v>0</v>
      </c>
      <c r="W648" s="32">
        <v>0</v>
      </c>
      <c r="X648" s="32">
        <v>0</v>
      </c>
      <c r="Y648" s="32">
        <v>0</v>
      </c>
      <c r="Z648" s="32">
        <v>0</v>
      </c>
      <c r="AA648" s="32">
        <v>0</v>
      </c>
      <c r="AB648" s="32">
        <v>0</v>
      </c>
      <c r="AC648" s="32">
        <v>0</v>
      </c>
      <c r="AD648" s="32">
        <v>0</v>
      </c>
      <c r="AE648" s="32">
        <v>0</v>
      </c>
      <c r="AF648" s="32">
        <v>0</v>
      </c>
      <c r="AG648"/>
      <c r="AH648" s="17" t="s">
        <v>279</v>
      </c>
    </row>
    <row r="649" spans="2:34" hidden="1" outlineLevel="1" x14ac:dyDescent="0.25">
      <c r="B649" s="31" t="s">
        <v>244</v>
      </c>
      <c r="C649" s="32">
        <v>10424562.72955735</v>
      </c>
      <c r="D649" s="32">
        <v>10424562.72955735</v>
      </c>
      <c r="E649" s="32">
        <v>0</v>
      </c>
      <c r="F649" s="32">
        <v>0</v>
      </c>
      <c r="G649" s="32">
        <v>0</v>
      </c>
      <c r="H649" s="32">
        <v>0</v>
      </c>
      <c r="I649" s="32">
        <v>0</v>
      </c>
      <c r="J649" s="32">
        <v>0</v>
      </c>
      <c r="K649" s="32">
        <v>0</v>
      </c>
      <c r="L649" s="32">
        <v>0</v>
      </c>
      <c r="M649" s="32">
        <v>0</v>
      </c>
      <c r="N649" s="32">
        <v>0</v>
      </c>
      <c r="O649" s="32">
        <v>0</v>
      </c>
      <c r="P649" s="32">
        <v>0</v>
      </c>
      <c r="Q649" s="32">
        <v>0</v>
      </c>
      <c r="R649" s="32">
        <v>0</v>
      </c>
      <c r="S649" s="32">
        <v>0</v>
      </c>
      <c r="T649" s="32">
        <v>0</v>
      </c>
      <c r="U649" s="32">
        <v>0</v>
      </c>
      <c r="V649" s="32">
        <v>0</v>
      </c>
      <c r="W649" s="32">
        <v>0</v>
      </c>
      <c r="X649" s="32">
        <v>0</v>
      </c>
      <c r="Y649" s="32">
        <v>0</v>
      </c>
      <c r="Z649" s="32">
        <v>0</v>
      </c>
      <c r="AA649" s="32">
        <v>0</v>
      </c>
      <c r="AB649" s="32">
        <v>0</v>
      </c>
      <c r="AC649" s="32">
        <v>0</v>
      </c>
      <c r="AD649" s="32">
        <v>0</v>
      </c>
      <c r="AE649" s="32">
        <v>0</v>
      </c>
      <c r="AF649" s="32">
        <v>0</v>
      </c>
      <c r="AG649"/>
      <c r="AH649" s="17" t="s">
        <v>279</v>
      </c>
    </row>
    <row r="650" spans="2:34" hidden="1" outlineLevel="1" x14ac:dyDescent="0.25">
      <c r="B650" s="31" t="s">
        <v>147</v>
      </c>
      <c r="C650" s="32">
        <v>0</v>
      </c>
      <c r="D650" s="32">
        <v>0</v>
      </c>
      <c r="E650" s="32">
        <v>0</v>
      </c>
      <c r="F650" s="32">
        <v>0</v>
      </c>
      <c r="G650" s="32">
        <v>0</v>
      </c>
      <c r="H650" s="32">
        <v>0</v>
      </c>
      <c r="I650" s="32">
        <v>0</v>
      </c>
      <c r="J650" s="32">
        <v>0</v>
      </c>
      <c r="K650" s="32">
        <v>0</v>
      </c>
      <c r="L650" s="32">
        <v>0</v>
      </c>
      <c r="M650" s="32">
        <v>0</v>
      </c>
      <c r="N650" s="32">
        <v>0</v>
      </c>
      <c r="O650" s="32">
        <v>0</v>
      </c>
      <c r="P650" s="32">
        <v>0</v>
      </c>
      <c r="Q650" s="32">
        <v>0</v>
      </c>
      <c r="R650" s="32">
        <v>0</v>
      </c>
      <c r="S650" s="32">
        <v>0</v>
      </c>
      <c r="T650" s="32">
        <v>0</v>
      </c>
      <c r="U650" s="32">
        <v>0</v>
      </c>
      <c r="V650" s="32">
        <v>0</v>
      </c>
      <c r="W650" s="32">
        <v>0</v>
      </c>
      <c r="X650" s="32">
        <v>0</v>
      </c>
      <c r="Y650" s="32">
        <v>0</v>
      </c>
      <c r="Z650" s="32">
        <v>0</v>
      </c>
      <c r="AA650" s="32">
        <v>0</v>
      </c>
      <c r="AB650" s="32">
        <v>0</v>
      </c>
      <c r="AC650" s="32">
        <v>0</v>
      </c>
      <c r="AD650" s="32">
        <v>0</v>
      </c>
      <c r="AE650" s="32">
        <v>0</v>
      </c>
      <c r="AF650" s="32">
        <v>0</v>
      </c>
      <c r="AG650"/>
      <c r="AH650" s="17" t="s">
        <v>279</v>
      </c>
    </row>
    <row r="651" spans="2:34" hidden="1" outlineLevel="1" x14ac:dyDescent="0.25">
      <c r="B651" s="31" t="s">
        <v>245</v>
      </c>
      <c r="C651" s="32">
        <v>1207501.7119999998</v>
      </c>
      <c r="D651" s="32">
        <v>1207501.7119999998</v>
      </c>
      <c r="E651" s="32">
        <v>0</v>
      </c>
      <c r="F651" s="32">
        <v>0</v>
      </c>
      <c r="G651" s="32">
        <v>0</v>
      </c>
      <c r="H651" s="32">
        <v>0</v>
      </c>
      <c r="I651" s="32">
        <v>0</v>
      </c>
      <c r="J651" s="32">
        <v>0</v>
      </c>
      <c r="K651" s="32">
        <v>0</v>
      </c>
      <c r="L651" s="32">
        <v>0</v>
      </c>
      <c r="M651" s="32">
        <v>0</v>
      </c>
      <c r="N651" s="32">
        <v>0</v>
      </c>
      <c r="O651" s="32">
        <v>0</v>
      </c>
      <c r="P651" s="32">
        <v>0</v>
      </c>
      <c r="Q651" s="32">
        <v>0</v>
      </c>
      <c r="R651" s="32">
        <v>0</v>
      </c>
      <c r="S651" s="32">
        <v>0</v>
      </c>
      <c r="T651" s="32">
        <v>0</v>
      </c>
      <c r="U651" s="32">
        <v>0</v>
      </c>
      <c r="V651" s="32">
        <v>0</v>
      </c>
      <c r="W651" s="32">
        <v>0</v>
      </c>
      <c r="X651" s="32">
        <v>0</v>
      </c>
      <c r="Y651" s="32">
        <v>0</v>
      </c>
      <c r="Z651" s="32">
        <v>0</v>
      </c>
      <c r="AA651" s="32">
        <v>0</v>
      </c>
      <c r="AB651" s="32">
        <v>0</v>
      </c>
      <c r="AC651" s="32">
        <v>0</v>
      </c>
      <c r="AD651" s="32">
        <v>0</v>
      </c>
      <c r="AE651" s="32">
        <v>0</v>
      </c>
      <c r="AF651" s="32">
        <v>0</v>
      </c>
      <c r="AG651"/>
      <c r="AH651" s="17" t="s">
        <v>279</v>
      </c>
    </row>
    <row r="652" spans="2:34" hidden="1" outlineLevel="1" x14ac:dyDescent="0.25">
      <c r="B652" s="31" t="s">
        <v>149</v>
      </c>
      <c r="C652" s="32">
        <v>23855021.956279222</v>
      </c>
      <c r="D652" s="32">
        <v>27458241.576279219</v>
      </c>
      <c r="E652" s="32">
        <v>0</v>
      </c>
      <c r="F652" s="32">
        <v>0</v>
      </c>
      <c r="G652" s="32">
        <v>0</v>
      </c>
      <c r="H652" s="32">
        <v>0</v>
      </c>
      <c r="I652" s="32">
        <v>0</v>
      </c>
      <c r="J652" s="32">
        <v>0</v>
      </c>
      <c r="K652" s="32">
        <v>0</v>
      </c>
      <c r="L652" s="32">
        <v>0</v>
      </c>
      <c r="M652" s="32">
        <v>0</v>
      </c>
      <c r="N652" s="32">
        <v>0</v>
      </c>
      <c r="O652" s="32">
        <v>0</v>
      </c>
      <c r="P652" s="32">
        <v>0</v>
      </c>
      <c r="Q652" s="32">
        <v>0</v>
      </c>
      <c r="R652" s="32">
        <v>0</v>
      </c>
      <c r="S652" s="32">
        <v>0</v>
      </c>
      <c r="T652" s="32">
        <v>0</v>
      </c>
      <c r="U652" s="32">
        <v>0</v>
      </c>
      <c r="V652" s="32">
        <v>0</v>
      </c>
      <c r="W652" s="32">
        <v>0</v>
      </c>
      <c r="X652" s="32">
        <v>0</v>
      </c>
      <c r="Y652" s="32">
        <v>0</v>
      </c>
      <c r="Z652" s="32">
        <v>0</v>
      </c>
      <c r="AA652" s="32">
        <v>0</v>
      </c>
      <c r="AB652" s="32">
        <v>0</v>
      </c>
      <c r="AC652" s="32">
        <v>0</v>
      </c>
      <c r="AD652" s="32">
        <v>0</v>
      </c>
      <c r="AE652" s="32">
        <v>0</v>
      </c>
      <c r="AF652" s="32">
        <v>0</v>
      </c>
      <c r="AG652"/>
      <c r="AH652" s="17" t="s">
        <v>279</v>
      </c>
    </row>
    <row r="653" spans="2:34" hidden="1" outlineLevel="1" x14ac:dyDescent="0.25">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row>
    <row r="654" spans="2:34" ht="15.75" hidden="1" outlineLevel="1" thickBot="1" x14ac:dyDescent="0.3">
      <c r="B654" s="28" t="s">
        <v>280</v>
      </c>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0"/>
      <c r="AH654" s="20" t="s">
        <v>15</v>
      </c>
    </row>
    <row r="655" spans="2:34" customFormat="1" hidden="1" outlineLevel="1" x14ac:dyDescent="0.25">
      <c r="B655" s="30"/>
      <c r="C655" s="17">
        <v>2025</v>
      </c>
      <c r="D655" s="44">
        <v>2026</v>
      </c>
      <c r="E655" s="44">
        <v>2027</v>
      </c>
      <c r="F655" s="44">
        <v>2028</v>
      </c>
      <c r="G655" s="44">
        <v>2029</v>
      </c>
      <c r="H655" s="44">
        <v>2030</v>
      </c>
      <c r="I655" s="44">
        <v>2031</v>
      </c>
      <c r="J655" s="44">
        <v>2032</v>
      </c>
      <c r="K655" s="44">
        <v>2033</v>
      </c>
      <c r="L655" s="44">
        <v>2034</v>
      </c>
      <c r="M655" s="44">
        <v>2035</v>
      </c>
      <c r="N655" s="44">
        <v>2036</v>
      </c>
      <c r="O655" s="44">
        <v>2037</v>
      </c>
      <c r="P655" s="44">
        <v>2038</v>
      </c>
      <c r="Q655" s="44">
        <v>2039</v>
      </c>
      <c r="R655" s="44">
        <v>2040</v>
      </c>
      <c r="S655" s="44">
        <v>2041</v>
      </c>
      <c r="T655" s="44">
        <v>2042</v>
      </c>
      <c r="U655" s="44">
        <v>2043</v>
      </c>
      <c r="V655" s="44">
        <v>2044</v>
      </c>
      <c r="W655" s="44">
        <v>2045</v>
      </c>
      <c r="X655" s="44">
        <v>2046</v>
      </c>
      <c r="Y655" s="44">
        <v>2047</v>
      </c>
      <c r="Z655" s="44">
        <v>2048</v>
      </c>
      <c r="AA655" s="44">
        <v>2049</v>
      </c>
      <c r="AB655" s="44">
        <v>2050</v>
      </c>
      <c r="AC655" s="44">
        <v>2051</v>
      </c>
      <c r="AD655" s="44">
        <v>2052</v>
      </c>
      <c r="AE655" s="44">
        <v>2053</v>
      </c>
      <c r="AF655" s="44">
        <v>2054</v>
      </c>
      <c r="AH655" s="1"/>
    </row>
    <row r="656" spans="2:34" hidden="1" outlineLevel="1" x14ac:dyDescent="0.25">
      <c r="B656" s="31" t="s">
        <v>144</v>
      </c>
      <c r="C656" s="32">
        <v>0</v>
      </c>
      <c r="D656" s="32">
        <v>0</v>
      </c>
      <c r="E656" s="32">
        <v>8678140.1263548788</v>
      </c>
      <c r="F656" s="32">
        <v>8237611.3694371348</v>
      </c>
      <c r="G656" s="32">
        <v>8237611.3694371348</v>
      </c>
      <c r="H656" s="32">
        <v>9012734.2894371357</v>
      </c>
      <c r="I656" s="32">
        <v>9012734.2894371357</v>
      </c>
      <c r="J656" s="32">
        <v>8552617.6962371375</v>
      </c>
      <c r="K656" s="32">
        <v>8552617.6962371375</v>
      </c>
      <c r="L656" s="32">
        <v>9180639.3762371354</v>
      </c>
      <c r="M656" s="32">
        <v>9180639.3762371354</v>
      </c>
      <c r="N656" s="32">
        <v>9180639.3762371354</v>
      </c>
      <c r="O656" s="32">
        <v>9180639.3762371354</v>
      </c>
      <c r="P656" s="32">
        <v>9180639.3762371354</v>
      </c>
      <c r="Q656" s="32">
        <v>9180639.3762371354</v>
      </c>
      <c r="R656" s="32">
        <v>9180639.3762371354</v>
      </c>
      <c r="S656" s="32">
        <v>9180639.3762371354</v>
      </c>
      <c r="T656" s="32">
        <v>9180639.3762371354</v>
      </c>
      <c r="U656" s="32">
        <v>9180639.3762371354</v>
      </c>
      <c r="V656" s="32">
        <v>9180639.3762371354</v>
      </c>
      <c r="W656" s="32">
        <v>9180639.3762371354</v>
      </c>
      <c r="X656" s="32">
        <v>9180639.3762371354</v>
      </c>
      <c r="Y656" s="32">
        <v>9180639.3762371354</v>
      </c>
      <c r="Z656" s="32">
        <v>9180639.3762371354</v>
      </c>
      <c r="AA656" s="32">
        <v>9180639.3762371354</v>
      </c>
      <c r="AB656" s="32">
        <v>9180639.3762371354</v>
      </c>
      <c r="AC656" s="32">
        <v>9180639.3762371354</v>
      </c>
      <c r="AD656" s="32">
        <v>9180639.3762371354</v>
      </c>
      <c r="AE656" s="32">
        <v>9180639.3762371354</v>
      </c>
      <c r="AF656" s="32">
        <v>9180639.3762371354</v>
      </c>
      <c r="AG656"/>
      <c r="AH656" s="17" t="s">
        <v>279</v>
      </c>
    </row>
    <row r="657" spans="2:34" hidden="1" outlineLevel="1" x14ac:dyDescent="0.25">
      <c r="B657" s="31" t="s">
        <v>145</v>
      </c>
      <c r="C657" s="32">
        <v>0</v>
      </c>
      <c r="D657" s="32">
        <v>0</v>
      </c>
      <c r="E657" s="32">
        <v>7148037.0083669899</v>
      </c>
      <c r="F657" s="32">
        <v>7148037.0083669899</v>
      </c>
      <c r="G657" s="32">
        <v>7148037.0083669899</v>
      </c>
      <c r="H657" s="32">
        <v>7234294.6083669895</v>
      </c>
      <c r="I657" s="32">
        <v>7234294.6083669895</v>
      </c>
      <c r="J657" s="32">
        <v>7234294.6083669895</v>
      </c>
      <c r="K657" s="32">
        <v>7234294.6083669895</v>
      </c>
      <c r="L657" s="32">
        <v>7082106.2166567408</v>
      </c>
      <c r="M657" s="32">
        <v>7082106.2166567408</v>
      </c>
      <c r="N657" s="32">
        <v>7082106.2166567408</v>
      </c>
      <c r="O657" s="32">
        <v>7082106.2166567408</v>
      </c>
      <c r="P657" s="32">
        <v>7070995.9866567403</v>
      </c>
      <c r="Q657" s="32">
        <v>7070995.9866567403</v>
      </c>
      <c r="R657" s="32">
        <v>7414629.3906567395</v>
      </c>
      <c r="S657" s="32">
        <v>7414629.3906567395</v>
      </c>
      <c r="T657" s="32">
        <v>7414629.3906567395</v>
      </c>
      <c r="U657" s="32">
        <v>7414629.3906567395</v>
      </c>
      <c r="V657" s="32">
        <v>7414629.3906567395</v>
      </c>
      <c r="W657" s="32">
        <v>7414629.3906567395</v>
      </c>
      <c r="X657" s="32">
        <v>7414629.3906567395</v>
      </c>
      <c r="Y657" s="32">
        <v>7414629.3906567395</v>
      </c>
      <c r="Z657" s="32">
        <v>7414629.3906567395</v>
      </c>
      <c r="AA657" s="32">
        <v>7414629.3906567395</v>
      </c>
      <c r="AB657" s="32">
        <v>7275034.2137464946</v>
      </c>
      <c r="AC657" s="32">
        <v>7275034.2137464946</v>
      </c>
      <c r="AD657" s="32">
        <v>7275034.2137464946</v>
      </c>
      <c r="AE657" s="32">
        <v>7275034.2137464946</v>
      </c>
      <c r="AF657" s="32">
        <v>7275034.2137464946</v>
      </c>
      <c r="AG657"/>
      <c r="AH657" s="17" t="s">
        <v>279</v>
      </c>
    </row>
    <row r="658" spans="2:34" hidden="1" outlineLevel="1" x14ac:dyDescent="0.25">
      <c r="B658" s="31" t="s">
        <v>244</v>
      </c>
      <c r="C658" s="32">
        <v>0</v>
      </c>
      <c r="D658" s="32">
        <v>0</v>
      </c>
      <c r="E658" s="32">
        <v>10424562.72955735</v>
      </c>
      <c r="F658" s="32">
        <v>14928448.609557347</v>
      </c>
      <c r="G658" s="32">
        <v>14928448.609557347</v>
      </c>
      <c r="H658" s="32">
        <v>16003705.267622186</v>
      </c>
      <c r="I658" s="32">
        <v>16003705.267622186</v>
      </c>
      <c r="J658" s="32">
        <v>15247954.784394085</v>
      </c>
      <c r="K658" s="32">
        <v>15247954.784394085</v>
      </c>
      <c r="L658" s="32">
        <v>15247954.784394085</v>
      </c>
      <c r="M658" s="32">
        <v>15247954.784394085</v>
      </c>
      <c r="N658" s="32">
        <v>15033617.237543011</v>
      </c>
      <c r="O658" s="32">
        <v>15033617.237543011</v>
      </c>
      <c r="P658" s="32">
        <v>14997195.012872687</v>
      </c>
      <c r="Q658" s="32">
        <v>14997195.012872687</v>
      </c>
      <c r="R658" s="32">
        <v>15766985.012872687</v>
      </c>
      <c r="S658" s="32">
        <v>15766985.012872687</v>
      </c>
      <c r="T658" s="32">
        <v>15766985.012872687</v>
      </c>
      <c r="U658" s="32">
        <v>15766985.012872687</v>
      </c>
      <c r="V658" s="32">
        <v>15661982.603749251</v>
      </c>
      <c r="W658" s="32">
        <v>15661982.603749251</v>
      </c>
      <c r="X658" s="32">
        <v>15661982.603749251</v>
      </c>
      <c r="Y658" s="32">
        <v>15661982.603749251</v>
      </c>
      <c r="Z658" s="32">
        <v>15661982.603749251</v>
      </c>
      <c r="AA658" s="32">
        <v>15661982.603749251</v>
      </c>
      <c r="AB658" s="32">
        <v>15661982.603749251</v>
      </c>
      <c r="AC658" s="32">
        <v>15661982.603749251</v>
      </c>
      <c r="AD658" s="32">
        <v>15661982.603749251</v>
      </c>
      <c r="AE658" s="32">
        <v>15661982.603749251</v>
      </c>
      <c r="AF658" s="32">
        <v>15661982.603749251</v>
      </c>
      <c r="AG658"/>
      <c r="AH658" s="17" t="s">
        <v>279</v>
      </c>
    </row>
    <row r="659" spans="2:34" hidden="1" outlineLevel="1" x14ac:dyDescent="0.25">
      <c r="B659" s="31" t="s">
        <v>147</v>
      </c>
      <c r="C659" s="32">
        <v>0</v>
      </c>
      <c r="D659" s="32">
        <v>0</v>
      </c>
      <c r="E659" s="32">
        <v>0</v>
      </c>
      <c r="F659" s="32">
        <v>0</v>
      </c>
      <c r="G659" s="32">
        <v>0</v>
      </c>
      <c r="H659" s="32">
        <v>0</v>
      </c>
      <c r="I659" s="32">
        <v>0</v>
      </c>
      <c r="J659" s="32">
        <v>0</v>
      </c>
      <c r="K659" s="32">
        <v>0</v>
      </c>
      <c r="L659" s="32">
        <v>0</v>
      </c>
      <c r="M659" s="32">
        <v>0</v>
      </c>
      <c r="N659" s="32">
        <v>0</v>
      </c>
      <c r="O659" s="32">
        <v>0</v>
      </c>
      <c r="P659" s="32">
        <v>0</v>
      </c>
      <c r="Q659" s="32">
        <v>0</v>
      </c>
      <c r="R659" s="32">
        <v>0</v>
      </c>
      <c r="S659" s="32">
        <v>0</v>
      </c>
      <c r="T659" s="32">
        <v>0</v>
      </c>
      <c r="U659" s="32">
        <v>0</v>
      </c>
      <c r="V659" s="32">
        <v>0</v>
      </c>
      <c r="W659" s="32">
        <v>0</v>
      </c>
      <c r="X659" s="32">
        <v>0</v>
      </c>
      <c r="Y659" s="32">
        <v>0</v>
      </c>
      <c r="Z659" s="32">
        <v>0</v>
      </c>
      <c r="AA659" s="32">
        <v>0</v>
      </c>
      <c r="AB659" s="32">
        <v>0</v>
      </c>
      <c r="AC659" s="32">
        <v>0</v>
      </c>
      <c r="AD659" s="32">
        <v>0</v>
      </c>
      <c r="AE659" s="32">
        <v>0</v>
      </c>
      <c r="AF659" s="32">
        <v>0</v>
      </c>
      <c r="AG659"/>
      <c r="AH659" s="17" t="s">
        <v>279</v>
      </c>
    </row>
    <row r="660" spans="2:34" hidden="1" outlineLevel="1" x14ac:dyDescent="0.25">
      <c r="B660" s="31" t="s">
        <v>245</v>
      </c>
      <c r="C660" s="32">
        <v>0</v>
      </c>
      <c r="D660" s="32">
        <v>0</v>
      </c>
      <c r="E660" s="32">
        <v>1207501.7119999998</v>
      </c>
      <c r="F660" s="32">
        <v>1207501.7119999998</v>
      </c>
      <c r="G660" s="32">
        <v>1207501.7119999998</v>
      </c>
      <c r="H660" s="32">
        <v>3455696.2320000003</v>
      </c>
      <c r="I660" s="32">
        <v>3455696.2320000003</v>
      </c>
      <c r="J660" s="32">
        <v>3455696.2320000003</v>
      </c>
      <c r="K660" s="32">
        <v>3455696.2320000003</v>
      </c>
      <c r="L660" s="32">
        <v>3455696.2320000003</v>
      </c>
      <c r="M660" s="32">
        <v>3455696.2320000003</v>
      </c>
      <c r="N660" s="32">
        <v>3395321.1464</v>
      </c>
      <c r="O660" s="32">
        <v>3395321.1464</v>
      </c>
      <c r="P660" s="32">
        <v>3395321.1464</v>
      </c>
      <c r="Q660" s="32">
        <v>3395321.1464</v>
      </c>
      <c r="R660" s="32">
        <v>8011631.8983999994</v>
      </c>
      <c r="S660" s="32">
        <v>8011631.8983999994</v>
      </c>
      <c r="T660" s="32">
        <v>8011631.8983999994</v>
      </c>
      <c r="U660" s="32">
        <v>8011631.8983999994</v>
      </c>
      <c r="V660" s="32">
        <v>8011631.8983999994</v>
      </c>
      <c r="W660" s="32">
        <v>8011631.8983999994</v>
      </c>
      <c r="X660" s="32">
        <v>8011631.8983999994</v>
      </c>
      <c r="Y660" s="32">
        <v>8011631.8983999994</v>
      </c>
      <c r="Z660" s="32">
        <v>8011631.8983999994</v>
      </c>
      <c r="AA660" s="32">
        <v>8011631.8983999994</v>
      </c>
      <c r="AB660" s="32">
        <v>8011631.8983999994</v>
      </c>
      <c r="AC660" s="32">
        <v>8011631.8983999994</v>
      </c>
      <c r="AD660" s="32">
        <v>8011631.8983999994</v>
      </c>
      <c r="AE660" s="32">
        <v>8011631.8983999994</v>
      </c>
      <c r="AF660" s="32">
        <v>8011631.8983999994</v>
      </c>
      <c r="AG660"/>
      <c r="AH660" s="17" t="s">
        <v>279</v>
      </c>
    </row>
    <row r="661" spans="2:34" hidden="1" outlineLevel="1" x14ac:dyDescent="0.25">
      <c r="B661" s="31" t="s">
        <v>149</v>
      </c>
      <c r="C661" s="32">
        <v>0</v>
      </c>
      <c r="D661" s="32">
        <v>0</v>
      </c>
      <c r="E661" s="32">
        <v>27458241.576279219</v>
      </c>
      <c r="F661" s="32">
        <v>31521598.699361473</v>
      </c>
      <c r="G661" s="32">
        <v>31521598.699361473</v>
      </c>
      <c r="H661" s="32">
        <v>35706430.397426315</v>
      </c>
      <c r="I661" s="32">
        <v>35706430.397426315</v>
      </c>
      <c r="J661" s="32">
        <v>34490563.320998214</v>
      </c>
      <c r="K661" s="32">
        <v>34490563.320998214</v>
      </c>
      <c r="L661" s="32">
        <v>34966396.609287962</v>
      </c>
      <c r="M661" s="32">
        <v>34966396.609287962</v>
      </c>
      <c r="N661" s="32">
        <v>34691683.976836883</v>
      </c>
      <c r="O661" s="32">
        <v>34691683.976836883</v>
      </c>
      <c r="P661" s="32">
        <v>34644151.522166558</v>
      </c>
      <c r="Q661" s="32">
        <v>34644151.522166558</v>
      </c>
      <c r="R661" s="32">
        <v>40373885.678166561</v>
      </c>
      <c r="S661" s="32">
        <v>40373885.678166561</v>
      </c>
      <c r="T661" s="32">
        <v>40373885.678166561</v>
      </c>
      <c r="U661" s="32">
        <v>40373885.678166561</v>
      </c>
      <c r="V661" s="32">
        <v>40268883.269043125</v>
      </c>
      <c r="W661" s="32">
        <v>40268883.269043125</v>
      </c>
      <c r="X661" s="32">
        <v>40268883.269043125</v>
      </c>
      <c r="Y661" s="32">
        <v>40268883.269043125</v>
      </c>
      <c r="Z661" s="32">
        <v>40268883.269043125</v>
      </c>
      <c r="AA661" s="32">
        <v>40268883.269043125</v>
      </c>
      <c r="AB661" s="32">
        <v>40129288.092132881</v>
      </c>
      <c r="AC661" s="32">
        <v>40129288.092132881</v>
      </c>
      <c r="AD661" s="32">
        <v>40129288.092132881</v>
      </c>
      <c r="AE661" s="32">
        <v>40129288.092132881</v>
      </c>
      <c r="AF661" s="32">
        <v>40129288.092132881</v>
      </c>
      <c r="AG661"/>
      <c r="AH661" s="17" t="s">
        <v>279</v>
      </c>
    </row>
    <row r="662" spans="2:34" hidden="1" outlineLevel="1" x14ac:dyDescent="0.25"/>
    <row r="663" spans="2:34" hidden="1" outlineLevel="1" x14ac:dyDescent="0.25"/>
    <row r="664" spans="2:34" ht="15.75" collapsed="1" thickTop="1" x14ac:dyDescent="0.25"/>
  </sheetData>
  <sheetProtection formatCells="0" formatColumns="0" formatRows="0" insertColumns="0" insertRows="0"/>
  <conditionalFormatting sqref="G61 G1:G13 G70:G73 G15:G19 G81:G82 G90:G92 G418:G420 G582 G665:G1048576">
    <cfRule type="containsText" dxfId="1259" priority="532" operator="containsText" text="In progress">
      <formula>NOT(ISERROR(SEARCH("In progress",G1)))</formula>
    </cfRule>
    <cfRule type="containsText" dxfId="1258" priority="533" operator="containsText" text="Complete">
      <formula>NOT(ISERROR(SEARCH("Complete",G1)))</formula>
    </cfRule>
    <cfRule type="containsText" dxfId="1257" priority="534" operator="containsText" text="Outstanding">
      <formula>NOT(ISERROR(SEARCH("Outstanding",G1)))</formula>
    </cfRule>
  </conditionalFormatting>
  <conditionalFormatting sqref="G21:G22">
    <cfRule type="containsText" dxfId="1256" priority="529" operator="containsText" text="In progress">
      <formula>NOT(ISERROR(SEARCH("In progress",G21)))</formula>
    </cfRule>
    <cfRule type="containsText" dxfId="1255" priority="530" operator="containsText" text="Complete">
      <formula>NOT(ISERROR(SEARCH("Complete",G21)))</formula>
    </cfRule>
    <cfRule type="containsText" dxfId="1254" priority="531" operator="containsText" text="Outstanding">
      <formula>NOT(ISERROR(SEARCH("Outstanding",G21)))</formula>
    </cfRule>
  </conditionalFormatting>
  <conditionalFormatting sqref="G30:G33">
    <cfRule type="containsText" dxfId="1253" priority="526" operator="containsText" text="In progress">
      <formula>NOT(ISERROR(SEARCH("In progress",G30)))</formula>
    </cfRule>
    <cfRule type="containsText" dxfId="1252" priority="527" operator="containsText" text="Complete">
      <formula>NOT(ISERROR(SEARCH("Complete",G30)))</formula>
    </cfRule>
    <cfRule type="containsText" dxfId="1251" priority="528" operator="containsText" text="Outstanding">
      <formula>NOT(ISERROR(SEARCH("Outstanding",G30)))</formula>
    </cfRule>
  </conditionalFormatting>
  <conditionalFormatting sqref="G41:G42">
    <cfRule type="containsText" dxfId="1250" priority="523" operator="containsText" text="In progress">
      <formula>NOT(ISERROR(SEARCH("In progress",G41)))</formula>
    </cfRule>
    <cfRule type="containsText" dxfId="1249" priority="524" operator="containsText" text="Complete">
      <formula>NOT(ISERROR(SEARCH("Complete",G41)))</formula>
    </cfRule>
    <cfRule type="containsText" dxfId="1248" priority="525" operator="containsText" text="Outstanding">
      <formula>NOT(ISERROR(SEARCH("Outstanding",G41)))</formula>
    </cfRule>
  </conditionalFormatting>
  <conditionalFormatting sqref="G50">
    <cfRule type="containsText" dxfId="1247" priority="520" operator="containsText" text="In progress">
      <formula>NOT(ISERROR(SEARCH("In progress",G50)))</formula>
    </cfRule>
    <cfRule type="containsText" dxfId="1246" priority="521" operator="containsText" text="Complete">
      <formula>NOT(ISERROR(SEARCH("Complete",G50)))</formula>
    </cfRule>
    <cfRule type="containsText" dxfId="1245" priority="522" operator="containsText" text="Outstanding">
      <formula>NOT(ISERROR(SEARCH("Outstanding",G50)))</formula>
    </cfRule>
  </conditionalFormatting>
  <conditionalFormatting sqref="G106:G110">
    <cfRule type="containsText" dxfId="1244" priority="430" operator="containsText" text="In progress">
      <formula>NOT(ISERROR(SEARCH("In progress",G106)))</formula>
    </cfRule>
    <cfRule type="containsText" dxfId="1243" priority="431" operator="containsText" text="Complete">
      <formula>NOT(ISERROR(SEARCH("Complete",G106)))</formula>
    </cfRule>
    <cfRule type="containsText" dxfId="1242" priority="432" operator="containsText" text="Outstanding">
      <formula>NOT(ISERROR(SEARCH("Outstanding",G106)))</formula>
    </cfRule>
  </conditionalFormatting>
  <conditionalFormatting sqref="G20">
    <cfRule type="containsText" dxfId="1241" priority="514" operator="containsText" text="In progress">
      <formula>NOT(ISERROR(SEARCH("In progress",G20)))</formula>
    </cfRule>
    <cfRule type="containsText" dxfId="1240" priority="515" operator="containsText" text="Complete">
      <formula>NOT(ISERROR(SEARCH("Complete",G20)))</formula>
    </cfRule>
    <cfRule type="containsText" dxfId="1239" priority="516" operator="containsText" text="Outstanding">
      <formula>NOT(ISERROR(SEARCH("Outstanding",G20)))</formula>
    </cfRule>
  </conditionalFormatting>
  <conditionalFormatting sqref="G146:G150">
    <cfRule type="containsText" dxfId="1238" priority="406" operator="containsText" text="In progress">
      <formula>NOT(ISERROR(SEARCH("In progress",G146)))</formula>
    </cfRule>
    <cfRule type="containsText" dxfId="1237" priority="407" operator="containsText" text="Complete">
      <formula>NOT(ISERROR(SEARCH("Complete",G146)))</formula>
    </cfRule>
    <cfRule type="containsText" dxfId="1236" priority="408" operator="containsText" text="Outstanding">
      <formula>NOT(ISERROR(SEARCH("Outstanding",G146)))</formula>
    </cfRule>
  </conditionalFormatting>
  <conditionalFormatting sqref="G142">
    <cfRule type="containsText" dxfId="1235" priority="409" operator="containsText" text="In progress">
      <formula>NOT(ISERROR(SEARCH("In progress",G142)))</formula>
    </cfRule>
    <cfRule type="containsText" dxfId="1234" priority="410" operator="containsText" text="Complete">
      <formula>NOT(ISERROR(SEARCH("Complete",G142)))</formula>
    </cfRule>
    <cfRule type="containsText" dxfId="1233" priority="411" operator="containsText" text="Outstanding">
      <formula>NOT(ISERROR(SEARCH("Outstanding",G142)))</formula>
    </cfRule>
  </conditionalFormatting>
  <conditionalFormatting sqref="G137:G141">
    <cfRule type="containsText" dxfId="1232" priority="412" operator="containsText" text="In progress">
      <formula>NOT(ISERROR(SEARCH("In progress",G137)))</formula>
    </cfRule>
    <cfRule type="containsText" dxfId="1231" priority="413" operator="containsText" text="Complete">
      <formula>NOT(ISERROR(SEARCH("Complete",G137)))</formula>
    </cfRule>
    <cfRule type="containsText" dxfId="1230" priority="414" operator="containsText" text="Outstanding">
      <formula>NOT(ISERROR(SEARCH("Outstanding",G137)))</formula>
    </cfRule>
  </conditionalFormatting>
  <conditionalFormatting sqref="G162">
    <cfRule type="containsText" dxfId="1229" priority="397" operator="containsText" text="In progress">
      <formula>NOT(ISERROR(SEARCH("In progress",G162)))</formula>
    </cfRule>
    <cfRule type="containsText" dxfId="1228" priority="398" operator="containsText" text="Complete">
      <formula>NOT(ISERROR(SEARCH("Complete",G162)))</formula>
    </cfRule>
    <cfRule type="containsText" dxfId="1227" priority="399" operator="containsText" text="Outstanding">
      <formula>NOT(ISERROR(SEARCH("Outstanding",G162)))</formula>
    </cfRule>
  </conditionalFormatting>
  <conditionalFormatting sqref="G51:G53">
    <cfRule type="containsText" dxfId="1226" priority="496" operator="containsText" text="In progress">
      <formula>NOT(ISERROR(SEARCH("In progress",G51)))</formula>
    </cfRule>
    <cfRule type="containsText" dxfId="1225" priority="497" operator="containsText" text="Complete">
      <formula>NOT(ISERROR(SEARCH("Complete",G51)))</formula>
    </cfRule>
    <cfRule type="containsText" dxfId="1224" priority="498" operator="containsText" text="Outstanding">
      <formula>NOT(ISERROR(SEARCH("Outstanding",G51)))</formula>
    </cfRule>
  </conditionalFormatting>
  <conditionalFormatting sqref="G24:G28">
    <cfRule type="containsText" dxfId="1223" priority="493" operator="containsText" text="In progress">
      <formula>NOT(ISERROR(SEARCH("In progress",G24)))</formula>
    </cfRule>
    <cfRule type="containsText" dxfId="1222" priority="494" operator="containsText" text="Complete">
      <formula>NOT(ISERROR(SEARCH("Complete",G24)))</formula>
    </cfRule>
    <cfRule type="containsText" dxfId="1221" priority="495" operator="containsText" text="Outstanding">
      <formula>NOT(ISERROR(SEARCH("Outstanding",G24)))</formula>
    </cfRule>
  </conditionalFormatting>
  <conditionalFormatting sqref="G29">
    <cfRule type="containsText" dxfId="1220" priority="490" operator="containsText" text="In progress">
      <formula>NOT(ISERROR(SEARCH("In progress",G29)))</formula>
    </cfRule>
    <cfRule type="containsText" dxfId="1219" priority="491" operator="containsText" text="Complete">
      <formula>NOT(ISERROR(SEARCH("Complete",G29)))</formula>
    </cfRule>
    <cfRule type="containsText" dxfId="1218" priority="492" operator="containsText" text="Outstanding">
      <formula>NOT(ISERROR(SEARCH("Outstanding",G29)))</formula>
    </cfRule>
  </conditionalFormatting>
  <conditionalFormatting sqref="G35:G39">
    <cfRule type="containsText" dxfId="1217" priority="487" operator="containsText" text="In progress">
      <formula>NOT(ISERROR(SEARCH("In progress",G35)))</formula>
    </cfRule>
    <cfRule type="containsText" dxfId="1216" priority="488" operator="containsText" text="Complete">
      <formula>NOT(ISERROR(SEARCH("Complete",G35)))</formula>
    </cfRule>
    <cfRule type="containsText" dxfId="1215" priority="489" operator="containsText" text="Outstanding">
      <formula>NOT(ISERROR(SEARCH("Outstanding",G35)))</formula>
    </cfRule>
  </conditionalFormatting>
  <conditionalFormatting sqref="G40">
    <cfRule type="containsText" dxfId="1214" priority="484" operator="containsText" text="In progress">
      <formula>NOT(ISERROR(SEARCH("In progress",G40)))</formula>
    </cfRule>
    <cfRule type="containsText" dxfId="1213" priority="485" operator="containsText" text="Complete">
      <formula>NOT(ISERROR(SEARCH("Complete",G40)))</formula>
    </cfRule>
    <cfRule type="containsText" dxfId="1212" priority="486" operator="containsText" text="Outstanding">
      <formula>NOT(ISERROR(SEARCH("Outstanding",G40)))</formula>
    </cfRule>
  </conditionalFormatting>
  <conditionalFormatting sqref="G44:G48">
    <cfRule type="containsText" dxfId="1211" priority="481" operator="containsText" text="In progress">
      <formula>NOT(ISERROR(SEARCH("In progress",G44)))</formula>
    </cfRule>
    <cfRule type="containsText" dxfId="1210" priority="482" operator="containsText" text="Complete">
      <formula>NOT(ISERROR(SEARCH("Complete",G44)))</formula>
    </cfRule>
    <cfRule type="containsText" dxfId="1209" priority="483" operator="containsText" text="Outstanding">
      <formula>NOT(ISERROR(SEARCH("Outstanding",G44)))</formula>
    </cfRule>
  </conditionalFormatting>
  <conditionalFormatting sqref="G49">
    <cfRule type="containsText" dxfId="1208" priority="478" operator="containsText" text="In progress">
      <formula>NOT(ISERROR(SEARCH("In progress",G49)))</formula>
    </cfRule>
    <cfRule type="containsText" dxfId="1207" priority="479" operator="containsText" text="Complete">
      <formula>NOT(ISERROR(SEARCH("Complete",G49)))</formula>
    </cfRule>
    <cfRule type="containsText" dxfId="1206" priority="480" operator="containsText" text="Outstanding">
      <formula>NOT(ISERROR(SEARCH("Outstanding",G49)))</formula>
    </cfRule>
  </conditionalFormatting>
  <conditionalFormatting sqref="G55:G59">
    <cfRule type="containsText" dxfId="1205" priority="475" operator="containsText" text="In progress">
      <formula>NOT(ISERROR(SEARCH("In progress",G55)))</formula>
    </cfRule>
    <cfRule type="containsText" dxfId="1204" priority="476" operator="containsText" text="Complete">
      <formula>NOT(ISERROR(SEARCH("Complete",G55)))</formula>
    </cfRule>
    <cfRule type="containsText" dxfId="1203" priority="477" operator="containsText" text="Outstanding">
      <formula>NOT(ISERROR(SEARCH("Outstanding",G55)))</formula>
    </cfRule>
  </conditionalFormatting>
  <conditionalFormatting sqref="G60">
    <cfRule type="containsText" dxfId="1202" priority="472" operator="containsText" text="In progress">
      <formula>NOT(ISERROR(SEARCH("In progress",G60)))</formula>
    </cfRule>
    <cfRule type="containsText" dxfId="1201" priority="473" operator="containsText" text="Complete">
      <formula>NOT(ISERROR(SEARCH("Complete",G60)))</formula>
    </cfRule>
    <cfRule type="containsText" dxfId="1200" priority="474" operator="containsText" text="Outstanding">
      <formula>NOT(ISERROR(SEARCH("Outstanding",G60)))</formula>
    </cfRule>
  </conditionalFormatting>
  <conditionalFormatting sqref="G64:G68">
    <cfRule type="containsText" dxfId="1199" priority="469" operator="containsText" text="In progress">
      <formula>NOT(ISERROR(SEARCH("In progress",G64)))</formula>
    </cfRule>
    <cfRule type="containsText" dxfId="1198" priority="470" operator="containsText" text="Complete">
      <formula>NOT(ISERROR(SEARCH("Complete",G64)))</formula>
    </cfRule>
    <cfRule type="containsText" dxfId="1197" priority="471" operator="containsText" text="Outstanding">
      <formula>NOT(ISERROR(SEARCH("Outstanding",G64)))</formula>
    </cfRule>
  </conditionalFormatting>
  <conditionalFormatting sqref="G69">
    <cfRule type="containsText" dxfId="1196" priority="466" operator="containsText" text="In progress">
      <formula>NOT(ISERROR(SEARCH("In progress",G69)))</formula>
    </cfRule>
    <cfRule type="containsText" dxfId="1195" priority="467" operator="containsText" text="Complete">
      <formula>NOT(ISERROR(SEARCH("Complete",G69)))</formula>
    </cfRule>
    <cfRule type="containsText" dxfId="1194" priority="468" operator="containsText" text="Outstanding">
      <formula>NOT(ISERROR(SEARCH("Outstanding",G69)))</formula>
    </cfRule>
  </conditionalFormatting>
  <conditionalFormatting sqref="G75:G79">
    <cfRule type="containsText" dxfId="1193" priority="463" operator="containsText" text="In progress">
      <formula>NOT(ISERROR(SEARCH("In progress",G75)))</formula>
    </cfRule>
    <cfRule type="containsText" dxfId="1192" priority="464" operator="containsText" text="Complete">
      <formula>NOT(ISERROR(SEARCH("Complete",G75)))</formula>
    </cfRule>
    <cfRule type="containsText" dxfId="1191" priority="465" operator="containsText" text="Outstanding">
      <formula>NOT(ISERROR(SEARCH("Outstanding",G75)))</formula>
    </cfRule>
  </conditionalFormatting>
  <conditionalFormatting sqref="G80">
    <cfRule type="containsText" dxfId="1190" priority="460" operator="containsText" text="In progress">
      <formula>NOT(ISERROR(SEARCH("In progress",G80)))</formula>
    </cfRule>
    <cfRule type="containsText" dxfId="1189" priority="461" operator="containsText" text="Complete">
      <formula>NOT(ISERROR(SEARCH("Complete",G80)))</formula>
    </cfRule>
    <cfRule type="containsText" dxfId="1188" priority="462" operator="containsText" text="Outstanding">
      <formula>NOT(ISERROR(SEARCH("Outstanding",G80)))</formula>
    </cfRule>
  </conditionalFormatting>
  <conditionalFormatting sqref="G84:G88">
    <cfRule type="containsText" dxfId="1187" priority="457" operator="containsText" text="In progress">
      <formula>NOT(ISERROR(SEARCH("In progress",G84)))</formula>
    </cfRule>
    <cfRule type="containsText" dxfId="1186" priority="458" operator="containsText" text="Complete">
      <formula>NOT(ISERROR(SEARCH("Complete",G84)))</formula>
    </cfRule>
    <cfRule type="containsText" dxfId="1185" priority="459" operator="containsText" text="Outstanding">
      <formula>NOT(ISERROR(SEARCH("Outstanding",G84)))</formula>
    </cfRule>
  </conditionalFormatting>
  <conditionalFormatting sqref="G89">
    <cfRule type="containsText" dxfId="1184" priority="454" operator="containsText" text="In progress">
      <formula>NOT(ISERROR(SEARCH("In progress",G89)))</formula>
    </cfRule>
    <cfRule type="containsText" dxfId="1183" priority="455" operator="containsText" text="Complete">
      <formula>NOT(ISERROR(SEARCH("Complete",G89)))</formula>
    </cfRule>
    <cfRule type="containsText" dxfId="1182" priority="456" operator="containsText" text="Outstanding">
      <formula>NOT(ISERROR(SEARCH("Outstanding",G89)))</formula>
    </cfRule>
  </conditionalFormatting>
  <conditionalFormatting sqref="G143 G93:G95 G152:G155 G97:G101 G163:G164">
    <cfRule type="containsText" dxfId="1181" priority="451" operator="containsText" text="In progress">
      <formula>NOT(ISERROR(SEARCH("In progress",G93)))</formula>
    </cfRule>
    <cfRule type="containsText" dxfId="1180" priority="452" operator="containsText" text="Complete">
      <formula>NOT(ISERROR(SEARCH("Complete",G93)))</formula>
    </cfRule>
    <cfRule type="containsText" dxfId="1179" priority="453" operator="containsText" text="Outstanding">
      <formula>NOT(ISERROR(SEARCH("Outstanding",G93)))</formula>
    </cfRule>
  </conditionalFormatting>
  <conditionalFormatting sqref="G103:G104">
    <cfRule type="containsText" dxfId="1178" priority="448" operator="containsText" text="In progress">
      <formula>NOT(ISERROR(SEARCH("In progress",G103)))</formula>
    </cfRule>
    <cfRule type="containsText" dxfId="1177" priority="449" operator="containsText" text="Complete">
      <formula>NOT(ISERROR(SEARCH("Complete",G103)))</formula>
    </cfRule>
    <cfRule type="containsText" dxfId="1176" priority="450" operator="containsText" text="Outstanding">
      <formula>NOT(ISERROR(SEARCH("Outstanding",G103)))</formula>
    </cfRule>
  </conditionalFormatting>
  <conditionalFormatting sqref="G112:G115">
    <cfRule type="containsText" dxfId="1175" priority="445" operator="containsText" text="In progress">
      <formula>NOT(ISERROR(SEARCH("In progress",G112)))</formula>
    </cfRule>
    <cfRule type="containsText" dxfId="1174" priority="446" operator="containsText" text="Complete">
      <formula>NOT(ISERROR(SEARCH("Complete",G112)))</formula>
    </cfRule>
    <cfRule type="containsText" dxfId="1173" priority="447" operator="containsText" text="Outstanding">
      <formula>NOT(ISERROR(SEARCH("Outstanding",G112)))</formula>
    </cfRule>
  </conditionalFormatting>
  <conditionalFormatting sqref="G123:G124">
    <cfRule type="containsText" dxfId="1172" priority="442" operator="containsText" text="In progress">
      <formula>NOT(ISERROR(SEARCH("In progress",G123)))</formula>
    </cfRule>
    <cfRule type="containsText" dxfId="1171" priority="443" operator="containsText" text="Complete">
      <formula>NOT(ISERROR(SEARCH("Complete",G123)))</formula>
    </cfRule>
    <cfRule type="containsText" dxfId="1170" priority="444" operator="containsText" text="Outstanding">
      <formula>NOT(ISERROR(SEARCH("Outstanding",G123)))</formula>
    </cfRule>
  </conditionalFormatting>
  <conditionalFormatting sqref="G132">
    <cfRule type="containsText" dxfId="1169" priority="439" operator="containsText" text="In progress">
      <formula>NOT(ISERROR(SEARCH("In progress",G132)))</formula>
    </cfRule>
    <cfRule type="containsText" dxfId="1168" priority="440" operator="containsText" text="Complete">
      <formula>NOT(ISERROR(SEARCH("Complete",G132)))</formula>
    </cfRule>
    <cfRule type="containsText" dxfId="1167" priority="441" operator="containsText" text="Outstanding">
      <formula>NOT(ISERROR(SEARCH("Outstanding",G132)))</formula>
    </cfRule>
  </conditionalFormatting>
  <conditionalFormatting sqref="G102">
    <cfRule type="containsText" dxfId="1166" priority="436" operator="containsText" text="In progress">
      <formula>NOT(ISERROR(SEARCH("In progress",G102)))</formula>
    </cfRule>
    <cfRule type="containsText" dxfId="1165" priority="437" operator="containsText" text="Complete">
      <formula>NOT(ISERROR(SEARCH("Complete",G102)))</formula>
    </cfRule>
    <cfRule type="containsText" dxfId="1164" priority="438" operator="containsText" text="Outstanding">
      <formula>NOT(ISERROR(SEARCH("Outstanding",G102)))</formula>
    </cfRule>
  </conditionalFormatting>
  <conditionalFormatting sqref="G133:G135">
    <cfRule type="containsText" dxfId="1163" priority="433" operator="containsText" text="In progress">
      <formula>NOT(ISERROR(SEARCH("In progress",G133)))</formula>
    </cfRule>
    <cfRule type="containsText" dxfId="1162" priority="434" operator="containsText" text="Complete">
      <formula>NOT(ISERROR(SEARCH("Complete",G133)))</formula>
    </cfRule>
    <cfRule type="containsText" dxfId="1161" priority="435" operator="containsText" text="Outstanding">
      <formula>NOT(ISERROR(SEARCH("Outstanding",G133)))</formula>
    </cfRule>
  </conditionalFormatting>
  <conditionalFormatting sqref="G516:G520">
    <cfRule type="containsText" dxfId="1160" priority="235" operator="containsText" text="In progress">
      <formula>NOT(ISERROR(SEARCH("In progress",G516)))</formula>
    </cfRule>
    <cfRule type="containsText" dxfId="1159" priority="236" operator="containsText" text="Complete">
      <formula>NOT(ISERROR(SEARCH("Complete",G516)))</formula>
    </cfRule>
    <cfRule type="containsText" dxfId="1158" priority="237" operator="containsText" text="Outstanding">
      <formula>NOT(ISERROR(SEARCH("Outstanding",G516)))</formula>
    </cfRule>
  </conditionalFormatting>
  <conditionalFormatting sqref="G111">
    <cfRule type="containsText" dxfId="1157" priority="427" operator="containsText" text="In progress">
      <formula>NOT(ISERROR(SEARCH("In progress",G111)))</formula>
    </cfRule>
    <cfRule type="containsText" dxfId="1156" priority="428" operator="containsText" text="Complete">
      <formula>NOT(ISERROR(SEARCH("Complete",G111)))</formula>
    </cfRule>
    <cfRule type="containsText" dxfId="1155" priority="429" operator="containsText" text="Outstanding">
      <formula>NOT(ISERROR(SEARCH("Outstanding",G111)))</formula>
    </cfRule>
  </conditionalFormatting>
  <conditionalFormatting sqref="G117:G121">
    <cfRule type="containsText" dxfId="1154" priority="424" operator="containsText" text="In progress">
      <formula>NOT(ISERROR(SEARCH("In progress",G117)))</formula>
    </cfRule>
    <cfRule type="containsText" dxfId="1153" priority="425" operator="containsText" text="Complete">
      <formula>NOT(ISERROR(SEARCH("Complete",G117)))</formula>
    </cfRule>
    <cfRule type="containsText" dxfId="1152" priority="426" operator="containsText" text="Outstanding">
      <formula>NOT(ISERROR(SEARCH("Outstanding",G117)))</formula>
    </cfRule>
  </conditionalFormatting>
  <conditionalFormatting sqref="G122">
    <cfRule type="containsText" dxfId="1151" priority="421" operator="containsText" text="In progress">
      <formula>NOT(ISERROR(SEARCH("In progress",G122)))</formula>
    </cfRule>
    <cfRule type="containsText" dxfId="1150" priority="422" operator="containsText" text="Complete">
      <formula>NOT(ISERROR(SEARCH("Complete",G122)))</formula>
    </cfRule>
    <cfRule type="containsText" dxfId="1149" priority="423" operator="containsText" text="Outstanding">
      <formula>NOT(ISERROR(SEARCH("Outstanding",G122)))</formula>
    </cfRule>
  </conditionalFormatting>
  <conditionalFormatting sqref="G126:G130">
    <cfRule type="containsText" dxfId="1148" priority="418" operator="containsText" text="In progress">
      <formula>NOT(ISERROR(SEARCH("In progress",G126)))</formula>
    </cfRule>
    <cfRule type="containsText" dxfId="1147" priority="419" operator="containsText" text="Complete">
      <formula>NOT(ISERROR(SEARCH("Complete",G126)))</formula>
    </cfRule>
    <cfRule type="containsText" dxfId="1146" priority="420" operator="containsText" text="Outstanding">
      <formula>NOT(ISERROR(SEARCH("Outstanding",G126)))</formula>
    </cfRule>
  </conditionalFormatting>
  <conditionalFormatting sqref="G131">
    <cfRule type="containsText" dxfId="1145" priority="415" operator="containsText" text="In progress">
      <formula>NOT(ISERROR(SEARCH("In progress",G131)))</formula>
    </cfRule>
    <cfRule type="containsText" dxfId="1144" priority="416" operator="containsText" text="Complete">
      <formula>NOT(ISERROR(SEARCH("Complete",G131)))</formula>
    </cfRule>
    <cfRule type="containsText" dxfId="1143" priority="417" operator="containsText" text="Outstanding">
      <formula>NOT(ISERROR(SEARCH("Outstanding",G131)))</formula>
    </cfRule>
  </conditionalFormatting>
  <conditionalFormatting sqref="G547:G551">
    <cfRule type="containsText" dxfId="1142" priority="217" operator="containsText" text="In progress">
      <formula>NOT(ISERROR(SEARCH("In progress",G547)))</formula>
    </cfRule>
    <cfRule type="containsText" dxfId="1141" priority="218" operator="containsText" text="Complete">
      <formula>NOT(ISERROR(SEARCH("Complete",G547)))</formula>
    </cfRule>
    <cfRule type="containsText" dxfId="1140" priority="219" operator="containsText" text="Outstanding">
      <formula>NOT(ISERROR(SEARCH("Outstanding",G547)))</formula>
    </cfRule>
  </conditionalFormatting>
  <conditionalFormatting sqref="G552">
    <cfRule type="containsText" dxfId="1139" priority="214" operator="containsText" text="In progress">
      <formula>NOT(ISERROR(SEARCH("In progress",G552)))</formula>
    </cfRule>
    <cfRule type="containsText" dxfId="1138" priority="215" operator="containsText" text="Complete">
      <formula>NOT(ISERROR(SEARCH("Complete",G552)))</formula>
    </cfRule>
    <cfRule type="containsText" dxfId="1137" priority="216" operator="containsText" text="Outstanding">
      <formula>NOT(ISERROR(SEARCH("Outstanding",G552)))</formula>
    </cfRule>
  </conditionalFormatting>
  <conditionalFormatting sqref="G556:G560">
    <cfRule type="containsText" dxfId="1136" priority="211" operator="containsText" text="In progress">
      <formula>NOT(ISERROR(SEARCH("In progress",G556)))</formula>
    </cfRule>
    <cfRule type="containsText" dxfId="1135" priority="212" operator="containsText" text="Complete">
      <formula>NOT(ISERROR(SEARCH("Complete",G556)))</formula>
    </cfRule>
    <cfRule type="containsText" dxfId="1134" priority="213" operator="containsText" text="Outstanding">
      <formula>NOT(ISERROR(SEARCH("Outstanding",G556)))</formula>
    </cfRule>
  </conditionalFormatting>
  <conditionalFormatting sqref="G151">
    <cfRule type="containsText" dxfId="1133" priority="403" operator="containsText" text="In progress">
      <formula>NOT(ISERROR(SEARCH("In progress",G151)))</formula>
    </cfRule>
    <cfRule type="containsText" dxfId="1132" priority="404" operator="containsText" text="Complete">
      <formula>NOT(ISERROR(SEARCH("Complete",G151)))</formula>
    </cfRule>
    <cfRule type="containsText" dxfId="1131" priority="405" operator="containsText" text="Outstanding">
      <formula>NOT(ISERROR(SEARCH("Outstanding",G151)))</formula>
    </cfRule>
  </conditionalFormatting>
  <conditionalFormatting sqref="G157:G161">
    <cfRule type="containsText" dxfId="1130" priority="400" operator="containsText" text="In progress">
      <formula>NOT(ISERROR(SEARCH("In progress",G157)))</formula>
    </cfRule>
    <cfRule type="containsText" dxfId="1129" priority="401" operator="containsText" text="Complete">
      <formula>NOT(ISERROR(SEARCH("Complete",G157)))</formula>
    </cfRule>
    <cfRule type="containsText" dxfId="1128" priority="402" operator="containsText" text="Outstanding">
      <formula>NOT(ISERROR(SEARCH("Outstanding",G157)))</formula>
    </cfRule>
  </conditionalFormatting>
  <conditionalFormatting sqref="G572">
    <cfRule type="containsText" dxfId="1127" priority="202" operator="containsText" text="In progress">
      <formula>NOT(ISERROR(SEARCH("In progress",G572)))</formula>
    </cfRule>
    <cfRule type="containsText" dxfId="1126" priority="203" operator="containsText" text="Complete">
      <formula>NOT(ISERROR(SEARCH("Complete",G572)))</formula>
    </cfRule>
    <cfRule type="containsText" dxfId="1125" priority="204" operator="containsText" text="Outstanding">
      <formula>NOT(ISERROR(SEARCH("Outstanding",G572)))</formula>
    </cfRule>
  </conditionalFormatting>
  <conditionalFormatting sqref="G166:G170">
    <cfRule type="containsText" dxfId="1124" priority="394" operator="containsText" text="In progress">
      <formula>NOT(ISERROR(SEARCH("In progress",G166)))</formula>
    </cfRule>
    <cfRule type="containsText" dxfId="1123" priority="395" operator="containsText" text="Complete">
      <formula>NOT(ISERROR(SEARCH("Complete",G166)))</formula>
    </cfRule>
    <cfRule type="containsText" dxfId="1122" priority="396" operator="containsText" text="Outstanding">
      <formula>NOT(ISERROR(SEARCH("Outstanding",G166)))</formula>
    </cfRule>
  </conditionalFormatting>
  <conditionalFormatting sqref="G171">
    <cfRule type="containsText" dxfId="1121" priority="391" operator="containsText" text="In progress">
      <formula>NOT(ISERROR(SEARCH("In progress",G171)))</formula>
    </cfRule>
    <cfRule type="containsText" dxfId="1120" priority="392" operator="containsText" text="Complete">
      <formula>NOT(ISERROR(SEARCH("Complete",G171)))</formula>
    </cfRule>
    <cfRule type="containsText" dxfId="1119" priority="393" operator="containsText" text="Outstanding">
      <formula>NOT(ISERROR(SEARCH("Outstanding",G171)))</formula>
    </cfRule>
  </conditionalFormatting>
  <conditionalFormatting sqref="G172:G174">
    <cfRule type="containsText" dxfId="1118" priority="388" operator="containsText" text="In progress">
      <formula>NOT(ISERROR(SEARCH("In progress",G172)))</formula>
    </cfRule>
    <cfRule type="containsText" dxfId="1117" priority="389" operator="containsText" text="Complete">
      <formula>NOT(ISERROR(SEARCH("Complete",G172)))</formula>
    </cfRule>
    <cfRule type="containsText" dxfId="1116" priority="390" operator="containsText" text="Outstanding">
      <formula>NOT(ISERROR(SEARCH("Outstanding",G172)))</formula>
    </cfRule>
  </conditionalFormatting>
  <conditionalFormatting sqref="G188:G192">
    <cfRule type="containsText" dxfId="1115" priority="364" operator="containsText" text="In progress">
      <formula>NOT(ISERROR(SEARCH("In progress",G188)))</formula>
    </cfRule>
    <cfRule type="containsText" dxfId="1114" priority="365" operator="containsText" text="Complete">
      <formula>NOT(ISERROR(SEARCH("Complete",G188)))</formula>
    </cfRule>
    <cfRule type="containsText" dxfId="1113" priority="366" operator="containsText" text="Outstanding">
      <formula>NOT(ISERROR(SEARCH("Outstanding",G188)))</formula>
    </cfRule>
  </conditionalFormatting>
  <conditionalFormatting sqref="G228:G232">
    <cfRule type="containsText" dxfId="1112" priority="340" operator="containsText" text="In progress">
      <formula>NOT(ISERROR(SEARCH("In progress",G228)))</formula>
    </cfRule>
    <cfRule type="containsText" dxfId="1111" priority="341" operator="containsText" text="Complete">
      <formula>NOT(ISERROR(SEARCH("Complete",G228)))</formula>
    </cfRule>
    <cfRule type="containsText" dxfId="1110" priority="342" operator="containsText" text="Outstanding">
      <formula>NOT(ISERROR(SEARCH("Outstanding",G228)))</formula>
    </cfRule>
  </conditionalFormatting>
  <conditionalFormatting sqref="G224">
    <cfRule type="containsText" dxfId="1109" priority="343" operator="containsText" text="In progress">
      <formula>NOT(ISERROR(SEARCH("In progress",G224)))</formula>
    </cfRule>
    <cfRule type="containsText" dxfId="1108" priority="344" operator="containsText" text="Complete">
      <formula>NOT(ISERROR(SEARCH("Complete",G224)))</formula>
    </cfRule>
    <cfRule type="containsText" dxfId="1107" priority="345" operator="containsText" text="Outstanding">
      <formula>NOT(ISERROR(SEARCH("Outstanding",G224)))</formula>
    </cfRule>
  </conditionalFormatting>
  <conditionalFormatting sqref="G219:G223">
    <cfRule type="containsText" dxfId="1106" priority="346" operator="containsText" text="In progress">
      <formula>NOT(ISERROR(SEARCH("In progress",G219)))</formula>
    </cfRule>
    <cfRule type="containsText" dxfId="1105" priority="347" operator="containsText" text="Complete">
      <formula>NOT(ISERROR(SEARCH("Complete",G219)))</formula>
    </cfRule>
    <cfRule type="containsText" dxfId="1104" priority="348" operator="containsText" text="Outstanding">
      <formula>NOT(ISERROR(SEARCH("Outstanding",G219)))</formula>
    </cfRule>
  </conditionalFormatting>
  <conditionalFormatting sqref="G244">
    <cfRule type="containsText" dxfId="1103" priority="331" operator="containsText" text="In progress">
      <formula>NOT(ISERROR(SEARCH("In progress",G244)))</formula>
    </cfRule>
    <cfRule type="containsText" dxfId="1102" priority="332" operator="containsText" text="Complete">
      <formula>NOT(ISERROR(SEARCH("Complete",G244)))</formula>
    </cfRule>
    <cfRule type="containsText" dxfId="1101" priority="333" operator="containsText" text="Outstanding">
      <formula>NOT(ISERROR(SEARCH("Outstanding",G244)))</formula>
    </cfRule>
  </conditionalFormatting>
  <conditionalFormatting sqref="G225 G175:G177 G234:G237 G179:G183 G245:G246">
    <cfRule type="containsText" dxfId="1100" priority="385" operator="containsText" text="In progress">
      <formula>NOT(ISERROR(SEARCH("In progress",G175)))</formula>
    </cfRule>
    <cfRule type="containsText" dxfId="1099" priority="386" operator="containsText" text="Complete">
      <formula>NOT(ISERROR(SEARCH("Complete",G175)))</formula>
    </cfRule>
    <cfRule type="containsText" dxfId="1098" priority="387" operator="containsText" text="Outstanding">
      <formula>NOT(ISERROR(SEARCH("Outstanding",G175)))</formula>
    </cfRule>
  </conditionalFormatting>
  <conditionalFormatting sqref="G185:G186">
    <cfRule type="containsText" dxfId="1097" priority="382" operator="containsText" text="In progress">
      <formula>NOT(ISERROR(SEARCH("In progress",G185)))</formula>
    </cfRule>
    <cfRule type="containsText" dxfId="1096" priority="383" operator="containsText" text="Complete">
      <formula>NOT(ISERROR(SEARCH("Complete",G185)))</formula>
    </cfRule>
    <cfRule type="containsText" dxfId="1095" priority="384" operator="containsText" text="Outstanding">
      <formula>NOT(ISERROR(SEARCH("Outstanding",G185)))</formula>
    </cfRule>
  </conditionalFormatting>
  <conditionalFormatting sqref="G194:G197">
    <cfRule type="containsText" dxfId="1094" priority="379" operator="containsText" text="In progress">
      <formula>NOT(ISERROR(SEARCH("In progress",G194)))</formula>
    </cfRule>
    <cfRule type="containsText" dxfId="1093" priority="380" operator="containsText" text="Complete">
      <formula>NOT(ISERROR(SEARCH("Complete",G194)))</formula>
    </cfRule>
    <cfRule type="containsText" dxfId="1092" priority="381" operator="containsText" text="Outstanding">
      <formula>NOT(ISERROR(SEARCH("Outstanding",G194)))</formula>
    </cfRule>
  </conditionalFormatting>
  <conditionalFormatting sqref="G205:G206">
    <cfRule type="containsText" dxfId="1091" priority="376" operator="containsText" text="In progress">
      <formula>NOT(ISERROR(SEARCH("In progress",G205)))</formula>
    </cfRule>
    <cfRule type="containsText" dxfId="1090" priority="377" operator="containsText" text="Complete">
      <formula>NOT(ISERROR(SEARCH("Complete",G205)))</formula>
    </cfRule>
    <cfRule type="containsText" dxfId="1089" priority="378" operator="containsText" text="Outstanding">
      <formula>NOT(ISERROR(SEARCH("Outstanding",G205)))</formula>
    </cfRule>
  </conditionalFormatting>
  <conditionalFormatting sqref="G214">
    <cfRule type="containsText" dxfId="1088" priority="373" operator="containsText" text="In progress">
      <formula>NOT(ISERROR(SEARCH("In progress",G214)))</formula>
    </cfRule>
    <cfRule type="containsText" dxfId="1087" priority="374" operator="containsText" text="Complete">
      <formula>NOT(ISERROR(SEARCH("Complete",G214)))</formula>
    </cfRule>
    <cfRule type="containsText" dxfId="1086" priority="375" operator="containsText" text="Outstanding">
      <formula>NOT(ISERROR(SEARCH("Outstanding",G214)))</formula>
    </cfRule>
  </conditionalFormatting>
  <conditionalFormatting sqref="G184">
    <cfRule type="containsText" dxfId="1085" priority="370" operator="containsText" text="In progress">
      <formula>NOT(ISERROR(SEARCH("In progress",G184)))</formula>
    </cfRule>
    <cfRule type="containsText" dxfId="1084" priority="371" operator="containsText" text="Complete">
      <formula>NOT(ISERROR(SEARCH("Complete",G184)))</formula>
    </cfRule>
    <cfRule type="containsText" dxfId="1083" priority="372" operator="containsText" text="Outstanding">
      <formula>NOT(ISERROR(SEARCH("Outstanding",G184)))</formula>
    </cfRule>
  </conditionalFormatting>
  <conditionalFormatting sqref="G215:G217">
    <cfRule type="containsText" dxfId="1082" priority="367" operator="containsText" text="In progress">
      <formula>NOT(ISERROR(SEARCH("In progress",G215)))</formula>
    </cfRule>
    <cfRule type="containsText" dxfId="1081" priority="368" operator="containsText" text="Complete">
      <formula>NOT(ISERROR(SEARCH("Complete",G215)))</formula>
    </cfRule>
    <cfRule type="containsText" dxfId="1080" priority="369" operator="containsText" text="Outstanding">
      <formula>NOT(ISERROR(SEARCH("Outstanding",G215)))</formula>
    </cfRule>
  </conditionalFormatting>
  <conditionalFormatting sqref="G193">
    <cfRule type="containsText" dxfId="1079" priority="361" operator="containsText" text="In progress">
      <formula>NOT(ISERROR(SEARCH("In progress",G193)))</formula>
    </cfRule>
    <cfRule type="containsText" dxfId="1078" priority="362" operator="containsText" text="Complete">
      <formula>NOT(ISERROR(SEARCH("Complete",G193)))</formula>
    </cfRule>
    <cfRule type="containsText" dxfId="1077" priority="363" operator="containsText" text="Outstanding">
      <formula>NOT(ISERROR(SEARCH("Outstanding",G193)))</formula>
    </cfRule>
  </conditionalFormatting>
  <conditionalFormatting sqref="G199:G203">
    <cfRule type="containsText" dxfId="1076" priority="358" operator="containsText" text="In progress">
      <formula>NOT(ISERROR(SEARCH("In progress",G199)))</formula>
    </cfRule>
    <cfRule type="containsText" dxfId="1075" priority="359" operator="containsText" text="Complete">
      <formula>NOT(ISERROR(SEARCH("Complete",G199)))</formula>
    </cfRule>
    <cfRule type="containsText" dxfId="1074" priority="360" operator="containsText" text="Outstanding">
      <formula>NOT(ISERROR(SEARCH("Outstanding",G199)))</formula>
    </cfRule>
  </conditionalFormatting>
  <conditionalFormatting sqref="G204">
    <cfRule type="containsText" dxfId="1073" priority="355" operator="containsText" text="In progress">
      <formula>NOT(ISERROR(SEARCH("In progress",G204)))</formula>
    </cfRule>
    <cfRule type="containsText" dxfId="1072" priority="356" operator="containsText" text="Complete">
      <formula>NOT(ISERROR(SEARCH("Complete",G204)))</formula>
    </cfRule>
    <cfRule type="containsText" dxfId="1071" priority="357" operator="containsText" text="Outstanding">
      <formula>NOT(ISERROR(SEARCH("Outstanding",G204)))</formula>
    </cfRule>
  </conditionalFormatting>
  <conditionalFormatting sqref="G208:G212">
    <cfRule type="containsText" dxfId="1070" priority="352" operator="containsText" text="In progress">
      <formula>NOT(ISERROR(SEARCH("In progress",G208)))</formula>
    </cfRule>
    <cfRule type="containsText" dxfId="1069" priority="353" operator="containsText" text="Complete">
      <formula>NOT(ISERROR(SEARCH("Complete",G208)))</formula>
    </cfRule>
    <cfRule type="containsText" dxfId="1068" priority="354" operator="containsText" text="Outstanding">
      <formula>NOT(ISERROR(SEARCH("Outstanding",G208)))</formula>
    </cfRule>
  </conditionalFormatting>
  <conditionalFormatting sqref="G213">
    <cfRule type="containsText" dxfId="1067" priority="349" operator="containsText" text="In progress">
      <formula>NOT(ISERROR(SEARCH("In progress",G213)))</formula>
    </cfRule>
    <cfRule type="containsText" dxfId="1066" priority="350" operator="containsText" text="Complete">
      <formula>NOT(ISERROR(SEARCH("Complete",G213)))</formula>
    </cfRule>
    <cfRule type="containsText" dxfId="1065" priority="351" operator="containsText" text="Outstanding">
      <formula>NOT(ISERROR(SEARCH("Outstanding",G213)))</formula>
    </cfRule>
  </conditionalFormatting>
  <conditionalFormatting sqref="G233">
    <cfRule type="containsText" dxfId="1064" priority="337" operator="containsText" text="In progress">
      <formula>NOT(ISERROR(SEARCH("In progress",G233)))</formula>
    </cfRule>
    <cfRule type="containsText" dxfId="1063" priority="338" operator="containsText" text="Complete">
      <formula>NOT(ISERROR(SEARCH("Complete",G233)))</formula>
    </cfRule>
    <cfRule type="containsText" dxfId="1062" priority="339" operator="containsText" text="Outstanding">
      <formula>NOT(ISERROR(SEARCH("Outstanding",G233)))</formula>
    </cfRule>
  </conditionalFormatting>
  <conditionalFormatting sqref="G239:G243">
    <cfRule type="containsText" dxfId="1061" priority="334" operator="containsText" text="In progress">
      <formula>NOT(ISERROR(SEARCH("In progress",G239)))</formula>
    </cfRule>
    <cfRule type="containsText" dxfId="1060" priority="335" operator="containsText" text="Complete">
      <formula>NOT(ISERROR(SEARCH("Complete",G239)))</formula>
    </cfRule>
    <cfRule type="containsText" dxfId="1059" priority="336" operator="containsText" text="Outstanding">
      <formula>NOT(ISERROR(SEARCH("Outstanding",G239)))</formula>
    </cfRule>
  </conditionalFormatting>
  <conditionalFormatting sqref="G248:G252">
    <cfRule type="containsText" dxfId="1058" priority="328" operator="containsText" text="In progress">
      <formula>NOT(ISERROR(SEARCH("In progress",G248)))</formula>
    </cfRule>
    <cfRule type="containsText" dxfId="1057" priority="329" operator="containsText" text="Complete">
      <formula>NOT(ISERROR(SEARCH("Complete",G248)))</formula>
    </cfRule>
    <cfRule type="containsText" dxfId="1056" priority="330" operator="containsText" text="Outstanding">
      <formula>NOT(ISERROR(SEARCH("Outstanding",G248)))</formula>
    </cfRule>
  </conditionalFormatting>
  <conditionalFormatting sqref="G253">
    <cfRule type="containsText" dxfId="1055" priority="325" operator="containsText" text="In progress">
      <formula>NOT(ISERROR(SEARCH("In progress",G253)))</formula>
    </cfRule>
    <cfRule type="containsText" dxfId="1054" priority="326" operator="containsText" text="Complete">
      <formula>NOT(ISERROR(SEARCH("Complete",G253)))</formula>
    </cfRule>
    <cfRule type="containsText" dxfId="1053" priority="327" operator="containsText" text="Outstanding">
      <formula>NOT(ISERROR(SEARCH("Outstanding",G253)))</formula>
    </cfRule>
  </conditionalFormatting>
  <conditionalFormatting sqref="G254:G256">
    <cfRule type="containsText" dxfId="1052" priority="322" operator="containsText" text="In progress">
      <formula>NOT(ISERROR(SEARCH("In progress",G254)))</formula>
    </cfRule>
    <cfRule type="containsText" dxfId="1051" priority="323" operator="containsText" text="Complete">
      <formula>NOT(ISERROR(SEARCH("Complete",G254)))</formula>
    </cfRule>
    <cfRule type="containsText" dxfId="1050" priority="324" operator="containsText" text="Outstanding">
      <formula>NOT(ISERROR(SEARCH("Outstanding",G254)))</formula>
    </cfRule>
  </conditionalFormatting>
  <conditionalFormatting sqref="G352:G356">
    <cfRule type="containsText" dxfId="1049" priority="298" operator="containsText" text="In progress">
      <formula>NOT(ISERROR(SEARCH("In progress",G352)))</formula>
    </cfRule>
    <cfRule type="containsText" dxfId="1048" priority="299" operator="containsText" text="Complete">
      <formula>NOT(ISERROR(SEARCH("Complete",G352)))</formula>
    </cfRule>
    <cfRule type="containsText" dxfId="1047" priority="300" operator="containsText" text="Outstanding">
      <formula>NOT(ISERROR(SEARCH("Outstanding",G352)))</formula>
    </cfRule>
  </conditionalFormatting>
  <conditionalFormatting sqref="G392:G396">
    <cfRule type="containsText" dxfId="1046" priority="274" operator="containsText" text="In progress">
      <formula>NOT(ISERROR(SEARCH("In progress",G392)))</formula>
    </cfRule>
    <cfRule type="containsText" dxfId="1045" priority="275" operator="containsText" text="Complete">
      <formula>NOT(ISERROR(SEARCH("Complete",G392)))</formula>
    </cfRule>
    <cfRule type="containsText" dxfId="1044" priority="276" operator="containsText" text="Outstanding">
      <formula>NOT(ISERROR(SEARCH("Outstanding",G392)))</formula>
    </cfRule>
  </conditionalFormatting>
  <conditionalFormatting sqref="G388">
    <cfRule type="containsText" dxfId="1043" priority="277" operator="containsText" text="In progress">
      <formula>NOT(ISERROR(SEARCH("In progress",G388)))</formula>
    </cfRule>
    <cfRule type="containsText" dxfId="1042" priority="278" operator="containsText" text="Complete">
      <formula>NOT(ISERROR(SEARCH("Complete",G388)))</formula>
    </cfRule>
    <cfRule type="containsText" dxfId="1041" priority="279" operator="containsText" text="Outstanding">
      <formula>NOT(ISERROR(SEARCH("Outstanding",G388)))</formula>
    </cfRule>
  </conditionalFormatting>
  <conditionalFormatting sqref="G383:G387">
    <cfRule type="containsText" dxfId="1040" priority="280" operator="containsText" text="In progress">
      <formula>NOT(ISERROR(SEARCH("In progress",G383)))</formula>
    </cfRule>
    <cfRule type="containsText" dxfId="1039" priority="281" operator="containsText" text="Complete">
      <formula>NOT(ISERROR(SEARCH("Complete",G383)))</formula>
    </cfRule>
    <cfRule type="containsText" dxfId="1038" priority="282" operator="containsText" text="Outstanding">
      <formula>NOT(ISERROR(SEARCH("Outstanding",G383)))</formula>
    </cfRule>
  </conditionalFormatting>
  <conditionalFormatting sqref="G408">
    <cfRule type="containsText" dxfId="1037" priority="265" operator="containsText" text="In progress">
      <formula>NOT(ISERROR(SEARCH("In progress",G408)))</formula>
    </cfRule>
    <cfRule type="containsText" dxfId="1036" priority="266" operator="containsText" text="Complete">
      <formula>NOT(ISERROR(SEARCH("Complete",G408)))</formula>
    </cfRule>
    <cfRule type="containsText" dxfId="1035" priority="267" operator="containsText" text="Outstanding">
      <formula>NOT(ISERROR(SEARCH("Outstanding",G408)))</formula>
    </cfRule>
  </conditionalFormatting>
  <conditionalFormatting sqref="G389 G339:G341 G398:G401 G343:G347 G409:G410">
    <cfRule type="containsText" dxfId="1034" priority="319" operator="containsText" text="In progress">
      <formula>NOT(ISERROR(SEARCH("In progress",G339)))</formula>
    </cfRule>
    <cfRule type="containsText" dxfId="1033" priority="320" operator="containsText" text="Complete">
      <formula>NOT(ISERROR(SEARCH("Complete",G339)))</formula>
    </cfRule>
    <cfRule type="containsText" dxfId="1032" priority="321" operator="containsText" text="Outstanding">
      <formula>NOT(ISERROR(SEARCH("Outstanding",G339)))</formula>
    </cfRule>
  </conditionalFormatting>
  <conditionalFormatting sqref="G349:G350">
    <cfRule type="containsText" dxfId="1031" priority="316" operator="containsText" text="In progress">
      <formula>NOT(ISERROR(SEARCH("In progress",G349)))</formula>
    </cfRule>
    <cfRule type="containsText" dxfId="1030" priority="317" operator="containsText" text="Complete">
      <formula>NOT(ISERROR(SEARCH("Complete",G349)))</formula>
    </cfRule>
    <cfRule type="containsText" dxfId="1029" priority="318" operator="containsText" text="Outstanding">
      <formula>NOT(ISERROR(SEARCH("Outstanding",G349)))</formula>
    </cfRule>
  </conditionalFormatting>
  <conditionalFormatting sqref="G358:G361">
    <cfRule type="containsText" dxfId="1028" priority="313" operator="containsText" text="In progress">
      <formula>NOT(ISERROR(SEARCH("In progress",G358)))</formula>
    </cfRule>
    <cfRule type="containsText" dxfId="1027" priority="314" operator="containsText" text="Complete">
      <formula>NOT(ISERROR(SEARCH("Complete",G358)))</formula>
    </cfRule>
    <cfRule type="containsText" dxfId="1026" priority="315" operator="containsText" text="Outstanding">
      <formula>NOT(ISERROR(SEARCH("Outstanding",G358)))</formula>
    </cfRule>
  </conditionalFormatting>
  <conditionalFormatting sqref="G369:G370">
    <cfRule type="containsText" dxfId="1025" priority="310" operator="containsText" text="In progress">
      <formula>NOT(ISERROR(SEARCH("In progress",G369)))</formula>
    </cfRule>
    <cfRule type="containsText" dxfId="1024" priority="311" operator="containsText" text="Complete">
      <formula>NOT(ISERROR(SEARCH("Complete",G369)))</formula>
    </cfRule>
    <cfRule type="containsText" dxfId="1023" priority="312" operator="containsText" text="Outstanding">
      <formula>NOT(ISERROR(SEARCH("Outstanding",G369)))</formula>
    </cfRule>
  </conditionalFormatting>
  <conditionalFormatting sqref="G378">
    <cfRule type="containsText" dxfId="1022" priority="307" operator="containsText" text="In progress">
      <formula>NOT(ISERROR(SEARCH("In progress",G378)))</formula>
    </cfRule>
    <cfRule type="containsText" dxfId="1021" priority="308" operator="containsText" text="Complete">
      <formula>NOT(ISERROR(SEARCH("Complete",G378)))</formula>
    </cfRule>
    <cfRule type="containsText" dxfId="1020" priority="309" operator="containsText" text="Outstanding">
      <formula>NOT(ISERROR(SEARCH("Outstanding",G378)))</formula>
    </cfRule>
  </conditionalFormatting>
  <conditionalFormatting sqref="G348">
    <cfRule type="containsText" dxfId="1019" priority="304" operator="containsText" text="In progress">
      <formula>NOT(ISERROR(SEARCH("In progress",G348)))</formula>
    </cfRule>
    <cfRule type="containsText" dxfId="1018" priority="305" operator="containsText" text="Complete">
      <formula>NOT(ISERROR(SEARCH("Complete",G348)))</formula>
    </cfRule>
    <cfRule type="containsText" dxfId="1017" priority="306" operator="containsText" text="Outstanding">
      <formula>NOT(ISERROR(SEARCH("Outstanding",G348)))</formula>
    </cfRule>
  </conditionalFormatting>
  <conditionalFormatting sqref="G379:G381">
    <cfRule type="containsText" dxfId="1016" priority="301" operator="containsText" text="In progress">
      <formula>NOT(ISERROR(SEARCH("In progress",G379)))</formula>
    </cfRule>
    <cfRule type="containsText" dxfId="1015" priority="302" operator="containsText" text="Complete">
      <formula>NOT(ISERROR(SEARCH("Complete",G379)))</formula>
    </cfRule>
    <cfRule type="containsText" dxfId="1014" priority="303" operator="containsText" text="Outstanding">
      <formula>NOT(ISERROR(SEARCH("Outstanding",G379)))</formula>
    </cfRule>
  </conditionalFormatting>
  <conditionalFormatting sqref="G357">
    <cfRule type="containsText" dxfId="1013" priority="295" operator="containsText" text="In progress">
      <formula>NOT(ISERROR(SEARCH("In progress",G357)))</formula>
    </cfRule>
    <cfRule type="containsText" dxfId="1012" priority="296" operator="containsText" text="Complete">
      <formula>NOT(ISERROR(SEARCH("Complete",G357)))</formula>
    </cfRule>
    <cfRule type="containsText" dxfId="1011" priority="297" operator="containsText" text="Outstanding">
      <formula>NOT(ISERROR(SEARCH("Outstanding",G357)))</formula>
    </cfRule>
  </conditionalFormatting>
  <conditionalFormatting sqref="G363:G367">
    <cfRule type="containsText" dxfId="1010" priority="292" operator="containsText" text="In progress">
      <formula>NOT(ISERROR(SEARCH("In progress",G363)))</formula>
    </cfRule>
    <cfRule type="containsText" dxfId="1009" priority="293" operator="containsText" text="Complete">
      <formula>NOT(ISERROR(SEARCH("Complete",G363)))</formula>
    </cfRule>
    <cfRule type="containsText" dxfId="1008" priority="294" operator="containsText" text="Outstanding">
      <formula>NOT(ISERROR(SEARCH("Outstanding",G363)))</formula>
    </cfRule>
  </conditionalFormatting>
  <conditionalFormatting sqref="G368">
    <cfRule type="containsText" dxfId="1007" priority="289" operator="containsText" text="In progress">
      <formula>NOT(ISERROR(SEARCH("In progress",G368)))</formula>
    </cfRule>
    <cfRule type="containsText" dxfId="1006" priority="290" operator="containsText" text="Complete">
      <formula>NOT(ISERROR(SEARCH("Complete",G368)))</formula>
    </cfRule>
    <cfRule type="containsText" dxfId="1005" priority="291" operator="containsText" text="Outstanding">
      <formula>NOT(ISERROR(SEARCH("Outstanding",G368)))</formula>
    </cfRule>
  </conditionalFormatting>
  <conditionalFormatting sqref="G372:G376">
    <cfRule type="containsText" dxfId="1004" priority="286" operator="containsText" text="In progress">
      <formula>NOT(ISERROR(SEARCH("In progress",G372)))</formula>
    </cfRule>
    <cfRule type="containsText" dxfId="1003" priority="287" operator="containsText" text="Complete">
      <formula>NOT(ISERROR(SEARCH("Complete",G372)))</formula>
    </cfRule>
    <cfRule type="containsText" dxfId="1002" priority="288" operator="containsText" text="Outstanding">
      <formula>NOT(ISERROR(SEARCH("Outstanding",G372)))</formula>
    </cfRule>
  </conditionalFormatting>
  <conditionalFormatting sqref="G377">
    <cfRule type="containsText" dxfId="1001" priority="283" operator="containsText" text="In progress">
      <formula>NOT(ISERROR(SEARCH("In progress",G377)))</formula>
    </cfRule>
    <cfRule type="containsText" dxfId="1000" priority="284" operator="containsText" text="Complete">
      <formula>NOT(ISERROR(SEARCH("Complete",G377)))</formula>
    </cfRule>
    <cfRule type="containsText" dxfId="999" priority="285" operator="containsText" text="Outstanding">
      <formula>NOT(ISERROR(SEARCH("Outstanding",G377)))</formula>
    </cfRule>
  </conditionalFormatting>
  <conditionalFormatting sqref="G397">
    <cfRule type="containsText" dxfId="998" priority="271" operator="containsText" text="In progress">
      <formula>NOT(ISERROR(SEARCH("In progress",G397)))</formula>
    </cfRule>
    <cfRule type="containsText" dxfId="997" priority="272" operator="containsText" text="Complete">
      <formula>NOT(ISERROR(SEARCH("Complete",G397)))</formula>
    </cfRule>
    <cfRule type="containsText" dxfId="996" priority="273" operator="containsText" text="Outstanding">
      <formula>NOT(ISERROR(SEARCH("Outstanding",G397)))</formula>
    </cfRule>
  </conditionalFormatting>
  <conditionalFormatting sqref="G403:G407">
    <cfRule type="containsText" dxfId="995" priority="268" operator="containsText" text="In progress">
      <formula>NOT(ISERROR(SEARCH("In progress",G403)))</formula>
    </cfRule>
    <cfRule type="containsText" dxfId="994" priority="269" operator="containsText" text="Complete">
      <formula>NOT(ISERROR(SEARCH("Complete",G403)))</formula>
    </cfRule>
    <cfRule type="containsText" dxfId="993" priority="270" operator="containsText" text="Outstanding">
      <formula>NOT(ISERROR(SEARCH("Outstanding",G403)))</formula>
    </cfRule>
  </conditionalFormatting>
  <conditionalFormatting sqref="G412:G416">
    <cfRule type="containsText" dxfId="992" priority="262" operator="containsText" text="In progress">
      <formula>NOT(ISERROR(SEARCH("In progress",G412)))</formula>
    </cfRule>
    <cfRule type="containsText" dxfId="991" priority="263" operator="containsText" text="Complete">
      <formula>NOT(ISERROR(SEARCH("Complete",G412)))</formula>
    </cfRule>
    <cfRule type="containsText" dxfId="990" priority="264" operator="containsText" text="Outstanding">
      <formula>NOT(ISERROR(SEARCH("Outstanding",G412)))</formula>
    </cfRule>
  </conditionalFormatting>
  <conditionalFormatting sqref="G417">
    <cfRule type="containsText" dxfId="989" priority="259" operator="containsText" text="In progress">
      <formula>NOT(ISERROR(SEARCH("In progress",G417)))</formula>
    </cfRule>
    <cfRule type="containsText" dxfId="988" priority="260" operator="containsText" text="Complete">
      <formula>NOT(ISERROR(SEARCH("Complete",G417)))</formula>
    </cfRule>
    <cfRule type="containsText" dxfId="987" priority="261" operator="containsText" text="Outstanding">
      <formula>NOT(ISERROR(SEARCH("Outstanding",G417)))</formula>
    </cfRule>
  </conditionalFormatting>
  <conditionalFormatting sqref="G553 G503:G505 G562:G565 G507:G511 G573:G574">
    <cfRule type="containsText" dxfId="986" priority="256" operator="containsText" text="In progress">
      <formula>NOT(ISERROR(SEARCH("In progress",G503)))</formula>
    </cfRule>
    <cfRule type="containsText" dxfId="985" priority="257" operator="containsText" text="Complete">
      <formula>NOT(ISERROR(SEARCH("Complete",G503)))</formula>
    </cfRule>
    <cfRule type="containsText" dxfId="984" priority="258" operator="containsText" text="Outstanding">
      <formula>NOT(ISERROR(SEARCH("Outstanding",G503)))</formula>
    </cfRule>
  </conditionalFormatting>
  <conditionalFormatting sqref="G513:G514">
    <cfRule type="containsText" dxfId="983" priority="253" operator="containsText" text="In progress">
      <formula>NOT(ISERROR(SEARCH("In progress",G513)))</formula>
    </cfRule>
    <cfRule type="containsText" dxfId="982" priority="254" operator="containsText" text="Complete">
      <formula>NOT(ISERROR(SEARCH("Complete",G513)))</formula>
    </cfRule>
    <cfRule type="containsText" dxfId="981" priority="255" operator="containsText" text="Outstanding">
      <formula>NOT(ISERROR(SEARCH("Outstanding",G513)))</formula>
    </cfRule>
  </conditionalFormatting>
  <conditionalFormatting sqref="G522:G525">
    <cfRule type="containsText" dxfId="980" priority="250" operator="containsText" text="In progress">
      <formula>NOT(ISERROR(SEARCH("In progress",G522)))</formula>
    </cfRule>
    <cfRule type="containsText" dxfId="979" priority="251" operator="containsText" text="Complete">
      <formula>NOT(ISERROR(SEARCH("Complete",G522)))</formula>
    </cfRule>
    <cfRule type="containsText" dxfId="978" priority="252" operator="containsText" text="Outstanding">
      <formula>NOT(ISERROR(SEARCH("Outstanding",G522)))</formula>
    </cfRule>
  </conditionalFormatting>
  <conditionalFormatting sqref="G533:G534">
    <cfRule type="containsText" dxfId="977" priority="247" operator="containsText" text="In progress">
      <formula>NOT(ISERROR(SEARCH("In progress",G533)))</formula>
    </cfRule>
    <cfRule type="containsText" dxfId="976" priority="248" operator="containsText" text="Complete">
      <formula>NOT(ISERROR(SEARCH("Complete",G533)))</formula>
    </cfRule>
    <cfRule type="containsText" dxfId="975" priority="249" operator="containsText" text="Outstanding">
      <formula>NOT(ISERROR(SEARCH("Outstanding",G533)))</formula>
    </cfRule>
  </conditionalFormatting>
  <conditionalFormatting sqref="G542">
    <cfRule type="containsText" dxfId="974" priority="244" operator="containsText" text="In progress">
      <formula>NOT(ISERROR(SEARCH("In progress",G542)))</formula>
    </cfRule>
    <cfRule type="containsText" dxfId="973" priority="245" operator="containsText" text="Complete">
      <formula>NOT(ISERROR(SEARCH("Complete",G542)))</formula>
    </cfRule>
    <cfRule type="containsText" dxfId="972" priority="246" operator="containsText" text="Outstanding">
      <formula>NOT(ISERROR(SEARCH("Outstanding",G542)))</formula>
    </cfRule>
  </conditionalFormatting>
  <conditionalFormatting sqref="G512">
    <cfRule type="containsText" dxfId="971" priority="241" operator="containsText" text="In progress">
      <formula>NOT(ISERROR(SEARCH("In progress",G512)))</formula>
    </cfRule>
    <cfRule type="containsText" dxfId="970" priority="242" operator="containsText" text="Complete">
      <formula>NOT(ISERROR(SEARCH("Complete",G512)))</formula>
    </cfRule>
    <cfRule type="containsText" dxfId="969" priority="243" operator="containsText" text="Outstanding">
      <formula>NOT(ISERROR(SEARCH("Outstanding",G512)))</formula>
    </cfRule>
  </conditionalFormatting>
  <conditionalFormatting sqref="G543:G545">
    <cfRule type="containsText" dxfId="968" priority="238" operator="containsText" text="In progress">
      <formula>NOT(ISERROR(SEARCH("In progress",G543)))</formula>
    </cfRule>
    <cfRule type="containsText" dxfId="967" priority="239" operator="containsText" text="Complete">
      <formula>NOT(ISERROR(SEARCH("Complete",G543)))</formula>
    </cfRule>
    <cfRule type="containsText" dxfId="966" priority="240" operator="containsText" text="Outstanding">
      <formula>NOT(ISERROR(SEARCH("Outstanding",G543)))</formula>
    </cfRule>
  </conditionalFormatting>
  <conditionalFormatting sqref="G521">
    <cfRule type="containsText" dxfId="965" priority="232" operator="containsText" text="In progress">
      <formula>NOT(ISERROR(SEARCH("In progress",G521)))</formula>
    </cfRule>
    <cfRule type="containsText" dxfId="964" priority="233" operator="containsText" text="Complete">
      <formula>NOT(ISERROR(SEARCH("Complete",G521)))</formula>
    </cfRule>
    <cfRule type="containsText" dxfId="963" priority="234" operator="containsText" text="Outstanding">
      <formula>NOT(ISERROR(SEARCH("Outstanding",G521)))</formula>
    </cfRule>
  </conditionalFormatting>
  <conditionalFormatting sqref="G527:G531">
    <cfRule type="containsText" dxfId="962" priority="229" operator="containsText" text="In progress">
      <formula>NOT(ISERROR(SEARCH("In progress",G527)))</formula>
    </cfRule>
    <cfRule type="containsText" dxfId="961" priority="230" operator="containsText" text="Complete">
      <formula>NOT(ISERROR(SEARCH("Complete",G527)))</formula>
    </cfRule>
    <cfRule type="containsText" dxfId="960" priority="231" operator="containsText" text="Outstanding">
      <formula>NOT(ISERROR(SEARCH("Outstanding",G527)))</formula>
    </cfRule>
  </conditionalFormatting>
  <conditionalFormatting sqref="G532">
    <cfRule type="containsText" dxfId="959" priority="226" operator="containsText" text="In progress">
      <formula>NOT(ISERROR(SEARCH("In progress",G532)))</formula>
    </cfRule>
    <cfRule type="containsText" dxfId="958" priority="227" operator="containsText" text="Complete">
      <formula>NOT(ISERROR(SEARCH("Complete",G532)))</formula>
    </cfRule>
    <cfRule type="containsText" dxfId="957" priority="228" operator="containsText" text="Outstanding">
      <formula>NOT(ISERROR(SEARCH("Outstanding",G532)))</formula>
    </cfRule>
  </conditionalFormatting>
  <conditionalFormatting sqref="G536:G540">
    <cfRule type="containsText" dxfId="956" priority="223" operator="containsText" text="In progress">
      <formula>NOT(ISERROR(SEARCH("In progress",G536)))</formula>
    </cfRule>
    <cfRule type="containsText" dxfId="955" priority="224" operator="containsText" text="Complete">
      <formula>NOT(ISERROR(SEARCH("Complete",G536)))</formula>
    </cfRule>
    <cfRule type="containsText" dxfId="954" priority="225" operator="containsText" text="Outstanding">
      <formula>NOT(ISERROR(SEARCH("Outstanding",G536)))</formula>
    </cfRule>
  </conditionalFormatting>
  <conditionalFormatting sqref="G541">
    <cfRule type="containsText" dxfId="953" priority="220" operator="containsText" text="In progress">
      <formula>NOT(ISERROR(SEARCH("In progress",G541)))</formula>
    </cfRule>
    <cfRule type="containsText" dxfId="952" priority="221" operator="containsText" text="Complete">
      <formula>NOT(ISERROR(SEARCH("Complete",G541)))</formula>
    </cfRule>
    <cfRule type="containsText" dxfId="951" priority="222" operator="containsText" text="Outstanding">
      <formula>NOT(ISERROR(SEARCH("Outstanding",G541)))</formula>
    </cfRule>
  </conditionalFormatting>
  <conditionalFormatting sqref="G561">
    <cfRule type="containsText" dxfId="950" priority="208" operator="containsText" text="In progress">
      <formula>NOT(ISERROR(SEARCH("In progress",G561)))</formula>
    </cfRule>
    <cfRule type="containsText" dxfId="949" priority="209" operator="containsText" text="Complete">
      <formula>NOT(ISERROR(SEARCH("Complete",G561)))</formula>
    </cfRule>
    <cfRule type="containsText" dxfId="948" priority="210" operator="containsText" text="Outstanding">
      <formula>NOT(ISERROR(SEARCH("Outstanding",G561)))</formula>
    </cfRule>
  </conditionalFormatting>
  <conditionalFormatting sqref="G567:G571">
    <cfRule type="containsText" dxfId="947" priority="205" operator="containsText" text="In progress">
      <formula>NOT(ISERROR(SEARCH("In progress",G567)))</formula>
    </cfRule>
    <cfRule type="containsText" dxfId="946" priority="206" operator="containsText" text="Complete">
      <formula>NOT(ISERROR(SEARCH("Complete",G567)))</formula>
    </cfRule>
    <cfRule type="containsText" dxfId="945" priority="207" operator="containsText" text="Outstanding">
      <formula>NOT(ISERROR(SEARCH("Outstanding",G567)))</formula>
    </cfRule>
  </conditionalFormatting>
  <conditionalFormatting sqref="G576:G580">
    <cfRule type="containsText" dxfId="944" priority="199" operator="containsText" text="In progress">
      <formula>NOT(ISERROR(SEARCH("In progress",G576)))</formula>
    </cfRule>
    <cfRule type="containsText" dxfId="943" priority="200" operator="containsText" text="Complete">
      <formula>NOT(ISERROR(SEARCH("Complete",G576)))</formula>
    </cfRule>
    <cfRule type="containsText" dxfId="942" priority="201" operator="containsText" text="Outstanding">
      <formula>NOT(ISERROR(SEARCH("Outstanding",G576)))</formula>
    </cfRule>
  </conditionalFormatting>
  <conditionalFormatting sqref="G581">
    <cfRule type="containsText" dxfId="941" priority="196" operator="containsText" text="In progress">
      <formula>NOT(ISERROR(SEARCH("In progress",G581)))</formula>
    </cfRule>
    <cfRule type="containsText" dxfId="940" priority="197" operator="containsText" text="Complete">
      <formula>NOT(ISERROR(SEARCH("Complete",G581)))</formula>
    </cfRule>
    <cfRule type="containsText" dxfId="939" priority="198" operator="containsText" text="Outstanding">
      <formula>NOT(ISERROR(SEARCH("Outstanding",G581)))</formula>
    </cfRule>
  </conditionalFormatting>
  <conditionalFormatting sqref="G471 G421:G423 G480:G483 G425:G429 G491:G492 G500:G502">
    <cfRule type="containsText" dxfId="938" priority="193" operator="containsText" text="In progress">
      <formula>NOT(ISERROR(SEARCH("In progress",G421)))</formula>
    </cfRule>
    <cfRule type="containsText" dxfId="937" priority="194" operator="containsText" text="Complete">
      <formula>NOT(ISERROR(SEARCH("Complete",G421)))</formula>
    </cfRule>
    <cfRule type="containsText" dxfId="936" priority="195" operator="containsText" text="Outstanding">
      <formula>NOT(ISERROR(SEARCH("Outstanding",G421)))</formula>
    </cfRule>
  </conditionalFormatting>
  <conditionalFormatting sqref="G431:G432">
    <cfRule type="containsText" dxfId="935" priority="190" operator="containsText" text="In progress">
      <formula>NOT(ISERROR(SEARCH("In progress",G431)))</formula>
    </cfRule>
    <cfRule type="containsText" dxfId="934" priority="191" operator="containsText" text="Complete">
      <formula>NOT(ISERROR(SEARCH("Complete",G431)))</formula>
    </cfRule>
    <cfRule type="containsText" dxfId="933" priority="192" operator="containsText" text="Outstanding">
      <formula>NOT(ISERROR(SEARCH("Outstanding",G431)))</formula>
    </cfRule>
  </conditionalFormatting>
  <conditionalFormatting sqref="G440:G443">
    <cfRule type="containsText" dxfId="932" priority="187" operator="containsText" text="In progress">
      <formula>NOT(ISERROR(SEARCH("In progress",G440)))</formula>
    </cfRule>
    <cfRule type="containsText" dxfId="931" priority="188" operator="containsText" text="Complete">
      <formula>NOT(ISERROR(SEARCH("Complete",G440)))</formula>
    </cfRule>
    <cfRule type="containsText" dxfId="930" priority="189" operator="containsText" text="Outstanding">
      <formula>NOT(ISERROR(SEARCH("Outstanding",G440)))</formula>
    </cfRule>
  </conditionalFormatting>
  <conditionalFormatting sqref="G451:G452">
    <cfRule type="containsText" dxfId="929" priority="184" operator="containsText" text="In progress">
      <formula>NOT(ISERROR(SEARCH("In progress",G451)))</formula>
    </cfRule>
    <cfRule type="containsText" dxfId="928" priority="185" operator="containsText" text="Complete">
      <formula>NOT(ISERROR(SEARCH("Complete",G451)))</formula>
    </cfRule>
    <cfRule type="containsText" dxfId="927" priority="186" operator="containsText" text="Outstanding">
      <formula>NOT(ISERROR(SEARCH("Outstanding",G451)))</formula>
    </cfRule>
  </conditionalFormatting>
  <conditionalFormatting sqref="G460">
    <cfRule type="containsText" dxfId="926" priority="181" operator="containsText" text="In progress">
      <formula>NOT(ISERROR(SEARCH("In progress",G460)))</formula>
    </cfRule>
    <cfRule type="containsText" dxfId="925" priority="182" operator="containsText" text="Complete">
      <formula>NOT(ISERROR(SEARCH("Complete",G460)))</formula>
    </cfRule>
    <cfRule type="containsText" dxfId="924" priority="183" operator="containsText" text="Outstanding">
      <formula>NOT(ISERROR(SEARCH("Outstanding",G460)))</formula>
    </cfRule>
  </conditionalFormatting>
  <conditionalFormatting sqref="G430">
    <cfRule type="containsText" dxfId="923" priority="178" operator="containsText" text="In progress">
      <formula>NOT(ISERROR(SEARCH("In progress",G430)))</formula>
    </cfRule>
    <cfRule type="containsText" dxfId="922" priority="179" operator="containsText" text="Complete">
      <formula>NOT(ISERROR(SEARCH("Complete",G430)))</formula>
    </cfRule>
    <cfRule type="containsText" dxfId="921" priority="180" operator="containsText" text="Outstanding">
      <formula>NOT(ISERROR(SEARCH("Outstanding",G430)))</formula>
    </cfRule>
  </conditionalFormatting>
  <conditionalFormatting sqref="G461:G463">
    <cfRule type="containsText" dxfId="920" priority="175" operator="containsText" text="In progress">
      <formula>NOT(ISERROR(SEARCH("In progress",G461)))</formula>
    </cfRule>
    <cfRule type="containsText" dxfId="919" priority="176" operator="containsText" text="Complete">
      <formula>NOT(ISERROR(SEARCH("Complete",G461)))</formula>
    </cfRule>
    <cfRule type="containsText" dxfId="918" priority="177" operator="containsText" text="Outstanding">
      <formula>NOT(ISERROR(SEARCH("Outstanding",G461)))</formula>
    </cfRule>
  </conditionalFormatting>
  <conditionalFormatting sqref="G434:G438">
    <cfRule type="containsText" dxfId="917" priority="172" operator="containsText" text="In progress">
      <formula>NOT(ISERROR(SEARCH("In progress",G434)))</formula>
    </cfRule>
    <cfRule type="containsText" dxfId="916" priority="173" operator="containsText" text="Complete">
      <formula>NOT(ISERROR(SEARCH("Complete",G434)))</formula>
    </cfRule>
    <cfRule type="containsText" dxfId="915" priority="174" operator="containsText" text="Outstanding">
      <formula>NOT(ISERROR(SEARCH("Outstanding",G434)))</formula>
    </cfRule>
  </conditionalFormatting>
  <conditionalFormatting sqref="G439">
    <cfRule type="containsText" dxfId="914" priority="169" operator="containsText" text="In progress">
      <formula>NOT(ISERROR(SEARCH("In progress",G439)))</formula>
    </cfRule>
    <cfRule type="containsText" dxfId="913" priority="170" operator="containsText" text="Complete">
      <formula>NOT(ISERROR(SEARCH("Complete",G439)))</formula>
    </cfRule>
    <cfRule type="containsText" dxfId="912" priority="171" operator="containsText" text="Outstanding">
      <formula>NOT(ISERROR(SEARCH("Outstanding",G439)))</formula>
    </cfRule>
  </conditionalFormatting>
  <conditionalFormatting sqref="G445:G449">
    <cfRule type="containsText" dxfId="911" priority="166" operator="containsText" text="In progress">
      <formula>NOT(ISERROR(SEARCH("In progress",G445)))</formula>
    </cfRule>
    <cfRule type="containsText" dxfId="910" priority="167" operator="containsText" text="Complete">
      <formula>NOT(ISERROR(SEARCH("Complete",G445)))</formula>
    </cfRule>
    <cfRule type="containsText" dxfId="909" priority="168" operator="containsText" text="Outstanding">
      <formula>NOT(ISERROR(SEARCH("Outstanding",G445)))</formula>
    </cfRule>
  </conditionalFormatting>
  <conditionalFormatting sqref="G450">
    <cfRule type="containsText" dxfId="908" priority="163" operator="containsText" text="In progress">
      <formula>NOT(ISERROR(SEARCH("In progress",G450)))</formula>
    </cfRule>
    <cfRule type="containsText" dxfId="907" priority="164" operator="containsText" text="Complete">
      <formula>NOT(ISERROR(SEARCH("Complete",G450)))</formula>
    </cfRule>
    <cfRule type="containsText" dxfId="906" priority="165" operator="containsText" text="Outstanding">
      <formula>NOT(ISERROR(SEARCH("Outstanding",G450)))</formula>
    </cfRule>
  </conditionalFormatting>
  <conditionalFormatting sqref="G454:G458">
    <cfRule type="containsText" dxfId="905" priority="160" operator="containsText" text="In progress">
      <formula>NOT(ISERROR(SEARCH("In progress",G454)))</formula>
    </cfRule>
    <cfRule type="containsText" dxfId="904" priority="161" operator="containsText" text="Complete">
      <formula>NOT(ISERROR(SEARCH("Complete",G454)))</formula>
    </cfRule>
    <cfRule type="containsText" dxfId="903" priority="162" operator="containsText" text="Outstanding">
      <formula>NOT(ISERROR(SEARCH("Outstanding",G454)))</formula>
    </cfRule>
  </conditionalFormatting>
  <conditionalFormatting sqref="G459">
    <cfRule type="containsText" dxfId="902" priority="157" operator="containsText" text="In progress">
      <formula>NOT(ISERROR(SEARCH("In progress",G459)))</formula>
    </cfRule>
    <cfRule type="containsText" dxfId="901" priority="158" operator="containsText" text="Complete">
      <formula>NOT(ISERROR(SEARCH("Complete",G459)))</formula>
    </cfRule>
    <cfRule type="containsText" dxfId="900" priority="159" operator="containsText" text="Outstanding">
      <formula>NOT(ISERROR(SEARCH("Outstanding",G459)))</formula>
    </cfRule>
  </conditionalFormatting>
  <conditionalFormatting sqref="G465:G469">
    <cfRule type="containsText" dxfId="899" priority="154" operator="containsText" text="In progress">
      <formula>NOT(ISERROR(SEARCH("In progress",G465)))</formula>
    </cfRule>
    <cfRule type="containsText" dxfId="898" priority="155" operator="containsText" text="Complete">
      <formula>NOT(ISERROR(SEARCH("Complete",G465)))</formula>
    </cfRule>
    <cfRule type="containsText" dxfId="897" priority="156" operator="containsText" text="Outstanding">
      <formula>NOT(ISERROR(SEARCH("Outstanding",G465)))</formula>
    </cfRule>
  </conditionalFormatting>
  <conditionalFormatting sqref="G470">
    <cfRule type="containsText" dxfId="896" priority="151" operator="containsText" text="In progress">
      <formula>NOT(ISERROR(SEARCH("In progress",G470)))</formula>
    </cfRule>
    <cfRule type="containsText" dxfId="895" priority="152" operator="containsText" text="Complete">
      <formula>NOT(ISERROR(SEARCH("Complete",G470)))</formula>
    </cfRule>
    <cfRule type="containsText" dxfId="894" priority="153" operator="containsText" text="Outstanding">
      <formula>NOT(ISERROR(SEARCH("Outstanding",G470)))</formula>
    </cfRule>
  </conditionalFormatting>
  <conditionalFormatting sqref="G474:G478">
    <cfRule type="containsText" dxfId="893" priority="148" operator="containsText" text="In progress">
      <formula>NOT(ISERROR(SEARCH("In progress",G474)))</formula>
    </cfRule>
    <cfRule type="containsText" dxfId="892" priority="149" operator="containsText" text="Complete">
      <formula>NOT(ISERROR(SEARCH("Complete",G474)))</formula>
    </cfRule>
    <cfRule type="containsText" dxfId="891" priority="150" operator="containsText" text="Outstanding">
      <formula>NOT(ISERROR(SEARCH("Outstanding",G474)))</formula>
    </cfRule>
  </conditionalFormatting>
  <conditionalFormatting sqref="G479">
    <cfRule type="containsText" dxfId="890" priority="145" operator="containsText" text="In progress">
      <formula>NOT(ISERROR(SEARCH("In progress",G479)))</formula>
    </cfRule>
    <cfRule type="containsText" dxfId="889" priority="146" operator="containsText" text="Complete">
      <formula>NOT(ISERROR(SEARCH("Complete",G479)))</formula>
    </cfRule>
    <cfRule type="containsText" dxfId="888" priority="147" operator="containsText" text="Outstanding">
      <formula>NOT(ISERROR(SEARCH("Outstanding",G479)))</formula>
    </cfRule>
  </conditionalFormatting>
  <conditionalFormatting sqref="G485:G489">
    <cfRule type="containsText" dxfId="887" priority="142" operator="containsText" text="In progress">
      <formula>NOT(ISERROR(SEARCH("In progress",G485)))</formula>
    </cfRule>
    <cfRule type="containsText" dxfId="886" priority="143" operator="containsText" text="Complete">
      <formula>NOT(ISERROR(SEARCH("Complete",G485)))</formula>
    </cfRule>
    <cfRule type="containsText" dxfId="885" priority="144" operator="containsText" text="Outstanding">
      <formula>NOT(ISERROR(SEARCH("Outstanding",G485)))</formula>
    </cfRule>
  </conditionalFormatting>
  <conditionalFormatting sqref="G490">
    <cfRule type="containsText" dxfId="884" priority="139" operator="containsText" text="In progress">
      <formula>NOT(ISERROR(SEARCH("In progress",G490)))</formula>
    </cfRule>
    <cfRule type="containsText" dxfId="883" priority="140" operator="containsText" text="Complete">
      <formula>NOT(ISERROR(SEARCH("Complete",G490)))</formula>
    </cfRule>
    <cfRule type="containsText" dxfId="882" priority="141" operator="containsText" text="Outstanding">
      <formula>NOT(ISERROR(SEARCH("Outstanding",G490)))</formula>
    </cfRule>
  </conditionalFormatting>
  <conditionalFormatting sqref="G494:G498">
    <cfRule type="containsText" dxfId="881" priority="136" operator="containsText" text="In progress">
      <formula>NOT(ISERROR(SEARCH("In progress",G494)))</formula>
    </cfRule>
    <cfRule type="containsText" dxfId="880" priority="137" operator="containsText" text="Complete">
      <formula>NOT(ISERROR(SEARCH("Complete",G494)))</formula>
    </cfRule>
    <cfRule type="containsText" dxfId="879" priority="138" operator="containsText" text="Outstanding">
      <formula>NOT(ISERROR(SEARCH("Outstanding",G494)))</formula>
    </cfRule>
  </conditionalFormatting>
  <conditionalFormatting sqref="G499">
    <cfRule type="containsText" dxfId="878" priority="133" operator="containsText" text="In progress">
      <formula>NOT(ISERROR(SEARCH("In progress",G499)))</formula>
    </cfRule>
    <cfRule type="containsText" dxfId="877" priority="134" operator="containsText" text="Complete">
      <formula>NOT(ISERROR(SEARCH("Complete",G499)))</formula>
    </cfRule>
    <cfRule type="containsText" dxfId="876" priority="135" operator="containsText" text="Outstanding">
      <formula>NOT(ISERROR(SEARCH("Outstanding",G499)))</formula>
    </cfRule>
  </conditionalFormatting>
  <conditionalFormatting sqref="G270:G274">
    <cfRule type="containsText" dxfId="875" priority="109" operator="containsText" text="In progress">
      <formula>NOT(ISERROR(SEARCH("In progress",G270)))</formula>
    </cfRule>
    <cfRule type="containsText" dxfId="874" priority="110" operator="containsText" text="Complete">
      <formula>NOT(ISERROR(SEARCH("Complete",G270)))</formula>
    </cfRule>
    <cfRule type="containsText" dxfId="873" priority="111" operator="containsText" text="Outstanding">
      <formula>NOT(ISERROR(SEARCH("Outstanding",G270)))</formula>
    </cfRule>
  </conditionalFormatting>
  <conditionalFormatting sqref="G310:G314">
    <cfRule type="containsText" dxfId="872" priority="85" operator="containsText" text="In progress">
      <formula>NOT(ISERROR(SEARCH("In progress",G310)))</formula>
    </cfRule>
    <cfRule type="containsText" dxfId="871" priority="86" operator="containsText" text="Complete">
      <formula>NOT(ISERROR(SEARCH("Complete",G310)))</formula>
    </cfRule>
    <cfRule type="containsText" dxfId="870" priority="87" operator="containsText" text="Outstanding">
      <formula>NOT(ISERROR(SEARCH("Outstanding",G310)))</formula>
    </cfRule>
  </conditionalFormatting>
  <conditionalFormatting sqref="G306">
    <cfRule type="containsText" dxfId="869" priority="88" operator="containsText" text="In progress">
      <formula>NOT(ISERROR(SEARCH("In progress",G306)))</formula>
    </cfRule>
    <cfRule type="containsText" dxfId="868" priority="89" operator="containsText" text="Complete">
      <formula>NOT(ISERROR(SEARCH("Complete",G306)))</formula>
    </cfRule>
    <cfRule type="containsText" dxfId="867" priority="90" operator="containsText" text="Outstanding">
      <formula>NOT(ISERROR(SEARCH("Outstanding",G306)))</formula>
    </cfRule>
  </conditionalFormatting>
  <conditionalFormatting sqref="G301:G305">
    <cfRule type="containsText" dxfId="866" priority="91" operator="containsText" text="In progress">
      <formula>NOT(ISERROR(SEARCH("In progress",G301)))</formula>
    </cfRule>
    <cfRule type="containsText" dxfId="865" priority="92" operator="containsText" text="Complete">
      <formula>NOT(ISERROR(SEARCH("Complete",G301)))</formula>
    </cfRule>
    <cfRule type="containsText" dxfId="864" priority="93" operator="containsText" text="Outstanding">
      <formula>NOT(ISERROR(SEARCH("Outstanding",G301)))</formula>
    </cfRule>
  </conditionalFormatting>
  <conditionalFormatting sqref="G326">
    <cfRule type="containsText" dxfId="863" priority="76" operator="containsText" text="In progress">
      <formula>NOT(ISERROR(SEARCH("In progress",G326)))</formula>
    </cfRule>
    <cfRule type="containsText" dxfId="862" priority="77" operator="containsText" text="Complete">
      <formula>NOT(ISERROR(SEARCH("Complete",G326)))</formula>
    </cfRule>
    <cfRule type="containsText" dxfId="861" priority="78" operator="containsText" text="Outstanding">
      <formula>NOT(ISERROR(SEARCH("Outstanding",G326)))</formula>
    </cfRule>
  </conditionalFormatting>
  <conditionalFormatting sqref="G307 G257:G259 G316:G319 G261:G265 G327:G328">
    <cfRule type="containsText" dxfId="860" priority="130" operator="containsText" text="In progress">
      <formula>NOT(ISERROR(SEARCH("In progress",G257)))</formula>
    </cfRule>
    <cfRule type="containsText" dxfId="859" priority="131" operator="containsText" text="Complete">
      <formula>NOT(ISERROR(SEARCH("Complete",G257)))</formula>
    </cfRule>
    <cfRule type="containsText" dxfId="858" priority="132" operator="containsText" text="Outstanding">
      <formula>NOT(ISERROR(SEARCH("Outstanding",G257)))</formula>
    </cfRule>
  </conditionalFormatting>
  <conditionalFormatting sqref="G267:G268">
    <cfRule type="containsText" dxfId="857" priority="127" operator="containsText" text="In progress">
      <formula>NOT(ISERROR(SEARCH("In progress",G267)))</formula>
    </cfRule>
    <cfRule type="containsText" dxfId="856" priority="128" operator="containsText" text="Complete">
      <formula>NOT(ISERROR(SEARCH("Complete",G267)))</formula>
    </cfRule>
    <cfRule type="containsText" dxfId="855" priority="129" operator="containsText" text="Outstanding">
      <formula>NOT(ISERROR(SEARCH("Outstanding",G267)))</formula>
    </cfRule>
  </conditionalFormatting>
  <conditionalFormatting sqref="G276:G279">
    <cfRule type="containsText" dxfId="854" priority="124" operator="containsText" text="In progress">
      <formula>NOT(ISERROR(SEARCH("In progress",G276)))</formula>
    </cfRule>
    <cfRule type="containsText" dxfId="853" priority="125" operator="containsText" text="Complete">
      <formula>NOT(ISERROR(SEARCH("Complete",G276)))</formula>
    </cfRule>
    <cfRule type="containsText" dxfId="852" priority="126" operator="containsText" text="Outstanding">
      <formula>NOT(ISERROR(SEARCH("Outstanding",G276)))</formula>
    </cfRule>
  </conditionalFormatting>
  <conditionalFormatting sqref="G287:G288">
    <cfRule type="containsText" dxfId="851" priority="121" operator="containsText" text="In progress">
      <formula>NOT(ISERROR(SEARCH("In progress",G287)))</formula>
    </cfRule>
    <cfRule type="containsText" dxfId="850" priority="122" operator="containsText" text="Complete">
      <formula>NOT(ISERROR(SEARCH("Complete",G287)))</formula>
    </cfRule>
    <cfRule type="containsText" dxfId="849" priority="123" operator="containsText" text="Outstanding">
      <formula>NOT(ISERROR(SEARCH("Outstanding",G287)))</formula>
    </cfRule>
  </conditionalFormatting>
  <conditionalFormatting sqref="G296">
    <cfRule type="containsText" dxfId="848" priority="118" operator="containsText" text="In progress">
      <formula>NOT(ISERROR(SEARCH("In progress",G296)))</formula>
    </cfRule>
    <cfRule type="containsText" dxfId="847" priority="119" operator="containsText" text="Complete">
      <formula>NOT(ISERROR(SEARCH("Complete",G296)))</formula>
    </cfRule>
    <cfRule type="containsText" dxfId="846" priority="120" operator="containsText" text="Outstanding">
      <formula>NOT(ISERROR(SEARCH("Outstanding",G296)))</formula>
    </cfRule>
  </conditionalFormatting>
  <conditionalFormatting sqref="G266">
    <cfRule type="containsText" dxfId="845" priority="115" operator="containsText" text="In progress">
      <formula>NOT(ISERROR(SEARCH("In progress",G266)))</formula>
    </cfRule>
    <cfRule type="containsText" dxfId="844" priority="116" operator="containsText" text="Complete">
      <formula>NOT(ISERROR(SEARCH("Complete",G266)))</formula>
    </cfRule>
    <cfRule type="containsText" dxfId="843" priority="117" operator="containsText" text="Outstanding">
      <formula>NOT(ISERROR(SEARCH("Outstanding",G266)))</formula>
    </cfRule>
  </conditionalFormatting>
  <conditionalFormatting sqref="G297:G299">
    <cfRule type="containsText" dxfId="842" priority="112" operator="containsText" text="In progress">
      <formula>NOT(ISERROR(SEARCH("In progress",G297)))</formula>
    </cfRule>
    <cfRule type="containsText" dxfId="841" priority="113" operator="containsText" text="Complete">
      <formula>NOT(ISERROR(SEARCH("Complete",G297)))</formula>
    </cfRule>
    <cfRule type="containsText" dxfId="840" priority="114" operator="containsText" text="Outstanding">
      <formula>NOT(ISERROR(SEARCH("Outstanding",G297)))</formula>
    </cfRule>
  </conditionalFormatting>
  <conditionalFormatting sqref="G275">
    <cfRule type="containsText" dxfId="839" priority="106" operator="containsText" text="In progress">
      <formula>NOT(ISERROR(SEARCH("In progress",G275)))</formula>
    </cfRule>
    <cfRule type="containsText" dxfId="838" priority="107" operator="containsText" text="Complete">
      <formula>NOT(ISERROR(SEARCH("Complete",G275)))</formula>
    </cfRule>
    <cfRule type="containsText" dxfId="837" priority="108" operator="containsText" text="Outstanding">
      <formula>NOT(ISERROR(SEARCH("Outstanding",G275)))</formula>
    </cfRule>
  </conditionalFormatting>
  <conditionalFormatting sqref="G281:G285">
    <cfRule type="containsText" dxfId="836" priority="103" operator="containsText" text="In progress">
      <formula>NOT(ISERROR(SEARCH("In progress",G281)))</formula>
    </cfRule>
    <cfRule type="containsText" dxfId="835" priority="104" operator="containsText" text="Complete">
      <formula>NOT(ISERROR(SEARCH("Complete",G281)))</formula>
    </cfRule>
    <cfRule type="containsText" dxfId="834" priority="105" operator="containsText" text="Outstanding">
      <formula>NOT(ISERROR(SEARCH("Outstanding",G281)))</formula>
    </cfRule>
  </conditionalFormatting>
  <conditionalFormatting sqref="G286">
    <cfRule type="containsText" dxfId="833" priority="100" operator="containsText" text="In progress">
      <formula>NOT(ISERROR(SEARCH("In progress",G286)))</formula>
    </cfRule>
    <cfRule type="containsText" dxfId="832" priority="101" operator="containsText" text="Complete">
      <formula>NOT(ISERROR(SEARCH("Complete",G286)))</formula>
    </cfRule>
    <cfRule type="containsText" dxfId="831" priority="102" operator="containsText" text="Outstanding">
      <formula>NOT(ISERROR(SEARCH("Outstanding",G286)))</formula>
    </cfRule>
  </conditionalFormatting>
  <conditionalFormatting sqref="G290:G294">
    <cfRule type="containsText" dxfId="830" priority="97" operator="containsText" text="In progress">
      <formula>NOT(ISERROR(SEARCH("In progress",G290)))</formula>
    </cfRule>
    <cfRule type="containsText" dxfId="829" priority="98" operator="containsText" text="Complete">
      <formula>NOT(ISERROR(SEARCH("Complete",G290)))</formula>
    </cfRule>
    <cfRule type="containsText" dxfId="828" priority="99" operator="containsText" text="Outstanding">
      <formula>NOT(ISERROR(SEARCH("Outstanding",G290)))</formula>
    </cfRule>
  </conditionalFormatting>
  <conditionalFormatting sqref="G295">
    <cfRule type="containsText" dxfId="827" priority="94" operator="containsText" text="In progress">
      <formula>NOT(ISERROR(SEARCH("In progress",G295)))</formula>
    </cfRule>
    <cfRule type="containsText" dxfId="826" priority="95" operator="containsText" text="Complete">
      <formula>NOT(ISERROR(SEARCH("Complete",G295)))</formula>
    </cfRule>
    <cfRule type="containsText" dxfId="825" priority="96" operator="containsText" text="Outstanding">
      <formula>NOT(ISERROR(SEARCH("Outstanding",G295)))</formula>
    </cfRule>
  </conditionalFormatting>
  <conditionalFormatting sqref="G315">
    <cfRule type="containsText" dxfId="824" priority="82" operator="containsText" text="In progress">
      <formula>NOT(ISERROR(SEARCH("In progress",G315)))</formula>
    </cfRule>
    <cfRule type="containsText" dxfId="823" priority="83" operator="containsText" text="Complete">
      <formula>NOT(ISERROR(SEARCH("Complete",G315)))</formula>
    </cfRule>
    <cfRule type="containsText" dxfId="822" priority="84" operator="containsText" text="Outstanding">
      <formula>NOT(ISERROR(SEARCH("Outstanding",G315)))</formula>
    </cfRule>
  </conditionalFormatting>
  <conditionalFormatting sqref="G321:G325">
    <cfRule type="containsText" dxfId="821" priority="79" operator="containsText" text="In progress">
      <formula>NOT(ISERROR(SEARCH("In progress",G321)))</formula>
    </cfRule>
    <cfRule type="containsText" dxfId="820" priority="80" operator="containsText" text="Complete">
      <formula>NOT(ISERROR(SEARCH("Complete",G321)))</formula>
    </cfRule>
    <cfRule type="containsText" dxfId="819" priority="81" operator="containsText" text="Outstanding">
      <formula>NOT(ISERROR(SEARCH("Outstanding",G321)))</formula>
    </cfRule>
  </conditionalFormatting>
  <conditionalFormatting sqref="G330:G334">
    <cfRule type="containsText" dxfId="818" priority="73" operator="containsText" text="In progress">
      <formula>NOT(ISERROR(SEARCH("In progress",G330)))</formula>
    </cfRule>
    <cfRule type="containsText" dxfId="817" priority="74" operator="containsText" text="Complete">
      <formula>NOT(ISERROR(SEARCH("Complete",G330)))</formula>
    </cfRule>
    <cfRule type="containsText" dxfId="816" priority="75" operator="containsText" text="Outstanding">
      <formula>NOT(ISERROR(SEARCH("Outstanding",G330)))</formula>
    </cfRule>
  </conditionalFormatting>
  <conditionalFormatting sqref="G335">
    <cfRule type="containsText" dxfId="815" priority="70" operator="containsText" text="In progress">
      <formula>NOT(ISERROR(SEARCH("In progress",G335)))</formula>
    </cfRule>
    <cfRule type="containsText" dxfId="814" priority="71" operator="containsText" text="Complete">
      <formula>NOT(ISERROR(SEARCH("Complete",G335)))</formula>
    </cfRule>
    <cfRule type="containsText" dxfId="813" priority="72" operator="containsText" text="Outstanding">
      <formula>NOT(ISERROR(SEARCH("Outstanding",G335)))</formula>
    </cfRule>
  </conditionalFormatting>
  <conditionalFormatting sqref="G336:G338">
    <cfRule type="containsText" dxfId="812" priority="67" operator="containsText" text="In progress">
      <formula>NOT(ISERROR(SEARCH("In progress",G336)))</formula>
    </cfRule>
    <cfRule type="containsText" dxfId="811" priority="68" operator="containsText" text="Complete">
      <formula>NOT(ISERROR(SEARCH("Complete",G336)))</formula>
    </cfRule>
    <cfRule type="containsText" dxfId="810" priority="69" operator="containsText" text="Outstanding">
      <formula>NOT(ISERROR(SEARCH("Outstanding",G336)))</formula>
    </cfRule>
  </conditionalFormatting>
  <conditionalFormatting sqref="G596:G600">
    <cfRule type="containsText" dxfId="809" priority="43" operator="containsText" text="In progress">
      <formula>NOT(ISERROR(SEARCH("In progress",G596)))</formula>
    </cfRule>
    <cfRule type="containsText" dxfId="808" priority="44" operator="containsText" text="Complete">
      <formula>NOT(ISERROR(SEARCH("Complete",G596)))</formula>
    </cfRule>
    <cfRule type="containsText" dxfId="807" priority="45" operator="containsText" text="Outstanding">
      <formula>NOT(ISERROR(SEARCH("Outstanding",G596)))</formula>
    </cfRule>
  </conditionalFormatting>
  <conditionalFormatting sqref="G636:G640">
    <cfRule type="containsText" dxfId="806" priority="19" operator="containsText" text="In progress">
      <formula>NOT(ISERROR(SEARCH("In progress",G636)))</formula>
    </cfRule>
    <cfRule type="containsText" dxfId="805" priority="20" operator="containsText" text="Complete">
      <formula>NOT(ISERROR(SEARCH("Complete",G636)))</formula>
    </cfRule>
    <cfRule type="containsText" dxfId="804" priority="21" operator="containsText" text="Outstanding">
      <formula>NOT(ISERROR(SEARCH("Outstanding",G636)))</formula>
    </cfRule>
  </conditionalFormatting>
  <conditionalFormatting sqref="G632">
    <cfRule type="containsText" dxfId="803" priority="22" operator="containsText" text="In progress">
      <formula>NOT(ISERROR(SEARCH("In progress",G632)))</formula>
    </cfRule>
    <cfRule type="containsText" dxfId="802" priority="23" operator="containsText" text="Complete">
      <formula>NOT(ISERROR(SEARCH("Complete",G632)))</formula>
    </cfRule>
    <cfRule type="containsText" dxfId="801" priority="24" operator="containsText" text="Outstanding">
      <formula>NOT(ISERROR(SEARCH("Outstanding",G632)))</formula>
    </cfRule>
  </conditionalFormatting>
  <conditionalFormatting sqref="G627:G631">
    <cfRule type="containsText" dxfId="800" priority="25" operator="containsText" text="In progress">
      <formula>NOT(ISERROR(SEARCH("In progress",G627)))</formula>
    </cfRule>
    <cfRule type="containsText" dxfId="799" priority="26" operator="containsText" text="Complete">
      <formula>NOT(ISERROR(SEARCH("Complete",G627)))</formula>
    </cfRule>
    <cfRule type="containsText" dxfId="798" priority="27" operator="containsText" text="Outstanding">
      <formula>NOT(ISERROR(SEARCH("Outstanding",G627)))</formula>
    </cfRule>
  </conditionalFormatting>
  <conditionalFormatting sqref="G652">
    <cfRule type="containsText" dxfId="797" priority="10" operator="containsText" text="In progress">
      <formula>NOT(ISERROR(SEARCH("In progress",G652)))</formula>
    </cfRule>
    <cfRule type="containsText" dxfId="796" priority="11" operator="containsText" text="Complete">
      <formula>NOT(ISERROR(SEARCH("Complete",G652)))</formula>
    </cfRule>
    <cfRule type="containsText" dxfId="795" priority="12" operator="containsText" text="Outstanding">
      <formula>NOT(ISERROR(SEARCH("Outstanding",G652)))</formula>
    </cfRule>
  </conditionalFormatting>
  <conditionalFormatting sqref="G633 G583:G585 G642:G645 G587:G591 G653:G654">
    <cfRule type="containsText" dxfId="794" priority="64" operator="containsText" text="In progress">
      <formula>NOT(ISERROR(SEARCH("In progress",G583)))</formula>
    </cfRule>
    <cfRule type="containsText" dxfId="793" priority="65" operator="containsText" text="Complete">
      <formula>NOT(ISERROR(SEARCH("Complete",G583)))</formula>
    </cfRule>
    <cfRule type="containsText" dxfId="792" priority="66" operator="containsText" text="Outstanding">
      <formula>NOT(ISERROR(SEARCH("Outstanding",G583)))</formula>
    </cfRule>
  </conditionalFormatting>
  <conditionalFormatting sqref="G593:G594">
    <cfRule type="containsText" dxfId="791" priority="61" operator="containsText" text="In progress">
      <formula>NOT(ISERROR(SEARCH("In progress",G593)))</formula>
    </cfRule>
    <cfRule type="containsText" dxfId="790" priority="62" operator="containsText" text="Complete">
      <formula>NOT(ISERROR(SEARCH("Complete",G593)))</formula>
    </cfRule>
    <cfRule type="containsText" dxfId="789" priority="63" operator="containsText" text="Outstanding">
      <formula>NOT(ISERROR(SEARCH("Outstanding",G593)))</formula>
    </cfRule>
  </conditionalFormatting>
  <conditionalFormatting sqref="G602:G605">
    <cfRule type="containsText" dxfId="788" priority="58" operator="containsText" text="In progress">
      <formula>NOT(ISERROR(SEARCH("In progress",G602)))</formula>
    </cfRule>
    <cfRule type="containsText" dxfId="787" priority="59" operator="containsText" text="Complete">
      <formula>NOT(ISERROR(SEARCH("Complete",G602)))</formula>
    </cfRule>
    <cfRule type="containsText" dxfId="786" priority="60" operator="containsText" text="Outstanding">
      <formula>NOT(ISERROR(SEARCH("Outstanding",G602)))</formula>
    </cfRule>
  </conditionalFormatting>
  <conditionalFormatting sqref="G613:G614">
    <cfRule type="containsText" dxfId="785" priority="55" operator="containsText" text="In progress">
      <formula>NOT(ISERROR(SEARCH("In progress",G613)))</formula>
    </cfRule>
    <cfRule type="containsText" dxfId="784" priority="56" operator="containsText" text="Complete">
      <formula>NOT(ISERROR(SEARCH("Complete",G613)))</formula>
    </cfRule>
    <cfRule type="containsText" dxfId="783" priority="57" operator="containsText" text="Outstanding">
      <formula>NOT(ISERROR(SEARCH("Outstanding",G613)))</formula>
    </cfRule>
  </conditionalFormatting>
  <conditionalFormatting sqref="G622">
    <cfRule type="containsText" dxfId="782" priority="52" operator="containsText" text="In progress">
      <formula>NOT(ISERROR(SEARCH("In progress",G622)))</formula>
    </cfRule>
    <cfRule type="containsText" dxfId="781" priority="53" operator="containsText" text="Complete">
      <formula>NOT(ISERROR(SEARCH("Complete",G622)))</formula>
    </cfRule>
    <cfRule type="containsText" dxfId="780" priority="54" operator="containsText" text="Outstanding">
      <formula>NOT(ISERROR(SEARCH("Outstanding",G622)))</formula>
    </cfRule>
  </conditionalFormatting>
  <conditionalFormatting sqref="G592">
    <cfRule type="containsText" dxfId="779" priority="49" operator="containsText" text="In progress">
      <formula>NOT(ISERROR(SEARCH("In progress",G592)))</formula>
    </cfRule>
    <cfRule type="containsText" dxfId="778" priority="50" operator="containsText" text="Complete">
      <formula>NOT(ISERROR(SEARCH("Complete",G592)))</formula>
    </cfRule>
    <cfRule type="containsText" dxfId="777" priority="51" operator="containsText" text="Outstanding">
      <formula>NOT(ISERROR(SEARCH("Outstanding",G592)))</formula>
    </cfRule>
  </conditionalFormatting>
  <conditionalFormatting sqref="G623:G625">
    <cfRule type="containsText" dxfId="776" priority="46" operator="containsText" text="In progress">
      <formula>NOT(ISERROR(SEARCH("In progress",G623)))</formula>
    </cfRule>
    <cfRule type="containsText" dxfId="775" priority="47" operator="containsText" text="Complete">
      <formula>NOT(ISERROR(SEARCH("Complete",G623)))</formula>
    </cfRule>
    <cfRule type="containsText" dxfId="774" priority="48" operator="containsText" text="Outstanding">
      <formula>NOT(ISERROR(SEARCH("Outstanding",G623)))</formula>
    </cfRule>
  </conditionalFormatting>
  <conditionalFormatting sqref="G601">
    <cfRule type="containsText" dxfId="773" priority="40" operator="containsText" text="In progress">
      <formula>NOT(ISERROR(SEARCH("In progress",G601)))</formula>
    </cfRule>
    <cfRule type="containsText" dxfId="772" priority="41" operator="containsText" text="Complete">
      <formula>NOT(ISERROR(SEARCH("Complete",G601)))</formula>
    </cfRule>
    <cfRule type="containsText" dxfId="771" priority="42" operator="containsText" text="Outstanding">
      <formula>NOT(ISERROR(SEARCH("Outstanding",G601)))</formula>
    </cfRule>
  </conditionalFormatting>
  <conditionalFormatting sqref="G607:G611">
    <cfRule type="containsText" dxfId="770" priority="37" operator="containsText" text="In progress">
      <formula>NOT(ISERROR(SEARCH("In progress",G607)))</formula>
    </cfRule>
    <cfRule type="containsText" dxfId="769" priority="38" operator="containsText" text="Complete">
      <formula>NOT(ISERROR(SEARCH("Complete",G607)))</formula>
    </cfRule>
    <cfRule type="containsText" dxfId="768" priority="39" operator="containsText" text="Outstanding">
      <formula>NOT(ISERROR(SEARCH("Outstanding",G607)))</formula>
    </cfRule>
  </conditionalFormatting>
  <conditionalFormatting sqref="G612">
    <cfRule type="containsText" dxfId="767" priority="34" operator="containsText" text="In progress">
      <formula>NOT(ISERROR(SEARCH("In progress",G612)))</formula>
    </cfRule>
    <cfRule type="containsText" dxfId="766" priority="35" operator="containsText" text="Complete">
      <formula>NOT(ISERROR(SEARCH("Complete",G612)))</formula>
    </cfRule>
    <cfRule type="containsText" dxfId="765" priority="36" operator="containsText" text="Outstanding">
      <formula>NOT(ISERROR(SEARCH("Outstanding",G612)))</formula>
    </cfRule>
  </conditionalFormatting>
  <conditionalFormatting sqref="G616:G620">
    <cfRule type="containsText" dxfId="764" priority="31" operator="containsText" text="In progress">
      <formula>NOT(ISERROR(SEARCH("In progress",G616)))</formula>
    </cfRule>
    <cfRule type="containsText" dxfId="763" priority="32" operator="containsText" text="Complete">
      <formula>NOT(ISERROR(SEARCH("Complete",G616)))</formula>
    </cfRule>
    <cfRule type="containsText" dxfId="762" priority="33" operator="containsText" text="Outstanding">
      <formula>NOT(ISERROR(SEARCH("Outstanding",G616)))</formula>
    </cfRule>
  </conditionalFormatting>
  <conditionalFormatting sqref="G621">
    <cfRule type="containsText" dxfId="761" priority="28" operator="containsText" text="In progress">
      <formula>NOT(ISERROR(SEARCH("In progress",G621)))</formula>
    </cfRule>
    <cfRule type="containsText" dxfId="760" priority="29" operator="containsText" text="Complete">
      <formula>NOT(ISERROR(SEARCH("Complete",G621)))</formula>
    </cfRule>
    <cfRule type="containsText" dxfId="759" priority="30" operator="containsText" text="Outstanding">
      <formula>NOT(ISERROR(SEARCH("Outstanding",G621)))</formula>
    </cfRule>
  </conditionalFormatting>
  <conditionalFormatting sqref="G641">
    <cfRule type="containsText" dxfId="758" priority="16" operator="containsText" text="In progress">
      <formula>NOT(ISERROR(SEARCH("In progress",G641)))</formula>
    </cfRule>
    <cfRule type="containsText" dxfId="757" priority="17" operator="containsText" text="Complete">
      <formula>NOT(ISERROR(SEARCH("Complete",G641)))</formula>
    </cfRule>
    <cfRule type="containsText" dxfId="756" priority="18" operator="containsText" text="Outstanding">
      <formula>NOT(ISERROR(SEARCH("Outstanding",G641)))</formula>
    </cfRule>
  </conditionalFormatting>
  <conditionalFormatting sqref="G647:G651">
    <cfRule type="containsText" dxfId="755" priority="13" operator="containsText" text="In progress">
      <formula>NOT(ISERROR(SEARCH("In progress",G647)))</formula>
    </cfRule>
    <cfRule type="containsText" dxfId="754" priority="14" operator="containsText" text="Complete">
      <formula>NOT(ISERROR(SEARCH("Complete",G647)))</formula>
    </cfRule>
    <cfRule type="containsText" dxfId="753" priority="15" operator="containsText" text="Outstanding">
      <formula>NOT(ISERROR(SEARCH("Outstanding",G647)))</formula>
    </cfRule>
  </conditionalFormatting>
  <conditionalFormatting sqref="G656:G660">
    <cfRule type="containsText" dxfId="752" priority="7" operator="containsText" text="In progress">
      <formula>NOT(ISERROR(SEARCH("In progress",G656)))</formula>
    </cfRule>
    <cfRule type="containsText" dxfId="751" priority="8" operator="containsText" text="Complete">
      <formula>NOT(ISERROR(SEARCH("Complete",G656)))</formula>
    </cfRule>
    <cfRule type="containsText" dxfId="750" priority="9" operator="containsText" text="Outstanding">
      <formula>NOT(ISERROR(SEARCH("Outstanding",G656)))</formula>
    </cfRule>
  </conditionalFormatting>
  <conditionalFormatting sqref="G661">
    <cfRule type="containsText" dxfId="749" priority="4" operator="containsText" text="In progress">
      <formula>NOT(ISERROR(SEARCH("In progress",G661)))</formula>
    </cfRule>
    <cfRule type="containsText" dxfId="748" priority="5" operator="containsText" text="Complete">
      <formula>NOT(ISERROR(SEARCH("Complete",G661)))</formula>
    </cfRule>
    <cfRule type="containsText" dxfId="747" priority="6" operator="containsText" text="Outstanding">
      <formula>NOT(ISERROR(SEARCH("Outstanding",G661)))</formula>
    </cfRule>
  </conditionalFormatting>
  <conditionalFormatting sqref="G662:G664">
    <cfRule type="containsText" dxfId="746" priority="1" operator="containsText" text="In progress">
      <formula>NOT(ISERROR(SEARCH("In progress",G662)))</formula>
    </cfRule>
    <cfRule type="containsText" dxfId="745" priority="2" operator="containsText" text="Complete">
      <formula>NOT(ISERROR(SEARCH("Complete",G662)))</formula>
    </cfRule>
    <cfRule type="containsText" dxfId="744" priority="3" operator="containsText" text="Outstanding">
      <formula>NOT(ISERROR(SEARCH("Outstanding",G662)))</formula>
    </cfRule>
  </conditionalFormatting>
  <pageMargins left="0.7" right="0.7" top="0.75" bottom="0.75" header="0.3" footer="0.3"/>
  <pageSetup paperSize="256"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CB30B-01F0-40CA-B326-2698AA4F7904}">
  <dimension ref="B2:AI417"/>
  <sheetViews>
    <sheetView workbookViewId="0"/>
  </sheetViews>
  <sheetFormatPr defaultColWidth="9.140625" defaultRowHeight="15" outlineLevelRow="1" x14ac:dyDescent="0.25"/>
  <cols>
    <col min="1" max="1" width="3.7109375" style="1" customWidth="1"/>
    <col min="2" max="2" width="31.7109375" style="1" customWidth="1"/>
    <col min="3" max="3" width="25.85546875" style="1" bestFit="1" customWidth="1"/>
    <col min="4" max="32" width="12.7109375" style="1" customWidth="1"/>
    <col min="33" max="33" width="9.140625" style="1"/>
    <col min="34" max="34" width="15" style="1" bestFit="1" customWidth="1"/>
    <col min="35" max="16384" width="9.140625" style="1"/>
  </cols>
  <sheetData>
    <row r="2" spans="2:34" x14ac:dyDescent="0.25">
      <c r="B2" s="3" t="s">
        <v>0</v>
      </c>
      <c r="C2" s="8" t="str">
        <f>'Global Inputs'!C2</f>
        <v>UC Berkeley</v>
      </c>
      <c r="F2" s="6" t="s">
        <v>2</v>
      </c>
    </row>
    <row r="3" spans="2:34" x14ac:dyDescent="0.25">
      <c r="B3" s="3" t="s">
        <v>3</v>
      </c>
      <c r="C3" s="8" t="str">
        <f>'Global Inputs'!C3</f>
        <v>Campus energy study update</v>
      </c>
      <c r="F3" s="8" t="s">
        <v>5</v>
      </c>
    </row>
    <row r="4" spans="2:34" x14ac:dyDescent="0.25">
      <c r="B4" s="3" t="s">
        <v>6</v>
      </c>
      <c r="C4" s="8">
        <f>'Global Inputs'!C4</f>
        <v>267147</v>
      </c>
      <c r="F4" s="7" t="s">
        <v>7</v>
      </c>
    </row>
    <row r="5" spans="2:34" x14ac:dyDescent="0.25">
      <c r="B5" s="3"/>
      <c r="C5" s="3"/>
      <c r="F5" s="4" t="s">
        <v>8</v>
      </c>
    </row>
    <row r="6" spans="2:34" x14ac:dyDescent="0.25">
      <c r="B6" s="3"/>
      <c r="C6" s="3"/>
      <c r="F6" s="15" t="s">
        <v>9</v>
      </c>
    </row>
    <row r="7" spans="2:34" x14ac:dyDescent="0.25">
      <c r="B7" s="3"/>
      <c r="C7" s="3"/>
    </row>
    <row r="8" spans="2:34" ht="23.25" x14ac:dyDescent="0.35">
      <c r="B8" s="2" t="s">
        <v>275</v>
      </c>
      <c r="C8" s="2"/>
      <c r="D8" s="5"/>
      <c r="E8" s="5"/>
      <c r="F8" s="5"/>
      <c r="H8" s="5"/>
      <c r="I8" s="5"/>
      <c r="J8" s="5"/>
    </row>
    <row r="9" spans="2:34" x14ac:dyDescent="0.25">
      <c r="B9" s="3"/>
      <c r="C9" s="3"/>
    </row>
    <row r="11" spans="2:34" ht="20.25" thickBot="1" x14ac:dyDescent="0.35">
      <c r="B11" s="18" t="s">
        <v>276</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row>
    <row r="12" spans="2:34" ht="18" hidden="1" outlineLevel="1" thickTop="1" thickBot="1" x14ac:dyDescent="0.3">
      <c r="B12" s="26" t="s">
        <v>277</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19"/>
      <c r="AH12" s="19"/>
    </row>
    <row r="13" spans="2:34" ht="16.5" hidden="1" outlineLevel="1" thickTop="1" thickBot="1" x14ac:dyDescent="0.3">
      <c r="B13" s="28" t="s">
        <v>278</v>
      </c>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0"/>
      <c r="AH13" s="20" t="s">
        <v>15</v>
      </c>
    </row>
    <row r="14" spans="2:34" customFormat="1" hidden="1" outlineLevel="1" x14ac:dyDescent="0.25">
      <c r="B14" s="30"/>
      <c r="C14" s="17">
        <v>2025</v>
      </c>
      <c r="D14" s="44">
        <v>2026</v>
      </c>
      <c r="E14" s="44">
        <v>2027</v>
      </c>
      <c r="F14" s="44">
        <v>2028</v>
      </c>
      <c r="G14" s="44">
        <v>2029</v>
      </c>
      <c r="H14" s="44">
        <v>2030</v>
      </c>
      <c r="I14" s="44">
        <v>2031</v>
      </c>
      <c r="J14" s="44">
        <v>2032</v>
      </c>
      <c r="K14" s="44">
        <v>2033</v>
      </c>
      <c r="L14" s="44">
        <v>2034</v>
      </c>
      <c r="M14" s="44">
        <v>2035</v>
      </c>
      <c r="N14" s="44">
        <v>2036</v>
      </c>
      <c r="O14" s="44">
        <v>2037</v>
      </c>
      <c r="P14" s="44">
        <v>2038</v>
      </c>
      <c r="Q14" s="44">
        <v>2039</v>
      </c>
      <c r="R14" s="44">
        <v>2040</v>
      </c>
      <c r="S14" s="44">
        <v>2041</v>
      </c>
      <c r="T14" s="44">
        <v>2042</v>
      </c>
      <c r="U14" s="44">
        <v>2043</v>
      </c>
      <c r="V14" s="44">
        <v>2044</v>
      </c>
      <c r="W14" s="44">
        <v>2045</v>
      </c>
      <c r="X14" s="44">
        <v>2046</v>
      </c>
      <c r="Y14" s="44">
        <v>2047</v>
      </c>
      <c r="Z14" s="44">
        <v>2048</v>
      </c>
      <c r="AA14" s="44">
        <v>2049</v>
      </c>
      <c r="AB14" s="44">
        <v>2050</v>
      </c>
      <c r="AC14" s="44">
        <v>2051</v>
      </c>
      <c r="AD14" s="44">
        <v>2052</v>
      </c>
      <c r="AE14" s="44">
        <v>2053</v>
      </c>
      <c r="AF14" s="44">
        <v>2054</v>
      </c>
    </row>
    <row r="15" spans="2:34" hidden="1" outlineLevel="1" x14ac:dyDescent="0.25">
      <c r="B15" s="31" t="s">
        <v>144</v>
      </c>
      <c r="C15" s="79">
        <f>'Core Loads'!C15</f>
        <v>0</v>
      </c>
      <c r="D15" s="79">
        <f>'Core Loads'!D15</f>
        <v>0</v>
      </c>
      <c r="E15" s="79">
        <f>'Core Loads'!E15</f>
        <v>0</v>
      </c>
      <c r="F15" s="79">
        <f>'Core Loads'!F15</f>
        <v>0</v>
      </c>
      <c r="G15" s="79">
        <f>'Core Loads'!G15</f>
        <v>0</v>
      </c>
      <c r="H15" s="79">
        <f>'Core Loads'!H15</f>
        <v>0</v>
      </c>
      <c r="I15" s="79">
        <f>'Core Loads'!I15</f>
        <v>0</v>
      </c>
      <c r="J15" s="79">
        <f>'Core Loads'!J15</f>
        <v>0</v>
      </c>
      <c r="K15" s="79">
        <f>'Core Loads'!K15</f>
        <v>0</v>
      </c>
      <c r="L15" s="79">
        <f>'Core Loads'!L15</f>
        <v>0</v>
      </c>
      <c r="M15" s="79">
        <f>'Core Loads'!M15</f>
        <v>0</v>
      </c>
      <c r="N15" s="79">
        <f>'Core Loads'!N15</f>
        <v>0</v>
      </c>
      <c r="O15" s="79">
        <f>'Core Loads'!O15</f>
        <v>0</v>
      </c>
      <c r="P15" s="79">
        <f>'Core Loads'!P15</f>
        <v>0</v>
      </c>
      <c r="Q15" s="79">
        <f>'Core Loads'!Q15</f>
        <v>0</v>
      </c>
      <c r="R15" s="79">
        <f>'Core Loads'!R15</f>
        <v>0</v>
      </c>
      <c r="S15" s="79">
        <f>'Core Loads'!S15</f>
        <v>0</v>
      </c>
      <c r="T15" s="79">
        <f>'Core Loads'!T15</f>
        <v>0</v>
      </c>
      <c r="U15" s="79">
        <f>'Core Loads'!U15</f>
        <v>0</v>
      </c>
      <c r="V15" s="79">
        <f>'Core Loads'!V15</f>
        <v>0</v>
      </c>
      <c r="W15" s="79">
        <f>'Core Loads'!W15</f>
        <v>0</v>
      </c>
      <c r="X15" s="79">
        <f>'Core Loads'!X15</f>
        <v>0</v>
      </c>
      <c r="Y15" s="79">
        <f>'Core Loads'!Y15</f>
        <v>0</v>
      </c>
      <c r="Z15" s="79">
        <f>'Core Loads'!Z15</f>
        <v>0</v>
      </c>
      <c r="AA15" s="79">
        <f>'Core Loads'!AA15</f>
        <v>0</v>
      </c>
      <c r="AB15" s="79">
        <f>'Core Loads'!AB15</f>
        <v>0</v>
      </c>
      <c r="AC15" s="79">
        <f>'Core Loads'!AC15</f>
        <v>0</v>
      </c>
      <c r="AD15" s="79">
        <f>'Core Loads'!AD15</f>
        <v>0</v>
      </c>
      <c r="AE15" s="79">
        <f>'Core Loads'!AE15</f>
        <v>0</v>
      </c>
      <c r="AF15" s="79">
        <f>'Core Loads'!AF15</f>
        <v>0</v>
      </c>
      <c r="AG15"/>
      <c r="AH15" s="17" t="s">
        <v>279</v>
      </c>
    </row>
    <row r="16" spans="2:34" hidden="1" outlineLevel="1" x14ac:dyDescent="0.25">
      <c r="B16" s="31" t="s">
        <v>145</v>
      </c>
      <c r="C16" s="79">
        <f>'Core Loads'!C16</f>
        <v>15277743.907373067</v>
      </c>
      <c r="D16" s="79">
        <f>'Core Loads'!D16</f>
        <v>15770486.74488374</v>
      </c>
      <c r="E16" s="79">
        <f>'Core Loads'!E16</f>
        <v>15770486.74488374</v>
      </c>
      <c r="F16" s="79">
        <f>'Core Loads'!F16</f>
        <v>15770486.74488374</v>
      </c>
      <c r="G16" s="79">
        <f>'Core Loads'!G16</f>
        <v>15770486.74488374</v>
      </c>
      <c r="H16" s="79">
        <f>'Core Loads'!H16</f>
        <v>0</v>
      </c>
      <c r="I16" s="79">
        <f>'Core Loads'!I16</f>
        <v>0</v>
      </c>
      <c r="J16" s="79">
        <f>'Core Loads'!J16</f>
        <v>0</v>
      </c>
      <c r="K16" s="79">
        <f>'Core Loads'!K16</f>
        <v>0</v>
      </c>
      <c r="L16" s="79">
        <f>'Core Loads'!L16</f>
        <v>0</v>
      </c>
      <c r="M16" s="79">
        <f>'Core Loads'!M16</f>
        <v>0</v>
      </c>
      <c r="N16" s="79">
        <f>'Core Loads'!N16</f>
        <v>0</v>
      </c>
      <c r="O16" s="79">
        <f>'Core Loads'!O16</f>
        <v>0</v>
      </c>
      <c r="P16" s="79">
        <f>'Core Loads'!P16</f>
        <v>0</v>
      </c>
      <c r="Q16" s="79">
        <f>'Core Loads'!Q16</f>
        <v>0</v>
      </c>
      <c r="R16" s="79">
        <f>'Core Loads'!R16</f>
        <v>0</v>
      </c>
      <c r="S16" s="79">
        <f>'Core Loads'!S16</f>
        <v>0</v>
      </c>
      <c r="T16" s="79">
        <f>'Core Loads'!T16</f>
        <v>0</v>
      </c>
      <c r="U16" s="79">
        <f>'Core Loads'!U16</f>
        <v>0</v>
      </c>
      <c r="V16" s="79">
        <f>'Core Loads'!V16</f>
        <v>0</v>
      </c>
      <c r="W16" s="79">
        <f>'Core Loads'!W16</f>
        <v>0</v>
      </c>
      <c r="X16" s="79">
        <f>'Core Loads'!X16</f>
        <v>0</v>
      </c>
      <c r="Y16" s="79">
        <f>'Core Loads'!Y16</f>
        <v>0</v>
      </c>
      <c r="Z16" s="79">
        <f>'Core Loads'!Z16</f>
        <v>0</v>
      </c>
      <c r="AA16" s="79">
        <f>'Core Loads'!AA16</f>
        <v>0</v>
      </c>
      <c r="AB16" s="79">
        <f>'Core Loads'!AB16</f>
        <v>0</v>
      </c>
      <c r="AC16" s="79">
        <f>'Core Loads'!AC16</f>
        <v>0</v>
      </c>
      <c r="AD16" s="79">
        <f>'Core Loads'!AD16</f>
        <v>0</v>
      </c>
      <c r="AE16" s="79">
        <f>'Core Loads'!AE16</f>
        <v>0</v>
      </c>
      <c r="AF16" s="79">
        <f>'Core Loads'!AF16</f>
        <v>0</v>
      </c>
      <c r="AG16"/>
      <c r="AH16" s="17" t="s">
        <v>279</v>
      </c>
    </row>
    <row r="17" spans="2:35" hidden="1" outlineLevel="1" x14ac:dyDescent="0.25">
      <c r="B17" s="31" t="s">
        <v>244</v>
      </c>
      <c r="C17" s="79">
        <f>'Core Loads'!C17</f>
        <v>74467327.643795222</v>
      </c>
      <c r="D17" s="79">
        <f>'Core Loads'!D17</f>
        <v>74467327.643795222</v>
      </c>
      <c r="E17" s="79">
        <f>'Core Loads'!E17</f>
        <v>7302984.6975087123</v>
      </c>
      <c r="F17" s="79">
        <f>'Core Loads'!F17</f>
        <v>7353817.5781287132</v>
      </c>
      <c r="G17" s="79">
        <f>'Core Loads'!G17</f>
        <v>7353817.5781287132</v>
      </c>
      <c r="H17" s="79">
        <f>'Core Loads'!H17</f>
        <v>0</v>
      </c>
      <c r="I17" s="79">
        <f>'Core Loads'!I17</f>
        <v>0</v>
      </c>
      <c r="J17" s="79">
        <f>'Core Loads'!J17</f>
        <v>0</v>
      </c>
      <c r="K17" s="79">
        <f>'Core Loads'!K17</f>
        <v>0</v>
      </c>
      <c r="L17" s="79">
        <f>'Core Loads'!L17</f>
        <v>0</v>
      </c>
      <c r="M17" s="79">
        <f>'Core Loads'!M17</f>
        <v>0</v>
      </c>
      <c r="N17" s="79">
        <f>'Core Loads'!N17</f>
        <v>0</v>
      </c>
      <c r="O17" s="79">
        <f>'Core Loads'!O17</f>
        <v>0</v>
      </c>
      <c r="P17" s="79">
        <f>'Core Loads'!P17</f>
        <v>0</v>
      </c>
      <c r="Q17" s="79">
        <f>'Core Loads'!Q17</f>
        <v>0</v>
      </c>
      <c r="R17" s="79">
        <f>'Core Loads'!R17</f>
        <v>0</v>
      </c>
      <c r="S17" s="79">
        <f>'Core Loads'!S17</f>
        <v>0</v>
      </c>
      <c r="T17" s="79">
        <f>'Core Loads'!T17</f>
        <v>0</v>
      </c>
      <c r="U17" s="79">
        <f>'Core Loads'!U17</f>
        <v>0</v>
      </c>
      <c r="V17" s="79">
        <f>'Core Loads'!V17</f>
        <v>0</v>
      </c>
      <c r="W17" s="79">
        <f>'Core Loads'!W17</f>
        <v>0</v>
      </c>
      <c r="X17" s="79">
        <f>'Core Loads'!X17</f>
        <v>0</v>
      </c>
      <c r="Y17" s="79">
        <f>'Core Loads'!Y17</f>
        <v>0</v>
      </c>
      <c r="Z17" s="79">
        <f>'Core Loads'!Z17</f>
        <v>0</v>
      </c>
      <c r="AA17" s="79">
        <f>'Core Loads'!AA17</f>
        <v>0</v>
      </c>
      <c r="AB17" s="79">
        <f>'Core Loads'!AB17</f>
        <v>0</v>
      </c>
      <c r="AC17" s="79">
        <f>'Core Loads'!AC17</f>
        <v>0</v>
      </c>
      <c r="AD17" s="79">
        <f>'Core Loads'!AD17</f>
        <v>0</v>
      </c>
      <c r="AE17" s="79">
        <f>'Core Loads'!AE17</f>
        <v>0</v>
      </c>
      <c r="AF17" s="79">
        <f>'Core Loads'!AF17</f>
        <v>0</v>
      </c>
      <c r="AG17"/>
      <c r="AH17" s="17" t="s">
        <v>279</v>
      </c>
    </row>
    <row r="18" spans="2:35" hidden="1" outlineLevel="1" x14ac:dyDescent="0.25">
      <c r="B18" s="31" t="s">
        <v>147</v>
      </c>
      <c r="C18" s="79">
        <f>'Core Loads'!C18</f>
        <v>0</v>
      </c>
      <c r="D18" s="79">
        <f>'Core Loads'!D18</f>
        <v>0</v>
      </c>
      <c r="E18" s="79">
        <f>'Core Loads'!E18</f>
        <v>0</v>
      </c>
      <c r="F18" s="79">
        <f>'Core Loads'!F18</f>
        <v>0</v>
      </c>
      <c r="G18" s="79">
        <f>'Core Loads'!G18</f>
        <v>0</v>
      </c>
      <c r="H18" s="79">
        <f>'Core Loads'!H18</f>
        <v>0</v>
      </c>
      <c r="I18" s="79">
        <f>'Core Loads'!I18</f>
        <v>0</v>
      </c>
      <c r="J18" s="79">
        <f>'Core Loads'!J18</f>
        <v>0</v>
      </c>
      <c r="K18" s="79">
        <f>'Core Loads'!K18</f>
        <v>0</v>
      </c>
      <c r="L18" s="79">
        <f>'Core Loads'!L18</f>
        <v>0</v>
      </c>
      <c r="M18" s="79">
        <f>'Core Loads'!M18</f>
        <v>0</v>
      </c>
      <c r="N18" s="79">
        <f>'Core Loads'!N18</f>
        <v>0</v>
      </c>
      <c r="O18" s="79">
        <f>'Core Loads'!O18</f>
        <v>0</v>
      </c>
      <c r="P18" s="79">
        <f>'Core Loads'!P18</f>
        <v>0</v>
      </c>
      <c r="Q18" s="79">
        <f>'Core Loads'!Q18</f>
        <v>0</v>
      </c>
      <c r="R18" s="79">
        <f>'Core Loads'!R18</f>
        <v>0</v>
      </c>
      <c r="S18" s="79">
        <f>'Core Loads'!S18</f>
        <v>0</v>
      </c>
      <c r="T18" s="79">
        <f>'Core Loads'!T18</f>
        <v>0</v>
      </c>
      <c r="U18" s="79">
        <f>'Core Loads'!U18</f>
        <v>0</v>
      </c>
      <c r="V18" s="79">
        <f>'Core Loads'!V18</f>
        <v>0</v>
      </c>
      <c r="W18" s="79">
        <f>'Core Loads'!W18</f>
        <v>0</v>
      </c>
      <c r="X18" s="79">
        <f>'Core Loads'!X18</f>
        <v>0</v>
      </c>
      <c r="Y18" s="79">
        <f>'Core Loads'!Y18</f>
        <v>0</v>
      </c>
      <c r="Z18" s="79">
        <f>'Core Loads'!Z18</f>
        <v>0</v>
      </c>
      <c r="AA18" s="79">
        <f>'Core Loads'!AA18</f>
        <v>0</v>
      </c>
      <c r="AB18" s="79">
        <f>'Core Loads'!AB18</f>
        <v>0</v>
      </c>
      <c r="AC18" s="79">
        <f>'Core Loads'!AC18</f>
        <v>0</v>
      </c>
      <c r="AD18" s="79">
        <f>'Core Loads'!AD18</f>
        <v>0</v>
      </c>
      <c r="AE18" s="79">
        <f>'Core Loads'!AE18</f>
        <v>0</v>
      </c>
      <c r="AF18" s="79">
        <f>'Core Loads'!AF18</f>
        <v>0</v>
      </c>
      <c r="AG18"/>
      <c r="AH18" s="17" t="s">
        <v>279</v>
      </c>
    </row>
    <row r="19" spans="2:35" hidden="1" outlineLevel="1" x14ac:dyDescent="0.25">
      <c r="B19" s="31" t="s">
        <v>245</v>
      </c>
      <c r="C19" s="79">
        <f>'Core Loads'!C19</f>
        <v>5531260.8599999994</v>
      </c>
      <c r="D19" s="79">
        <f>'Core Loads'!D19</f>
        <v>5531260.8599999994</v>
      </c>
      <c r="E19" s="79">
        <f>'Core Loads'!E19</f>
        <v>5531260.8599999994</v>
      </c>
      <c r="F19" s="79">
        <f>'Core Loads'!F19</f>
        <v>5531260.8599999994</v>
      </c>
      <c r="G19" s="79">
        <f>'Core Loads'!G19</f>
        <v>5531260.8599999994</v>
      </c>
      <c r="H19" s="79">
        <f>'Core Loads'!H19</f>
        <v>5911722.2974800002</v>
      </c>
      <c r="I19" s="79">
        <f>'Core Loads'!I19</f>
        <v>5911722.2974800002</v>
      </c>
      <c r="J19" s="79">
        <f>'Core Loads'!J19</f>
        <v>0</v>
      </c>
      <c r="K19" s="79">
        <f>'Core Loads'!K19</f>
        <v>0</v>
      </c>
      <c r="L19" s="79">
        <f>'Core Loads'!L19</f>
        <v>0</v>
      </c>
      <c r="M19" s="79">
        <f>'Core Loads'!M19</f>
        <v>0</v>
      </c>
      <c r="N19" s="79">
        <f>'Core Loads'!N19</f>
        <v>0</v>
      </c>
      <c r="O19" s="79">
        <f>'Core Loads'!O19</f>
        <v>0</v>
      </c>
      <c r="P19" s="79">
        <f>'Core Loads'!P19</f>
        <v>0</v>
      </c>
      <c r="Q19" s="79">
        <f>'Core Loads'!Q19</f>
        <v>0</v>
      </c>
      <c r="R19" s="79">
        <f>'Core Loads'!R19</f>
        <v>0</v>
      </c>
      <c r="S19" s="79">
        <f>'Core Loads'!S19</f>
        <v>0</v>
      </c>
      <c r="T19" s="79">
        <f>'Core Loads'!T19</f>
        <v>0</v>
      </c>
      <c r="U19" s="79">
        <f>'Core Loads'!U19</f>
        <v>0</v>
      </c>
      <c r="V19" s="79">
        <f>'Core Loads'!V19</f>
        <v>0</v>
      </c>
      <c r="W19" s="79">
        <f>'Core Loads'!W19</f>
        <v>0</v>
      </c>
      <c r="X19" s="79">
        <f>'Core Loads'!X19</f>
        <v>0</v>
      </c>
      <c r="Y19" s="79">
        <f>'Core Loads'!Y19</f>
        <v>0</v>
      </c>
      <c r="Z19" s="79">
        <f>'Core Loads'!Z19</f>
        <v>0</v>
      </c>
      <c r="AA19" s="79">
        <f>'Core Loads'!AA19</f>
        <v>0</v>
      </c>
      <c r="AB19" s="79">
        <f>'Core Loads'!AB19</f>
        <v>0</v>
      </c>
      <c r="AC19" s="79">
        <f>'Core Loads'!AC19</f>
        <v>0</v>
      </c>
      <c r="AD19" s="79">
        <f>'Core Loads'!AD19</f>
        <v>0</v>
      </c>
      <c r="AE19" s="79">
        <f>'Core Loads'!AE19</f>
        <v>0</v>
      </c>
      <c r="AF19" s="79">
        <f>'Core Loads'!AF19</f>
        <v>0</v>
      </c>
      <c r="AG19"/>
      <c r="AH19" s="17" t="s">
        <v>279</v>
      </c>
    </row>
    <row r="20" spans="2:35" hidden="1" outlineLevel="1" x14ac:dyDescent="0.25">
      <c r="B20" s="31" t="s">
        <v>149</v>
      </c>
      <c r="C20" s="79">
        <f>'Core Loads'!C20</f>
        <v>95276332.411168292</v>
      </c>
      <c r="D20" s="79">
        <f>'Core Loads'!D20</f>
        <v>95769075.248678967</v>
      </c>
      <c r="E20" s="79">
        <f>'Core Loads'!E20</f>
        <v>28604732.302392453</v>
      </c>
      <c r="F20" s="79">
        <f>'Core Loads'!F20</f>
        <v>28655565.183012452</v>
      </c>
      <c r="G20" s="79">
        <f>'Core Loads'!G20</f>
        <v>28655565.183012452</v>
      </c>
      <c r="H20" s="79">
        <f>'Core Loads'!H20</f>
        <v>5911722.2974800002</v>
      </c>
      <c r="I20" s="79">
        <f>'Core Loads'!I20</f>
        <v>5911722.2974800002</v>
      </c>
      <c r="J20" s="79">
        <f>'Core Loads'!J20</f>
        <v>0</v>
      </c>
      <c r="K20" s="79">
        <f>'Core Loads'!K20</f>
        <v>0</v>
      </c>
      <c r="L20" s="79">
        <f>'Core Loads'!L20</f>
        <v>0</v>
      </c>
      <c r="M20" s="79">
        <f>'Core Loads'!M20</f>
        <v>0</v>
      </c>
      <c r="N20" s="79">
        <f>'Core Loads'!N20</f>
        <v>0</v>
      </c>
      <c r="O20" s="79">
        <f>'Core Loads'!O20</f>
        <v>0</v>
      </c>
      <c r="P20" s="79">
        <f>'Core Loads'!P20</f>
        <v>0</v>
      </c>
      <c r="Q20" s="79">
        <f>'Core Loads'!Q20</f>
        <v>0</v>
      </c>
      <c r="R20" s="79">
        <f>'Core Loads'!R20</f>
        <v>0</v>
      </c>
      <c r="S20" s="79">
        <f>'Core Loads'!S20</f>
        <v>0</v>
      </c>
      <c r="T20" s="79">
        <f>'Core Loads'!T20</f>
        <v>0</v>
      </c>
      <c r="U20" s="79">
        <f>'Core Loads'!U20</f>
        <v>0</v>
      </c>
      <c r="V20" s="79">
        <f>'Core Loads'!V20</f>
        <v>0</v>
      </c>
      <c r="W20" s="79">
        <f>'Core Loads'!W20</f>
        <v>0</v>
      </c>
      <c r="X20" s="79">
        <f>'Core Loads'!X20</f>
        <v>0</v>
      </c>
      <c r="Y20" s="79">
        <f>'Core Loads'!Y20</f>
        <v>0</v>
      </c>
      <c r="Z20" s="79">
        <f>'Core Loads'!Z20</f>
        <v>0</v>
      </c>
      <c r="AA20" s="79">
        <f>'Core Loads'!AA20</f>
        <v>0</v>
      </c>
      <c r="AB20" s="79">
        <f>'Core Loads'!AB20</f>
        <v>0</v>
      </c>
      <c r="AC20" s="79">
        <f>'Core Loads'!AC20</f>
        <v>0</v>
      </c>
      <c r="AD20" s="79">
        <f>'Core Loads'!AD20</f>
        <v>0</v>
      </c>
      <c r="AE20" s="79">
        <f>'Core Loads'!AE20</f>
        <v>0</v>
      </c>
      <c r="AF20" s="79">
        <f>'Core Loads'!AF20</f>
        <v>0</v>
      </c>
      <c r="AG20"/>
      <c r="AH20" s="17" t="s">
        <v>279</v>
      </c>
      <c r="AI20"/>
    </row>
    <row r="21" spans="2:35" hidden="1" outlineLevel="1" x14ac:dyDescent="0.25">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c r="AH21"/>
      <c r="AI21"/>
    </row>
    <row r="22" spans="2:35" customFormat="1" ht="15.75" hidden="1" outlineLevel="1" thickBot="1" x14ac:dyDescent="0.3">
      <c r="B22" s="28" t="s">
        <v>280</v>
      </c>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0"/>
      <c r="AH22" s="20" t="s">
        <v>15</v>
      </c>
    </row>
    <row r="23" spans="2:35" customFormat="1" hidden="1" outlineLevel="1" x14ac:dyDescent="0.25">
      <c r="B23" s="30"/>
      <c r="C23" s="17">
        <v>2025</v>
      </c>
      <c r="D23" s="44">
        <v>2026</v>
      </c>
      <c r="E23" s="44">
        <v>2027</v>
      </c>
      <c r="F23" s="44">
        <v>2028</v>
      </c>
      <c r="G23" s="44">
        <v>2029</v>
      </c>
      <c r="H23" s="44">
        <v>2030</v>
      </c>
      <c r="I23" s="44">
        <v>2031</v>
      </c>
      <c r="J23" s="44">
        <v>2032</v>
      </c>
      <c r="K23" s="44">
        <v>2033</v>
      </c>
      <c r="L23" s="44">
        <v>2034</v>
      </c>
      <c r="M23" s="44">
        <v>2035</v>
      </c>
      <c r="N23" s="44">
        <v>2036</v>
      </c>
      <c r="O23" s="44">
        <v>2037</v>
      </c>
      <c r="P23" s="44">
        <v>2038</v>
      </c>
      <c r="Q23" s="44">
        <v>2039</v>
      </c>
      <c r="R23" s="44">
        <v>2040</v>
      </c>
      <c r="S23" s="44">
        <v>2041</v>
      </c>
      <c r="T23" s="44">
        <v>2042</v>
      </c>
      <c r="U23" s="44">
        <v>2043</v>
      </c>
      <c r="V23" s="44">
        <v>2044</v>
      </c>
      <c r="W23" s="44">
        <v>2045</v>
      </c>
      <c r="X23" s="44">
        <v>2046</v>
      </c>
      <c r="Y23" s="44">
        <v>2047</v>
      </c>
      <c r="Z23" s="44">
        <v>2048</v>
      </c>
      <c r="AA23" s="44">
        <v>2049</v>
      </c>
      <c r="AB23" s="44">
        <v>2050</v>
      </c>
      <c r="AC23" s="44">
        <v>2051</v>
      </c>
      <c r="AD23" s="44">
        <v>2052</v>
      </c>
      <c r="AE23" s="44">
        <v>2053</v>
      </c>
      <c r="AF23" s="44">
        <v>2054</v>
      </c>
    </row>
    <row r="24" spans="2:35" hidden="1" outlineLevel="1" x14ac:dyDescent="0.25">
      <c r="B24" s="31" t="s">
        <v>144</v>
      </c>
      <c r="C24" s="79">
        <f>'Core Loads'!C24</f>
        <v>41100367.759866863</v>
      </c>
      <c r="D24" s="79">
        <f>'Core Loads'!D24</f>
        <v>41100367.759866863</v>
      </c>
      <c r="E24" s="79">
        <f>'Core Loads'!E24</f>
        <v>41100367.759866863</v>
      </c>
      <c r="F24" s="79">
        <f>'Core Loads'!F24</f>
        <v>39612639.320832737</v>
      </c>
      <c r="G24" s="79">
        <f>'Core Loads'!G24</f>
        <v>39612639.320832737</v>
      </c>
      <c r="H24" s="79">
        <f>'Core Loads'!H24</f>
        <v>39763990.663512737</v>
      </c>
      <c r="I24" s="79">
        <f>'Core Loads'!I24</f>
        <v>39763990.663512737</v>
      </c>
      <c r="J24" s="79">
        <f>'Core Loads'!J24</f>
        <v>38704492.561179683</v>
      </c>
      <c r="K24" s="79">
        <f>'Core Loads'!K24</f>
        <v>38704492.561179683</v>
      </c>
      <c r="L24" s="79">
        <f>'Core Loads'!L24</f>
        <v>38772187.839759685</v>
      </c>
      <c r="M24" s="79">
        <f>'Core Loads'!M24</f>
        <v>38772187.839759685</v>
      </c>
      <c r="N24" s="79">
        <f>'Core Loads'!N24</f>
        <v>38772187.839759685</v>
      </c>
      <c r="O24" s="79">
        <f>'Core Loads'!O24</f>
        <v>38772187.839759685</v>
      </c>
      <c r="P24" s="79">
        <f>'Core Loads'!P24</f>
        <v>38772187.839759685</v>
      </c>
      <c r="Q24" s="79">
        <f>'Core Loads'!Q24</f>
        <v>38772187.839759685</v>
      </c>
      <c r="R24" s="79">
        <f>'Core Loads'!R24</f>
        <v>38772187.839759685</v>
      </c>
      <c r="S24" s="79">
        <f>'Core Loads'!S24</f>
        <v>38772187.839759685</v>
      </c>
      <c r="T24" s="79">
        <f>'Core Loads'!T24</f>
        <v>38772187.839759685</v>
      </c>
      <c r="U24" s="79">
        <f>'Core Loads'!U24</f>
        <v>38772187.839759685</v>
      </c>
      <c r="V24" s="79">
        <f>'Core Loads'!V24</f>
        <v>38772187.839759685</v>
      </c>
      <c r="W24" s="79">
        <f>'Core Loads'!W24</f>
        <v>38772187.839759685</v>
      </c>
      <c r="X24" s="79">
        <f>'Core Loads'!X24</f>
        <v>38772187.839759685</v>
      </c>
      <c r="Y24" s="79">
        <f>'Core Loads'!Y24</f>
        <v>38772187.839759685</v>
      </c>
      <c r="Z24" s="79">
        <f>'Core Loads'!Z24</f>
        <v>38772187.839759685</v>
      </c>
      <c r="AA24" s="79">
        <f>'Core Loads'!AA24</f>
        <v>38772187.839759685</v>
      </c>
      <c r="AB24" s="79">
        <f>'Core Loads'!AB24</f>
        <v>38772187.839759685</v>
      </c>
      <c r="AC24" s="79">
        <f>'Core Loads'!AC24</f>
        <v>38772187.839759685</v>
      </c>
      <c r="AD24" s="79">
        <f>'Core Loads'!AD24</f>
        <v>38772187.839759685</v>
      </c>
      <c r="AE24" s="79">
        <f>'Core Loads'!AE24</f>
        <v>38772187.839759685</v>
      </c>
      <c r="AF24" s="79">
        <f>'Core Loads'!AF24</f>
        <v>38772187.839759685</v>
      </c>
      <c r="AG24"/>
      <c r="AH24" s="17" t="s">
        <v>279</v>
      </c>
    </row>
    <row r="25" spans="2:35" hidden="1" outlineLevel="1" x14ac:dyDescent="0.25">
      <c r="B25" s="31" t="s">
        <v>145</v>
      </c>
      <c r="C25" s="79">
        <f>'Core Loads'!C25</f>
        <v>0</v>
      </c>
      <c r="D25" s="79">
        <f>'Core Loads'!D25</f>
        <v>0</v>
      </c>
      <c r="E25" s="79">
        <f>'Core Loads'!E25</f>
        <v>0</v>
      </c>
      <c r="F25" s="79">
        <f>'Core Loads'!F25</f>
        <v>0</v>
      </c>
      <c r="G25" s="79">
        <f>'Core Loads'!G25</f>
        <v>0</v>
      </c>
      <c r="H25" s="79">
        <f>'Core Loads'!H25</f>
        <v>15787184.845623737</v>
      </c>
      <c r="I25" s="79">
        <f>'Core Loads'!I25</f>
        <v>15787184.845623737</v>
      </c>
      <c r="J25" s="79">
        <f>'Core Loads'!J25</f>
        <v>15787184.845623737</v>
      </c>
      <c r="K25" s="79">
        <f>'Core Loads'!K25</f>
        <v>15787184.845623737</v>
      </c>
      <c r="L25" s="79">
        <f>'Core Loads'!L25</f>
        <v>15390568.910004416</v>
      </c>
      <c r="M25" s="79">
        <f>'Core Loads'!M25</f>
        <v>15390568.910004416</v>
      </c>
      <c r="N25" s="79">
        <f>'Core Loads'!N25</f>
        <v>15390568.910004416</v>
      </c>
      <c r="O25" s="79">
        <f>'Core Loads'!O25</f>
        <v>15390568.910004416</v>
      </c>
      <c r="P25" s="79">
        <f>'Core Loads'!P25</f>
        <v>15364645.040004415</v>
      </c>
      <c r="Q25" s="79">
        <f>'Core Loads'!Q25</f>
        <v>15364645.040004415</v>
      </c>
      <c r="R25" s="79">
        <f>'Core Loads'!R25</f>
        <v>15384699.734404417</v>
      </c>
      <c r="S25" s="79">
        <f>'Core Loads'!S25</f>
        <v>15384699.734404417</v>
      </c>
      <c r="T25" s="79">
        <f>'Core Loads'!T25</f>
        <v>15384699.734404417</v>
      </c>
      <c r="U25" s="79">
        <f>'Core Loads'!U25</f>
        <v>15384699.734404417</v>
      </c>
      <c r="V25" s="79">
        <f>'Core Loads'!V25</f>
        <v>15384699.734404417</v>
      </c>
      <c r="W25" s="79">
        <f>'Core Loads'!W25</f>
        <v>15384699.734404417</v>
      </c>
      <c r="X25" s="79">
        <f>'Core Loads'!X25</f>
        <v>15384699.734404417</v>
      </c>
      <c r="Y25" s="79">
        <f>'Core Loads'!Y25</f>
        <v>15384699.734404417</v>
      </c>
      <c r="Z25" s="79">
        <f>'Core Loads'!Z25</f>
        <v>15384699.734404417</v>
      </c>
      <c r="AA25" s="79">
        <f>'Core Loads'!AA25</f>
        <v>15384699.734404417</v>
      </c>
      <c r="AB25" s="79">
        <f>'Core Loads'!AB25</f>
        <v>14843250.017475424</v>
      </c>
      <c r="AC25" s="79">
        <f>'Core Loads'!AC25</f>
        <v>14843250.017475424</v>
      </c>
      <c r="AD25" s="79">
        <f>'Core Loads'!AD25</f>
        <v>14843250.017475424</v>
      </c>
      <c r="AE25" s="79">
        <f>'Core Loads'!AE25</f>
        <v>14843250.017475424</v>
      </c>
      <c r="AF25" s="79">
        <f>'Core Loads'!AF25</f>
        <v>14843250.017475424</v>
      </c>
      <c r="AG25"/>
      <c r="AH25" s="17" t="s">
        <v>279</v>
      </c>
    </row>
    <row r="26" spans="2:35" hidden="1" outlineLevel="1" x14ac:dyDescent="0.25">
      <c r="B26" s="31" t="s">
        <v>244</v>
      </c>
      <c r="C26" s="79">
        <f>'Core Loads'!C26</f>
        <v>0</v>
      </c>
      <c r="D26" s="79">
        <f>'Core Loads'!D26</f>
        <v>0</v>
      </c>
      <c r="E26" s="79">
        <f>'Core Loads'!E26</f>
        <v>67164342.9462865</v>
      </c>
      <c r="F26" s="79">
        <f>'Core Loads'!F26</f>
        <v>80295904.086657912</v>
      </c>
      <c r="G26" s="79">
        <f>'Core Loads'!G26</f>
        <v>80295904.086657912</v>
      </c>
      <c r="H26" s="79">
        <f>'Core Loads'!H26</f>
        <v>88236897.776487172</v>
      </c>
      <c r="I26" s="79">
        <f>'Core Loads'!I26</f>
        <v>88236897.776487172</v>
      </c>
      <c r="J26" s="79">
        <f>'Core Loads'!J26</f>
        <v>80002966.613187522</v>
      </c>
      <c r="K26" s="79">
        <f>'Core Loads'!K26</f>
        <v>80002966.613187522</v>
      </c>
      <c r="L26" s="79">
        <f>'Core Loads'!L26</f>
        <v>80002966.613187522</v>
      </c>
      <c r="M26" s="79">
        <f>'Core Loads'!M26</f>
        <v>80002966.613187522</v>
      </c>
      <c r="N26" s="79">
        <f>'Core Loads'!N26</f>
        <v>79425262.459042355</v>
      </c>
      <c r="O26" s="79">
        <f>'Core Loads'!O26</f>
        <v>79425262.459042355</v>
      </c>
      <c r="P26" s="79">
        <f>'Core Loads'!P26</f>
        <v>79425262.459042355</v>
      </c>
      <c r="Q26" s="79">
        <f>'Core Loads'!Q26</f>
        <v>79425262.459042355</v>
      </c>
      <c r="R26" s="79">
        <f>'Core Loads'!R26</f>
        <v>82311974.959042355</v>
      </c>
      <c r="S26" s="79">
        <f>'Core Loads'!S26</f>
        <v>82311974.959042355</v>
      </c>
      <c r="T26" s="79">
        <f>'Core Loads'!T26</f>
        <v>82311974.959042355</v>
      </c>
      <c r="U26" s="79">
        <f>'Core Loads'!U26</f>
        <v>82311974.959042355</v>
      </c>
      <c r="V26" s="79">
        <f>'Core Loads'!V26</f>
        <v>81863454.238701224</v>
      </c>
      <c r="W26" s="79">
        <f>'Core Loads'!W26</f>
        <v>81863454.238701224</v>
      </c>
      <c r="X26" s="79">
        <f>'Core Loads'!X26</f>
        <v>81863454.238701224</v>
      </c>
      <c r="Y26" s="79">
        <f>'Core Loads'!Y26</f>
        <v>81863454.238701224</v>
      </c>
      <c r="Z26" s="79">
        <f>'Core Loads'!Z26</f>
        <v>81863454.238701224</v>
      </c>
      <c r="AA26" s="79">
        <f>'Core Loads'!AA26</f>
        <v>81863454.238701224</v>
      </c>
      <c r="AB26" s="79">
        <f>'Core Loads'!AB26</f>
        <v>81863454.238701224</v>
      </c>
      <c r="AC26" s="79">
        <f>'Core Loads'!AC26</f>
        <v>81863454.238701224</v>
      </c>
      <c r="AD26" s="79">
        <f>'Core Loads'!AD26</f>
        <v>81863454.238701224</v>
      </c>
      <c r="AE26" s="79">
        <f>'Core Loads'!AE26</f>
        <v>81863454.238701224</v>
      </c>
      <c r="AF26" s="79">
        <f>'Core Loads'!AF26</f>
        <v>81863454.238701224</v>
      </c>
      <c r="AG26"/>
      <c r="AH26" s="17" t="s">
        <v>279</v>
      </c>
    </row>
    <row r="27" spans="2:35" hidden="1" outlineLevel="1" x14ac:dyDescent="0.25">
      <c r="B27" s="31" t="s">
        <v>147</v>
      </c>
      <c r="C27" s="79">
        <f>'Core Loads'!C27</f>
        <v>0</v>
      </c>
      <c r="D27" s="79">
        <f>'Core Loads'!D27</f>
        <v>0</v>
      </c>
      <c r="E27" s="79">
        <f>'Core Loads'!E27</f>
        <v>0</v>
      </c>
      <c r="F27" s="79">
        <f>'Core Loads'!F27</f>
        <v>0</v>
      </c>
      <c r="G27" s="79">
        <f>'Core Loads'!G27</f>
        <v>0</v>
      </c>
      <c r="H27" s="79">
        <f>'Core Loads'!H27</f>
        <v>0</v>
      </c>
      <c r="I27" s="79">
        <f>'Core Loads'!I27</f>
        <v>0</v>
      </c>
      <c r="J27" s="79">
        <f>'Core Loads'!J27</f>
        <v>0</v>
      </c>
      <c r="K27" s="79">
        <f>'Core Loads'!K27</f>
        <v>0</v>
      </c>
      <c r="L27" s="79">
        <f>'Core Loads'!L27</f>
        <v>0</v>
      </c>
      <c r="M27" s="79">
        <f>'Core Loads'!M27</f>
        <v>0</v>
      </c>
      <c r="N27" s="79">
        <f>'Core Loads'!N27</f>
        <v>0</v>
      </c>
      <c r="O27" s="79">
        <f>'Core Loads'!O27</f>
        <v>0</v>
      </c>
      <c r="P27" s="79">
        <f>'Core Loads'!P27</f>
        <v>0</v>
      </c>
      <c r="Q27" s="79">
        <f>'Core Loads'!Q27</f>
        <v>0</v>
      </c>
      <c r="R27" s="79">
        <f>'Core Loads'!R27</f>
        <v>0</v>
      </c>
      <c r="S27" s="79">
        <f>'Core Loads'!S27</f>
        <v>0</v>
      </c>
      <c r="T27" s="79">
        <f>'Core Loads'!T27</f>
        <v>0</v>
      </c>
      <c r="U27" s="79">
        <f>'Core Loads'!U27</f>
        <v>0</v>
      </c>
      <c r="V27" s="79">
        <f>'Core Loads'!V27</f>
        <v>0</v>
      </c>
      <c r="W27" s="79">
        <f>'Core Loads'!W27</f>
        <v>0</v>
      </c>
      <c r="X27" s="79">
        <f>'Core Loads'!X27</f>
        <v>0</v>
      </c>
      <c r="Y27" s="79">
        <f>'Core Loads'!Y27</f>
        <v>0</v>
      </c>
      <c r="Z27" s="79">
        <f>'Core Loads'!Z27</f>
        <v>0</v>
      </c>
      <c r="AA27" s="79">
        <f>'Core Loads'!AA27</f>
        <v>0</v>
      </c>
      <c r="AB27" s="79">
        <f>'Core Loads'!AB27</f>
        <v>0</v>
      </c>
      <c r="AC27" s="79">
        <f>'Core Loads'!AC27</f>
        <v>0</v>
      </c>
      <c r="AD27" s="79">
        <f>'Core Loads'!AD27</f>
        <v>0</v>
      </c>
      <c r="AE27" s="79">
        <f>'Core Loads'!AE27</f>
        <v>0</v>
      </c>
      <c r="AF27" s="79">
        <f>'Core Loads'!AF27</f>
        <v>0</v>
      </c>
      <c r="AG27"/>
      <c r="AH27" s="17" t="s">
        <v>279</v>
      </c>
    </row>
    <row r="28" spans="2:35" hidden="1" outlineLevel="1" x14ac:dyDescent="0.25">
      <c r="B28" s="31" t="s">
        <v>245</v>
      </c>
      <c r="C28" s="79">
        <f>'Core Loads'!C28</f>
        <v>0</v>
      </c>
      <c r="D28" s="79">
        <f>'Core Loads'!D28</f>
        <v>0</v>
      </c>
      <c r="E28" s="79">
        <f>'Core Loads'!E28</f>
        <v>0</v>
      </c>
      <c r="F28" s="79">
        <f>'Core Loads'!F28</f>
        <v>0</v>
      </c>
      <c r="G28" s="79">
        <f>'Core Loads'!G28</f>
        <v>0</v>
      </c>
      <c r="H28" s="79">
        <f>'Core Loads'!H28</f>
        <v>0</v>
      </c>
      <c r="I28" s="79">
        <f>'Core Loads'!I28</f>
        <v>0</v>
      </c>
      <c r="J28" s="79">
        <f>'Core Loads'!J28</f>
        <v>5911722.2974800002</v>
      </c>
      <c r="K28" s="79">
        <f>'Core Loads'!K28</f>
        <v>5911722.2974800002</v>
      </c>
      <c r="L28" s="79">
        <f>'Core Loads'!L28</f>
        <v>5911722.2974800002</v>
      </c>
      <c r="M28" s="79">
        <f>'Core Loads'!M28</f>
        <v>5911722.2974800002</v>
      </c>
      <c r="N28" s="79">
        <f>'Core Loads'!N28</f>
        <v>5743970.637480001</v>
      </c>
      <c r="O28" s="79">
        <f>'Core Loads'!O28</f>
        <v>5743970.637480001</v>
      </c>
      <c r="P28" s="79">
        <f>'Core Loads'!P28</f>
        <v>5743970.637480001</v>
      </c>
      <c r="Q28" s="79">
        <f>'Core Loads'!Q28</f>
        <v>5743970.637480001</v>
      </c>
      <c r="R28" s="79">
        <f>'Core Loads'!R28</f>
        <v>36060627.457479998</v>
      </c>
      <c r="S28" s="79">
        <f>'Core Loads'!S28</f>
        <v>36060627.457479998</v>
      </c>
      <c r="T28" s="79">
        <f>'Core Loads'!T28</f>
        <v>36060627.457479998</v>
      </c>
      <c r="U28" s="79">
        <f>'Core Loads'!U28</f>
        <v>36060627.457479998</v>
      </c>
      <c r="V28" s="79">
        <f>'Core Loads'!V28</f>
        <v>36060627.457479998</v>
      </c>
      <c r="W28" s="79">
        <f>'Core Loads'!W28</f>
        <v>36060627.457479998</v>
      </c>
      <c r="X28" s="79">
        <f>'Core Loads'!X28</f>
        <v>36060627.457479998</v>
      </c>
      <c r="Y28" s="79">
        <f>'Core Loads'!Y28</f>
        <v>36060627.457479998</v>
      </c>
      <c r="Z28" s="79">
        <f>'Core Loads'!Z28</f>
        <v>36060627.457479998</v>
      </c>
      <c r="AA28" s="79">
        <f>'Core Loads'!AA28</f>
        <v>36060627.457479998</v>
      </c>
      <c r="AB28" s="79">
        <f>'Core Loads'!AB28</f>
        <v>36060627.457479998</v>
      </c>
      <c r="AC28" s="79">
        <f>'Core Loads'!AC28</f>
        <v>36060627.457479998</v>
      </c>
      <c r="AD28" s="79">
        <f>'Core Loads'!AD28</f>
        <v>36060627.457479998</v>
      </c>
      <c r="AE28" s="79">
        <f>'Core Loads'!AE28</f>
        <v>36060627.457479998</v>
      </c>
      <c r="AF28" s="79">
        <f>'Core Loads'!AF28</f>
        <v>36060627.457479998</v>
      </c>
      <c r="AG28"/>
      <c r="AH28" s="17" t="s">
        <v>279</v>
      </c>
    </row>
    <row r="29" spans="2:35" hidden="1" outlineLevel="1" x14ac:dyDescent="0.25">
      <c r="B29" s="31" t="s">
        <v>149</v>
      </c>
      <c r="C29" s="79">
        <f>'Core Loads'!C29</f>
        <v>41100367.759866863</v>
      </c>
      <c r="D29" s="79">
        <f>'Core Loads'!D29</f>
        <v>41100367.759866863</v>
      </c>
      <c r="E29" s="79">
        <f>'Core Loads'!E29</f>
        <v>108264710.70615336</v>
      </c>
      <c r="F29" s="79">
        <f>'Core Loads'!F29</f>
        <v>119908543.40749064</v>
      </c>
      <c r="G29" s="79">
        <f>'Core Loads'!G29</f>
        <v>119908543.40749064</v>
      </c>
      <c r="H29" s="79">
        <f>'Core Loads'!H29</f>
        <v>143788073.28562364</v>
      </c>
      <c r="I29" s="79">
        <f>'Core Loads'!I29</f>
        <v>143788073.28562364</v>
      </c>
      <c r="J29" s="79">
        <f>'Core Loads'!J29</f>
        <v>140406366.31747094</v>
      </c>
      <c r="K29" s="79">
        <f>'Core Loads'!K29</f>
        <v>140406366.31747094</v>
      </c>
      <c r="L29" s="79">
        <f>'Core Loads'!L29</f>
        <v>140077445.66043162</v>
      </c>
      <c r="M29" s="79">
        <f>'Core Loads'!M29</f>
        <v>140077445.66043162</v>
      </c>
      <c r="N29" s="79">
        <f>'Core Loads'!N29</f>
        <v>139331989.84628645</v>
      </c>
      <c r="O29" s="79">
        <f>'Core Loads'!O29</f>
        <v>139331989.84628645</v>
      </c>
      <c r="P29" s="79">
        <f>'Core Loads'!P29</f>
        <v>139306065.97628644</v>
      </c>
      <c r="Q29" s="79">
        <f>'Core Loads'!Q29</f>
        <v>139306065.97628644</v>
      </c>
      <c r="R29" s="79">
        <f>'Core Loads'!R29</f>
        <v>172529489.99068648</v>
      </c>
      <c r="S29" s="79">
        <f>'Core Loads'!S29</f>
        <v>172529489.99068648</v>
      </c>
      <c r="T29" s="79">
        <f>'Core Loads'!T29</f>
        <v>172529489.99068648</v>
      </c>
      <c r="U29" s="79">
        <f>'Core Loads'!U29</f>
        <v>172529489.99068648</v>
      </c>
      <c r="V29" s="79">
        <f>'Core Loads'!V29</f>
        <v>172080969.27034533</v>
      </c>
      <c r="W29" s="79">
        <f>'Core Loads'!W29</f>
        <v>172080969.27034533</v>
      </c>
      <c r="X29" s="79">
        <f>'Core Loads'!X29</f>
        <v>172080969.27034533</v>
      </c>
      <c r="Y29" s="79">
        <f>'Core Loads'!Y29</f>
        <v>172080969.27034533</v>
      </c>
      <c r="Z29" s="79">
        <f>'Core Loads'!Z29</f>
        <v>172080969.27034533</v>
      </c>
      <c r="AA29" s="79">
        <f>'Core Loads'!AA29</f>
        <v>172080969.27034533</v>
      </c>
      <c r="AB29" s="79">
        <f>'Core Loads'!AB29</f>
        <v>171539519.55341631</v>
      </c>
      <c r="AC29" s="79">
        <f>'Core Loads'!AC29</f>
        <v>171539519.55341631</v>
      </c>
      <c r="AD29" s="79">
        <f>'Core Loads'!AD29</f>
        <v>171539519.55341631</v>
      </c>
      <c r="AE29" s="79">
        <f>'Core Loads'!AE29</f>
        <v>171539519.55341631</v>
      </c>
      <c r="AF29" s="79">
        <f>'Core Loads'!AF29</f>
        <v>171539519.55341631</v>
      </c>
      <c r="AG29"/>
      <c r="AH29" s="17" t="s">
        <v>279</v>
      </c>
    </row>
    <row r="30" spans="2:35" customFormat="1" hidden="1" outlineLevel="1" x14ac:dyDescent="0.25">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row>
    <row r="31" spans="2:35" hidden="1" outlineLevel="1" x14ac:dyDescent="0.25">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c r="AH31"/>
    </row>
    <row r="32" spans="2:35" ht="17.25" hidden="1" outlineLevel="1" thickBot="1" x14ac:dyDescent="0.3">
      <c r="B32" s="26" t="s">
        <v>281</v>
      </c>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row>
    <row r="33" spans="2:34" ht="16.5" hidden="1" outlineLevel="1" thickTop="1" thickBot="1" x14ac:dyDescent="0.3">
      <c r="B33" s="28" t="s">
        <v>278</v>
      </c>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0"/>
      <c r="AH33" s="20" t="s">
        <v>15</v>
      </c>
    </row>
    <row r="34" spans="2:34" customFormat="1" hidden="1" outlineLevel="1" x14ac:dyDescent="0.25">
      <c r="B34" s="30"/>
      <c r="C34" s="17">
        <v>2025</v>
      </c>
      <c r="D34" s="44">
        <v>2026</v>
      </c>
      <c r="E34" s="44">
        <v>2027</v>
      </c>
      <c r="F34" s="44">
        <v>2028</v>
      </c>
      <c r="G34" s="44">
        <v>2029</v>
      </c>
      <c r="H34" s="44">
        <v>2030</v>
      </c>
      <c r="I34" s="44">
        <v>2031</v>
      </c>
      <c r="J34" s="44">
        <v>2032</v>
      </c>
      <c r="K34" s="44">
        <v>2033</v>
      </c>
      <c r="L34" s="44">
        <v>2034</v>
      </c>
      <c r="M34" s="44">
        <v>2035</v>
      </c>
      <c r="N34" s="44">
        <v>2036</v>
      </c>
      <c r="O34" s="44">
        <v>2037</v>
      </c>
      <c r="P34" s="44">
        <v>2038</v>
      </c>
      <c r="Q34" s="44">
        <v>2039</v>
      </c>
      <c r="R34" s="44">
        <v>2040</v>
      </c>
      <c r="S34" s="44">
        <v>2041</v>
      </c>
      <c r="T34" s="44">
        <v>2042</v>
      </c>
      <c r="U34" s="44">
        <v>2043</v>
      </c>
      <c r="V34" s="44">
        <v>2044</v>
      </c>
      <c r="W34" s="44">
        <v>2045</v>
      </c>
      <c r="X34" s="44">
        <v>2046</v>
      </c>
      <c r="Y34" s="44">
        <v>2047</v>
      </c>
      <c r="Z34" s="44">
        <v>2048</v>
      </c>
      <c r="AA34" s="44">
        <v>2049</v>
      </c>
      <c r="AB34" s="44">
        <v>2050</v>
      </c>
      <c r="AC34" s="44">
        <v>2051</v>
      </c>
      <c r="AD34" s="44">
        <v>2052</v>
      </c>
      <c r="AE34" s="44">
        <v>2053</v>
      </c>
      <c r="AF34" s="44">
        <v>2054</v>
      </c>
      <c r="AH34" s="17" t="s">
        <v>279</v>
      </c>
    </row>
    <row r="35" spans="2:34" hidden="1" outlineLevel="1" x14ac:dyDescent="0.25">
      <c r="B35" s="31" t="s">
        <v>144</v>
      </c>
      <c r="C35" s="79">
        <f>'Core Loads'!C35</f>
        <v>0</v>
      </c>
      <c r="D35" s="79">
        <f>'Core Loads'!D35</f>
        <v>0</v>
      </c>
      <c r="E35" s="79">
        <f>'Core Loads'!E35</f>
        <v>0</v>
      </c>
      <c r="F35" s="79">
        <f>'Core Loads'!F35</f>
        <v>0</v>
      </c>
      <c r="G35" s="79">
        <f>'Core Loads'!G35</f>
        <v>0</v>
      </c>
      <c r="H35" s="79">
        <f>'Core Loads'!H35</f>
        <v>0</v>
      </c>
      <c r="I35" s="79">
        <f>'Core Loads'!I35</f>
        <v>0</v>
      </c>
      <c r="J35" s="79">
        <f>'Core Loads'!J35</f>
        <v>0</v>
      </c>
      <c r="K35" s="79">
        <f>'Core Loads'!K35</f>
        <v>0</v>
      </c>
      <c r="L35" s="79">
        <f>'Core Loads'!L35</f>
        <v>0</v>
      </c>
      <c r="M35" s="79">
        <f>'Core Loads'!M35</f>
        <v>0</v>
      </c>
      <c r="N35" s="79">
        <f>'Core Loads'!N35</f>
        <v>0</v>
      </c>
      <c r="O35" s="79">
        <f>'Core Loads'!O35</f>
        <v>0</v>
      </c>
      <c r="P35" s="79">
        <f>'Core Loads'!P35</f>
        <v>0</v>
      </c>
      <c r="Q35" s="79">
        <f>'Core Loads'!Q35</f>
        <v>0</v>
      </c>
      <c r="R35" s="79">
        <f>'Core Loads'!R35</f>
        <v>0</v>
      </c>
      <c r="S35" s="79">
        <f>'Core Loads'!S35</f>
        <v>0</v>
      </c>
      <c r="T35" s="79">
        <f>'Core Loads'!T35</f>
        <v>0</v>
      </c>
      <c r="U35" s="79">
        <f>'Core Loads'!U35</f>
        <v>0</v>
      </c>
      <c r="V35" s="79">
        <f>'Core Loads'!V35</f>
        <v>0</v>
      </c>
      <c r="W35" s="79">
        <f>'Core Loads'!W35</f>
        <v>0</v>
      </c>
      <c r="X35" s="79">
        <f>'Core Loads'!X35</f>
        <v>0</v>
      </c>
      <c r="Y35" s="79">
        <f>'Core Loads'!Y35</f>
        <v>0</v>
      </c>
      <c r="Z35" s="79">
        <f>'Core Loads'!Z35</f>
        <v>0</v>
      </c>
      <c r="AA35" s="79">
        <f>'Core Loads'!AA35</f>
        <v>0</v>
      </c>
      <c r="AB35" s="79">
        <f>'Core Loads'!AB35</f>
        <v>0</v>
      </c>
      <c r="AC35" s="79">
        <f>'Core Loads'!AC35</f>
        <v>0</v>
      </c>
      <c r="AD35" s="79">
        <f>'Core Loads'!AD35</f>
        <v>0</v>
      </c>
      <c r="AE35" s="79">
        <f>'Core Loads'!AE35</f>
        <v>0</v>
      </c>
      <c r="AF35" s="79">
        <f>'Core Loads'!AF35</f>
        <v>0</v>
      </c>
      <c r="AG35"/>
      <c r="AH35" s="17" t="s">
        <v>279</v>
      </c>
    </row>
    <row r="36" spans="2:34" hidden="1" outlineLevel="1" x14ac:dyDescent="0.25">
      <c r="B36" s="31" t="s">
        <v>145</v>
      </c>
      <c r="C36" s="79">
        <f>'Core Loads'!C36</f>
        <v>11884388.380107559</v>
      </c>
      <c r="D36" s="79">
        <f>'Core Loads'!D36</f>
        <v>11884388.380107559</v>
      </c>
      <c r="E36" s="79">
        <f>'Core Loads'!E36</f>
        <v>11884388.380107559</v>
      </c>
      <c r="F36" s="79">
        <f>'Core Loads'!F36</f>
        <v>11884388.380107559</v>
      </c>
      <c r="G36" s="79">
        <f>'Core Loads'!G36</f>
        <v>11884388.380107559</v>
      </c>
      <c r="H36" s="79">
        <f>'Core Loads'!H36</f>
        <v>0</v>
      </c>
      <c r="I36" s="79">
        <f>'Core Loads'!I36</f>
        <v>0</v>
      </c>
      <c r="J36" s="79">
        <f>'Core Loads'!J36</f>
        <v>0</v>
      </c>
      <c r="K36" s="79">
        <f>'Core Loads'!K36</f>
        <v>0</v>
      </c>
      <c r="L36" s="79">
        <f>'Core Loads'!L36</f>
        <v>0</v>
      </c>
      <c r="M36" s="79">
        <f>'Core Loads'!M36</f>
        <v>0</v>
      </c>
      <c r="N36" s="79">
        <f>'Core Loads'!N36</f>
        <v>0</v>
      </c>
      <c r="O36" s="79">
        <f>'Core Loads'!O36</f>
        <v>0</v>
      </c>
      <c r="P36" s="79">
        <f>'Core Loads'!P36</f>
        <v>0</v>
      </c>
      <c r="Q36" s="79">
        <f>'Core Loads'!Q36</f>
        <v>0</v>
      </c>
      <c r="R36" s="79">
        <f>'Core Loads'!R36</f>
        <v>0</v>
      </c>
      <c r="S36" s="79">
        <f>'Core Loads'!S36</f>
        <v>0</v>
      </c>
      <c r="T36" s="79">
        <f>'Core Loads'!T36</f>
        <v>0</v>
      </c>
      <c r="U36" s="79">
        <f>'Core Loads'!U36</f>
        <v>0</v>
      </c>
      <c r="V36" s="79">
        <f>'Core Loads'!V36</f>
        <v>0</v>
      </c>
      <c r="W36" s="79">
        <f>'Core Loads'!W36</f>
        <v>0</v>
      </c>
      <c r="X36" s="79">
        <f>'Core Loads'!X36</f>
        <v>0</v>
      </c>
      <c r="Y36" s="79">
        <f>'Core Loads'!Y36</f>
        <v>0</v>
      </c>
      <c r="Z36" s="79">
        <f>'Core Loads'!Z36</f>
        <v>0</v>
      </c>
      <c r="AA36" s="79">
        <f>'Core Loads'!AA36</f>
        <v>0</v>
      </c>
      <c r="AB36" s="79">
        <f>'Core Loads'!AB36</f>
        <v>0</v>
      </c>
      <c r="AC36" s="79">
        <f>'Core Loads'!AC36</f>
        <v>0</v>
      </c>
      <c r="AD36" s="79">
        <f>'Core Loads'!AD36</f>
        <v>0</v>
      </c>
      <c r="AE36" s="79">
        <f>'Core Loads'!AE36</f>
        <v>0</v>
      </c>
      <c r="AF36" s="79">
        <f>'Core Loads'!AF36</f>
        <v>0</v>
      </c>
      <c r="AG36"/>
      <c r="AH36" s="17" t="s">
        <v>279</v>
      </c>
    </row>
    <row r="37" spans="2:34" hidden="1" outlineLevel="1" x14ac:dyDescent="0.25">
      <c r="B37" s="31" t="s">
        <v>244</v>
      </c>
      <c r="C37" s="79">
        <f>'Core Loads'!C37</f>
        <v>35030010.666666664</v>
      </c>
      <c r="D37" s="79">
        <f>'Core Loads'!D37</f>
        <v>35030010.666666664</v>
      </c>
      <c r="E37" s="79">
        <f>'Core Loads'!E37</f>
        <v>0</v>
      </c>
      <c r="F37" s="79">
        <f>'Core Loads'!F37</f>
        <v>0</v>
      </c>
      <c r="G37" s="79">
        <f>'Core Loads'!G37</f>
        <v>0</v>
      </c>
      <c r="H37" s="79">
        <f>'Core Loads'!H37</f>
        <v>0</v>
      </c>
      <c r="I37" s="79">
        <f>'Core Loads'!I37</f>
        <v>0</v>
      </c>
      <c r="J37" s="79">
        <f>'Core Loads'!J37</f>
        <v>0</v>
      </c>
      <c r="K37" s="79">
        <f>'Core Loads'!K37</f>
        <v>0</v>
      </c>
      <c r="L37" s="79">
        <f>'Core Loads'!L37</f>
        <v>0</v>
      </c>
      <c r="M37" s="79">
        <f>'Core Loads'!M37</f>
        <v>0</v>
      </c>
      <c r="N37" s="79">
        <f>'Core Loads'!N37</f>
        <v>0</v>
      </c>
      <c r="O37" s="79">
        <f>'Core Loads'!O37</f>
        <v>0</v>
      </c>
      <c r="P37" s="79">
        <f>'Core Loads'!P37</f>
        <v>0</v>
      </c>
      <c r="Q37" s="79">
        <f>'Core Loads'!Q37</f>
        <v>0</v>
      </c>
      <c r="R37" s="79">
        <f>'Core Loads'!R37</f>
        <v>0</v>
      </c>
      <c r="S37" s="79">
        <f>'Core Loads'!S37</f>
        <v>0</v>
      </c>
      <c r="T37" s="79">
        <f>'Core Loads'!T37</f>
        <v>0</v>
      </c>
      <c r="U37" s="79">
        <f>'Core Loads'!U37</f>
        <v>0</v>
      </c>
      <c r="V37" s="79">
        <f>'Core Loads'!V37</f>
        <v>0</v>
      </c>
      <c r="W37" s="79">
        <f>'Core Loads'!W37</f>
        <v>0</v>
      </c>
      <c r="X37" s="79">
        <f>'Core Loads'!X37</f>
        <v>0</v>
      </c>
      <c r="Y37" s="79">
        <f>'Core Loads'!Y37</f>
        <v>0</v>
      </c>
      <c r="Z37" s="79">
        <f>'Core Loads'!Z37</f>
        <v>0</v>
      </c>
      <c r="AA37" s="79">
        <f>'Core Loads'!AA37</f>
        <v>0</v>
      </c>
      <c r="AB37" s="79">
        <f>'Core Loads'!AB37</f>
        <v>0</v>
      </c>
      <c r="AC37" s="79">
        <f>'Core Loads'!AC37</f>
        <v>0</v>
      </c>
      <c r="AD37" s="79">
        <f>'Core Loads'!AD37</f>
        <v>0</v>
      </c>
      <c r="AE37" s="79">
        <f>'Core Loads'!AE37</f>
        <v>0</v>
      </c>
      <c r="AF37" s="79">
        <f>'Core Loads'!AF37</f>
        <v>0</v>
      </c>
      <c r="AG37"/>
      <c r="AH37" s="17" t="s">
        <v>279</v>
      </c>
    </row>
    <row r="38" spans="2:34" customFormat="1" hidden="1" outlineLevel="1" x14ac:dyDescent="0.25">
      <c r="B38" s="31" t="s">
        <v>147</v>
      </c>
      <c r="C38" s="79">
        <f>'Core Loads'!C38</f>
        <v>0</v>
      </c>
      <c r="D38" s="79">
        <f>'Core Loads'!D38</f>
        <v>0</v>
      </c>
      <c r="E38" s="79">
        <f>'Core Loads'!E38</f>
        <v>0</v>
      </c>
      <c r="F38" s="79">
        <f>'Core Loads'!F38</f>
        <v>0</v>
      </c>
      <c r="G38" s="79">
        <f>'Core Loads'!G38</f>
        <v>0</v>
      </c>
      <c r="H38" s="79">
        <f>'Core Loads'!H38</f>
        <v>0</v>
      </c>
      <c r="I38" s="79">
        <f>'Core Loads'!I38</f>
        <v>0</v>
      </c>
      <c r="J38" s="79">
        <f>'Core Loads'!J38</f>
        <v>0</v>
      </c>
      <c r="K38" s="79">
        <f>'Core Loads'!K38</f>
        <v>0</v>
      </c>
      <c r="L38" s="79">
        <f>'Core Loads'!L38</f>
        <v>0</v>
      </c>
      <c r="M38" s="79">
        <f>'Core Loads'!M38</f>
        <v>0</v>
      </c>
      <c r="N38" s="79">
        <f>'Core Loads'!N38</f>
        <v>0</v>
      </c>
      <c r="O38" s="79">
        <f>'Core Loads'!O38</f>
        <v>0</v>
      </c>
      <c r="P38" s="79">
        <f>'Core Loads'!P38</f>
        <v>0</v>
      </c>
      <c r="Q38" s="79">
        <f>'Core Loads'!Q38</f>
        <v>0</v>
      </c>
      <c r="R38" s="79">
        <f>'Core Loads'!R38</f>
        <v>0</v>
      </c>
      <c r="S38" s="79">
        <f>'Core Loads'!S38</f>
        <v>0</v>
      </c>
      <c r="T38" s="79">
        <f>'Core Loads'!T38</f>
        <v>0</v>
      </c>
      <c r="U38" s="79">
        <f>'Core Loads'!U38</f>
        <v>0</v>
      </c>
      <c r="V38" s="79">
        <f>'Core Loads'!V38</f>
        <v>0</v>
      </c>
      <c r="W38" s="79">
        <f>'Core Loads'!W38</f>
        <v>0</v>
      </c>
      <c r="X38" s="79">
        <f>'Core Loads'!X38</f>
        <v>0</v>
      </c>
      <c r="Y38" s="79">
        <f>'Core Loads'!Y38</f>
        <v>0</v>
      </c>
      <c r="Z38" s="79">
        <f>'Core Loads'!Z38</f>
        <v>0</v>
      </c>
      <c r="AA38" s="79">
        <f>'Core Loads'!AA38</f>
        <v>0</v>
      </c>
      <c r="AB38" s="79">
        <f>'Core Loads'!AB38</f>
        <v>0</v>
      </c>
      <c r="AC38" s="79">
        <f>'Core Loads'!AC38</f>
        <v>0</v>
      </c>
      <c r="AD38" s="79">
        <f>'Core Loads'!AD38</f>
        <v>0</v>
      </c>
      <c r="AE38" s="79">
        <f>'Core Loads'!AE38</f>
        <v>0</v>
      </c>
      <c r="AF38" s="79">
        <f>'Core Loads'!AF38</f>
        <v>0</v>
      </c>
      <c r="AH38" s="17" t="s">
        <v>279</v>
      </c>
    </row>
    <row r="39" spans="2:34" hidden="1" outlineLevel="1" x14ac:dyDescent="0.25">
      <c r="B39" s="31" t="s">
        <v>245</v>
      </c>
      <c r="C39" s="79">
        <f>'Core Loads'!C39</f>
        <v>0</v>
      </c>
      <c r="D39" s="79">
        <f>'Core Loads'!D39</f>
        <v>0</v>
      </c>
      <c r="E39" s="79">
        <f>'Core Loads'!E39</f>
        <v>0</v>
      </c>
      <c r="F39" s="79">
        <f>'Core Loads'!F39</f>
        <v>0</v>
      </c>
      <c r="G39" s="79">
        <f>'Core Loads'!G39</f>
        <v>0</v>
      </c>
      <c r="H39" s="79">
        <f>'Core Loads'!H39</f>
        <v>0</v>
      </c>
      <c r="I39" s="79">
        <f>'Core Loads'!I39</f>
        <v>0</v>
      </c>
      <c r="J39" s="79">
        <f>'Core Loads'!J39</f>
        <v>0</v>
      </c>
      <c r="K39" s="79">
        <f>'Core Loads'!K39</f>
        <v>0</v>
      </c>
      <c r="L39" s="79">
        <f>'Core Loads'!L39</f>
        <v>0</v>
      </c>
      <c r="M39" s="79">
        <f>'Core Loads'!M39</f>
        <v>0</v>
      </c>
      <c r="N39" s="79">
        <f>'Core Loads'!N39</f>
        <v>0</v>
      </c>
      <c r="O39" s="79">
        <f>'Core Loads'!O39</f>
        <v>0</v>
      </c>
      <c r="P39" s="79">
        <f>'Core Loads'!P39</f>
        <v>0</v>
      </c>
      <c r="Q39" s="79">
        <f>'Core Loads'!Q39</f>
        <v>0</v>
      </c>
      <c r="R39" s="79">
        <f>'Core Loads'!R39</f>
        <v>0</v>
      </c>
      <c r="S39" s="79">
        <f>'Core Loads'!S39</f>
        <v>0</v>
      </c>
      <c r="T39" s="79">
        <f>'Core Loads'!T39</f>
        <v>0</v>
      </c>
      <c r="U39" s="79">
        <f>'Core Loads'!U39</f>
        <v>0</v>
      </c>
      <c r="V39" s="79">
        <f>'Core Loads'!V39</f>
        <v>0</v>
      </c>
      <c r="W39" s="79">
        <f>'Core Loads'!W39</f>
        <v>0</v>
      </c>
      <c r="X39" s="79">
        <f>'Core Loads'!X39</f>
        <v>0</v>
      </c>
      <c r="Y39" s="79">
        <f>'Core Loads'!Y39</f>
        <v>0</v>
      </c>
      <c r="Z39" s="79">
        <f>'Core Loads'!Z39</f>
        <v>0</v>
      </c>
      <c r="AA39" s="79">
        <f>'Core Loads'!AA39</f>
        <v>0</v>
      </c>
      <c r="AB39" s="79">
        <f>'Core Loads'!AB39</f>
        <v>0</v>
      </c>
      <c r="AC39" s="79">
        <f>'Core Loads'!AC39</f>
        <v>0</v>
      </c>
      <c r="AD39" s="79">
        <f>'Core Loads'!AD39</f>
        <v>0</v>
      </c>
      <c r="AE39" s="79">
        <f>'Core Loads'!AE39</f>
        <v>0</v>
      </c>
      <c r="AF39" s="79">
        <f>'Core Loads'!AF39</f>
        <v>0</v>
      </c>
      <c r="AG39"/>
      <c r="AH39" s="17" t="s">
        <v>279</v>
      </c>
    </row>
    <row r="40" spans="2:34" hidden="1" outlineLevel="1" x14ac:dyDescent="0.25">
      <c r="B40" s="31" t="s">
        <v>149</v>
      </c>
      <c r="C40" s="79">
        <f>'Core Loads'!C40</f>
        <v>46914399.046774223</v>
      </c>
      <c r="D40" s="79">
        <f>'Core Loads'!D40</f>
        <v>46914399.046774223</v>
      </c>
      <c r="E40" s="79">
        <f>'Core Loads'!E40</f>
        <v>11884388.380107559</v>
      </c>
      <c r="F40" s="79">
        <f>'Core Loads'!F40</f>
        <v>11884388.380107559</v>
      </c>
      <c r="G40" s="79">
        <f>'Core Loads'!G40</f>
        <v>11884388.380107559</v>
      </c>
      <c r="H40" s="79">
        <f>'Core Loads'!H40</f>
        <v>0</v>
      </c>
      <c r="I40" s="79">
        <f>'Core Loads'!I40</f>
        <v>0</v>
      </c>
      <c r="J40" s="79">
        <f>'Core Loads'!J40</f>
        <v>0</v>
      </c>
      <c r="K40" s="79">
        <f>'Core Loads'!K40</f>
        <v>0</v>
      </c>
      <c r="L40" s="79">
        <f>'Core Loads'!L40</f>
        <v>0</v>
      </c>
      <c r="M40" s="79">
        <f>'Core Loads'!M40</f>
        <v>0</v>
      </c>
      <c r="N40" s="79">
        <f>'Core Loads'!N40</f>
        <v>0</v>
      </c>
      <c r="O40" s="79">
        <f>'Core Loads'!O40</f>
        <v>0</v>
      </c>
      <c r="P40" s="79">
        <f>'Core Loads'!P40</f>
        <v>0</v>
      </c>
      <c r="Q40" s="79">
        <f>'Core Loads'!Q40</f>
        <v>0</v>
      </c>
      <c r="R40" s="79">
        <f>'Core Loads'!R40</f>
        <v>0</v>
      </c>
      <c r="S40" s="79">
        <f>'Core Loads'!S40</f>
        <v>0</v>
      </c>
      <c r="T40" s="79">
        <f>'Core Loads'!T40</f>
        <v>0</v>
      </c>
      <c r="U40" s="79">
        <f>'Core Loads'!U40</f>
        <v>0</v>
      </c>
      <c r="V40" s="79">
        <f>'Core Loads'!V40</f>
        <v>0</v>
      </c>
      <c r="W40" s="79">
        <f>'Core Loads'!W40</f>
        <v>0</v>
      </c>
      <c r="X40" s="79">
        <f>'Core Loads'!X40</f>
        <v>0</v>
      </c>
      <c r="Y40" s="79">
        <f>'Core Loads'!Y40</f>
        <v>0</v>
      </c>
      <c r="Z40" s="79">
        <f>'Core Loads'!Z40</f>
        <v>0</v>
      </c>
      <c r="AA40" s="79">
        <f>'Core Loads'!AA40</f>
        <v>0</v>
      </c>
      <c r="AB40" s="79">
        <f>'Core Loads'!AB40</f>
        <v>0</v>
      </c>
      <c r="AC40" s="79">
        <f>'Core Loads'!AC40</f>
        <v>0</v>
      </c>
      <c r="AD40" s="79">
        <f>'Core Loads'!AD40</f>
        <v>0</v>
      </c>
      <c r="AE40" s="79">
        <f>'Core Loads'!AE40</f>
        <v>0</v>
      </c>
      <c r="AF40" s="79">
        <f>'Core Loads'!AF40</f>
        <v>0</v>
      </c>
      <c r="AG40"/>
      <c r="AH40" s="17" t="s">
        <v>279</v>
      </c>
    </row>
    <row r="41" spans="2:34" hidden="1" outlineLevel="1" x14ac:dyDescent="0.25">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c r="AH41"/>
    </row>
    <row r="42" spans="2:34" ht="15.75" hidden="1" outlineLevel="1" thickBot="1" x14ac:dyDescent="0.3">
      <c r="B42" s="28" t="s">
        <v>280</v>
      </c>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0"/>
      <c r="AH42" s="20" t="s">
        <v>15</v>
      </c>
    </row>
    <row r="43" spans="2:34" customFormat="1" hidden="1" outlineLevel="1" x14ac:dyDescent="0.25">
      <c r="B43" s="30"/>
      <c r="C43" s="17">
        <v>2025</v>
      </c>
      <c r="D43" s="44">
        <v>2026</v>
      </c>
      <c r="E43" s="44">
        <v>2027</v>
      </c>
      <c r="F43" s="44">
        <v>2028</v>
      </c>
      <c r="G43" s="44">
        <v>2029</v>
      </c>
      <c r="H43" s="44">
        <v>2030</v>
      </c>
      <c r="I43" s="44">
        <v>2031</v>
      </c>
      <c r="J43" s="44">
        <v>2032</v>
      </c>
      <c r="K43" s="44">
        <v>2033</v>
      </c>
      <c r="L43" s="44">
        <v>2034</v>
      </c>
      <c r="M43" s="44">
        <v>2035</v>
      </c>
      <c r="N43" s="44">
        <v>2036</v>
      </c>
      <c r="O43" s="44">
        <v>2037</v>
      </c>
      <c r="P43" s="44">
        <v>2038</v>
      </c>
      <c r="Q43" s="44">
        <v>2039</v>
      </c>
      <c r="R43" s="44">
        <v>2040</v>
      </c>
      <c r="S43" s="44">
        <v>2041</v>
      </c>
      <c r="T43" s="44">
        <v>2042</v>
      </c>
      <c r="U43" s="44">
        <v>2043</v>
      </c>
      <c r="V43" s="44">
        <v>2044</v>
      </c>
      <c r="W43" s="44">
        <v>2045</v>
      </c>
      <c r="X43" s="44">
        <v>2046</v>
      </c>
      <c r="Y43" s="44">
        <v>2047</v>
      </c>
      <c r="Z43" s="44">
        <v>2048</v>
      </c>
      <c r="AA43" s="44">
        <v>2049</v>
      </c>
      <c r="AB43" s="44">
        <v>2050</v>
      </c>
      <c r="AC43" s="44">
        <v>2051</v>
      </c>
      <c r="AD43" s="44">
        <v>2052</v>
      </c>
      <c r="AE43" s="44">
        <v>2053</v>
      </c>
      <c r="AF43" s="44">
        <v>2054</v>
      </c>
      <c r="AG43" s="1"/>
      <c r="AH43" s="1"/>
    </row>
    <row r="44" spans="2:34" hidden="1" outlineLevel="1" x14ac:dyDescent="0.25">
      <c r="B44" s="31" t="s">
        <v>144</v>
      </c>
      <c r="C44" s="79">
        <f>'Core Loads'!C44</f>
        <v>91218518.516397119</v>
      </c>
      <c r="D44" s="79">
        <f>'Core Loads'!D44</f>
        <v>91218518.516397119</v>
      </c>
      <c r="E44" s="79">
        <f>'Core Loads'!E44</f>
        <v>91218518.516397119</v>
      </c>
      <c r="F44" s="79">
        <f>'Core Loads'!F44</f>
        <v>91218518.516397119</v>
      </c>
      <c r="G44" s="79">
        <f>'Core Loads'!G44</f>
        <v>91218518.516397119</v>
      </c>
      <c r="H44" s="79">
        <f>'Core Loads'!H44</f>
        <v>89605158.712475568</v>
      </c>
      <c r="I44" s="79">
        <f>'Core Loads'!I44</f>
        <v>89605158.712475568</v>
      </c>
      <c r="J44" s="79">
        <f>'Core Loads'!J44</f>
        <v>89605158.712475568</v>
      </c>
      <c r="K44" s="79">
        <f>'Core Loads'!K44</f>
        <v>89605158.712475568</v>
      </c>
      <c r="L44" s="79">
        <f>'Core Loads'!L44</f>
        <v>89605158.712475568</v>
      </c>
      <c r="M44" s="79">
        <f>'Core Loads'!M44</f>
        <v>89605158.712475568</v>
      </c>
      <c r="N44" s="79">
        <f>'Core Loads'!N44</f>
        <v>89605158.712475568</v>
      </c>
      <c r="O44" s="79">
        <f>'Core Loads'!O44</f>
        <v>89605158.712475568</v>
      </c>
      <c r="P44" s="79">
        <f>'Core Loads'!P44</f>
        <v>89605158.712475568</v>
      </c>
      <c r="Q44" s="79">
        <f>'Core Loads'!Q44</f>
        <v>89605158.712475568</v>
      </c>
      <c r="R44" s="79">
        <f>'Core Loads'!R44</f>
        <v>89605158.712475568</v>
      </c>
      <c r="S44" s="79">
        <f>'Core Loads'!S44</f>
        <v>89605158.712475568</v>
      </c>
      <c r="T44" s="79">
        <f>'Core Loads'!T44</f>
        <v>89605158.712475568</v>
      </c>
      <c r="U44" s="79">
        <f>'Core Loads'!U44</f>
        <v>89605158.712475568</v>
      </c>
      <c r="V44" s="79">
        <f>'Core Loads'!V44</f>
        <v>89605158.712475568</v>
      </c>
      <c r="W44" s="79">
        <f>'Core Loads'!W44</f>
        <v>89605158.712475568</v>
      </c>
      <c r="X44" s="79">
        <f>'Core Loads'!X44</f>
        <v>89605158.712475568</v>
      </c>
      <c r="Y44" s="79">
        <f>'Core Loads'!Y44</f>
        <v>89605158.712475568</v>
      </c>
      <c r="Z44" s="79">
        <f>'Core Loads'!Z44</f>
        <v>89605158.712475568</v>
      </c>
      <c r="AA44" s="79">
        <f>'Core Loads'!AA44</f>
        <v>89605158.712475568</v>
      </c>
      <c r="AB44" s="79">
        <f>'Core Loads'!AB44</f>
        <v>89605158.712475568</v>
      </c>
      <c r="AC44" s="79">
        <f>'Core Loads'!AC44</f>
        <v>89605158.712475568</v>
      </c>
      <c r="AD44" s="79">
        <f>'Core Loads'!AD44</f>
        <v>89605158.712475568</v>
      </c>
      <c r="AE44" s="79">
        <f>'Core Loads'!AE44</f>
        <v>89605158.712475568</v>
      </c>
      <c r="AF44" s="79">
        <f>'Core Loads'!AF44</f>
        <v>89605158.712475568</v>
      </c>
      <c r="AG44"/>
      <c r="AH44" s="17" t="s">
        <v>279</v>
      </c>
    </row>
    <row r="45" spans="2:34" hidden="1" outlineLevel="1" x14ac:dyDescent="0.25">
      <c r="B45" s="31" t="s">
        <v>145</v>
      </c>
      <c r="C45" s="79">
        <f>'Core Loads'!C45</f>
        <v>0</v>
      </c>
      <c r="D45" s="79">
        <f>'Core Loads'!D45</f>
        <v>0</v>
      </c>
      <c r="E45" s="79">
        <f>'Core Loads'!E45</f>
        <v>0</v>
      </c>
      <c r="F45" s="79">
        <f>'Core Loads'!F45</f>
        <v>0</v>
      </c>
      <c r="G45" s="79">
        <f>'Core Loads'!G45</f>
        <v>0</v>
      </c>
      <c r="H45" s="79">
        <f>'Core Loads'!H45</f>
        <v>11884388.380107559</v>
      </c>
      <c r="I45" s="79">
        <f>'Core Loads'!I45</f>
        <v>11884388.380107559</v>
      </c>
      <c r="J45" s="79">
        <f>'Core Loads'!J45</f>
        <v>11884388.380107559</v>
      </c>
      <c r="K45" s="79">
        <f>'Core Loads'!K45</f>
        <v>11884388.380107559</v>
      </c>
      <c r="L45" s="79">
        <f>'Core Loads'!L45</f>
        <v>11884388.380107559</v>
      </c>
      <c r="M45" s="79">
        <f>'Core Loads'!M45</f>
        <v>11884388.380107559</v>
      </c>
      <c r="N45" s="79">
        <f>'Core Loads'!N45</f>
        <v>11884388.380107559</v>
      </c>
      <c r="O45" s="79">
        <f>'Core Loads'!O45</f>
        <v>11884388.380107559</v>
      </c>
      <c r="P45" s="79">
        <f>'Core Loads'!P45</f>
        <v>11884388.380107559</v>
      </c>
      <c r="Q45" s="79">
        <f>'Core Loads'!Q45</f>
        <v>11884388.380107559</v>
      </c>
      <c r="R45" s="79">
        <f>'Core Loads'!R45</f>
        <v>11884388.380107559</v>
      </c>
      <c r="S45" s="79">
        <f>'Core Loads'!S45</f>
        <v>11884388.380107559</v>
      </c>
      <c r="T45" s="79">
        <f>'Core Loads'!T45</f>
        <v>11525540.601956299</v>
      </c>
      <c r="U45" s="79">
        <f>'Core Loads'!U45</f>
        <v>11525540.601956299</v>
      </c>
      <c r="V45" s="79">
        <f>'Core Loads'!V45</f>
        <v>11525540.601956299</v>
      </c>
      <c r="W45" s="79">
        <f>'Core Loads'!W45</f>
        <v>11525540.601956299</v>
      </c>
      <c r="X45" s="79">
        <f>'Core Loads'!X45</f>
        <v>11525540.601956299</v>
      </c>
      <c r="Y45" s="79">
        <f>'Core Loads'!Y45</f>
        <v>11525540.601956299</v>
      </c>
      <c r="Z45" s="79">
        <f>'Core Loads'!Z45</f>
        <v>11525540.601956299</v>
      </c>
      <c r="AA45" s="79">
        <f>'Core Loads'!AA45</f>
        <v>11525540.601956299</v>
      </c>
      <c r="AB45" s="79">
        <f>'Core Loads'!AB45</f>
        <v>11525540.601956299</v>
      </c>
      <c r="AC45" s="79">
        <f>'Core Loads'!AC45</f>
        <v>11525540.601956299</v>
      </c>
      <c r="AD45" s="79">
        <f>'Core Loads'!AD45</f>
        <v>11525540.601956299</v>
      </c>
      <c r="AE45" s="79">
        <f>'Core Loads'!AE45</f>
        <v>11525540.601956299</v>
      </c>
      <c r="AF45" s="79">
        <f>'Core Loads'!AF45</f>
        <v>11525540.601956299</v>
      </c>
      <c r="AG45"/>
      <c r="AH45" s="17" t="s">
        <v>279</v>
      </c>
    </row>
    <row r="46" spans="2:34" customFormat="1" hidden="1" outlineLevel="1" x14ac:dyDescent="0.25">
      <c r="B46" s="31" t="s">
        <v>244</v>
      </c>
      <c r="C46" s="79">
        <f>'Core Loads'!C46</f>
        <v>0</v>
      </c>
      <c r="D46" s="79">
        <f>'Core Loads'!D46</f>
        <v>0</v>
      </c>
      <c r="E46" s="79">
        <f>'Core Loads'!E46</f>
        <v>35030010.666666664</v>
      </c>
      <c r="F46" s="79">
        <f>'Core Loads'!F46</f>
        <v>33517716.333333336</v>
      </c>
      <c r="G46" s="79">
        <f>'Core Loads'!G46</f>
        <v>33517716.333333336</v>
      </c>
      <c r="H46" s="79">
        <f>'Core Loads'!H46</f>
        <v>31998292.333333336</v>
      </c>
      <c r="I46" s="79">
        <f>'Core Loads'!I46</f>
        <v>31998292.333333336</v>
      </c>
      <c r="J46" s="79">
        <f>'Core Loads'!J46</f>
        <v>31998292.333333336</v>
      </c>
      <c r="K46" s="79">
        <f>'Core Loads'!K46</f>
        <v>31998292.333333336</v>
      </c>
      <c r="L46" s="79">
        <f>'Core Loads'!L46</f>
        <v>31998292.333333336</v>
      </c>
      <c r="M46" s="79">
        <f>'Core Loads'!M46</f>
        <v>31998292.333333336</v>
      </c>
      <c r="N46" s="79">
        <f>'Core Loads'!N46</f>
        <v>29833701.969607845</v>
      </c>
      <c r="O46" s="79">
        <f>'Core Loads'!O46</f>
        <v>29833701.969607845</v>
      </c>
      <c r="P46" s="79">
        <f>'Core Loads'!P46</f>
        <v>28875000.884313725</v>
      </c>
      <c r="Q46" s="79">
        <f>'Core Loads'!Q46</f>
        <v>28875000.884313725</v>
      </c>
      <c r="R46" s="79">
        <f>'Core Loads'!R46</f>
        <v>28875000.884313725</v>
      </c>
      <c r="S46" s="79">
        <f>'Core Loads'!S46</f>
        <v>28875000.884313725</v>
      </c>
      <c r="T46" s="79">
        <f>'Core Loads'!T46</f>
        <v>28875000.884313725</v>
      </c>
      <c r="U46" s="79">
        <f>'Core Loads'!U46</f>
        <v>28875000.884313725</v>
      </c>
      <c r="V46" s="79">
        <f>'Core Loads'!V46</f>
        <v>28875000.884313725</v>
      </c>
      <c r="W46" s="79">
        <f>'Core Loads'!W46</f>
        <v>28875000.884313725</v>
      </c>
      <c r="X46" s="79">
        <f>'Core Loads'!X46</f>
        <v>28875000.884313725</v>
      </c>
      <c r="Y46" s="79">
        <f>'Core Loads'!Y46</f>
        <v>28875000.884313725</v>
      </c>
      <c r="Z46" s="79">
        <f>'Core Loads'!Z46</f>
        <v>28875000.884313725</v>
      </c>
      <c r="AA46" s="79">
        <f>'Core Loads'!AA46</f>
        <v>28875000.884313725</v>
      </c>
      <c r="AB46" s="79">
        <f>'Core Loads'!AB46</f>
        <v>28875000.884313725</v>
      </c>
      <c r="AC46" s="79">
        <f>'Core Loads'!AC46</f>
        <v>28875000.884313725</v>
      </c>
      <c r="AD46" s="79">
        <f>'Core Loads'!AD46</f>
        <v>28875000.884313725</v>
      </c>
      <c r="AE46" s="79">
        <f>'Core Loads'!AE46</f>
        <v>28875000.884313725</v>
      </c>
      <c r="AF46" s="79">
        <f>'Core Loads'!AF46</f>
        <v>28875000.884313725</v>
      </c>
      <c r="AH46" s="17" t="s">
        <v>279</v>
      </c>
    </row>
    <row r="47" spans="2:34" hidden="1" outlineLevel="1" x14ac:dyDescent="0.25">
      <c r="B47" s="31" t="s">
        <v>147</v>
      </c>
      <c r="C47" s="79">
        <f>'Core Loads'!C47</f>
        <v>0</v>
      </c>
      <c r="D47" s="79">
        <f>'Core Loads'!D47</f>
        <v>0</v>
      </c>
      <c r="E47" s="79">
        <f>'Core Loads'!E47</f>
        <v>0</v>
      </c>
      <c r="F47" s="79">
        <f>'Core Loads'!F47</f>
        <v>0</v>
      </c>
      <c r="G47" s="79">
        <f>'Core Loads'!G47</f>
        <v>0</v>
      </c>
      <c r="H47" s="79">
        <f>'Core Loads'!H47</f>
        <v>0</v>
      </c>
      <c r="I47" s="79">
        <f>'Core Loads'!I47</f>
        <v>0</v>
      </c>
      <c r="J47" s="79">
        <f>'Core Loads'!J47</f>
        <v>0</v>
      </c>
      <c r="K47" s="79">
        <f>'Core Loads'!K47</f>
        <v>0</v>
      </c>
      <c r="L47" s="79">
        <f>'Core Loads'!L47</f>
        <v>0</v>
      </c>
      <c r="M47" s="79">
        <f>'Core Loads'!M47</f>
        <v>0</v>
      </c>
      <c r="N47" s="79">
        <f>'Core Loads'!N47</f>
        <v>0</v>
      </c>
      <c r="O47" s="79">
        <f>'Core Loads'!O47</f>
        <v>0</v>
      </c>
      <c r="P47" s="79">
        <f>'Core Loads'!P47</f>
        <v>0</v>
      </c>
      <c r="Q47" s="79">
        <f>'Core Loads'!Q47</f>
        <v>0</v>
      </c>
      <c r="R47" s="79">
        <f>'Core Loads'!R47</f>
        <v>0</v>
      </c>
      <c r="S47" s="79">
        <f>'Core Loads'!S47</f>
        <v>0</v>
      </c>
      <c r="T47" s="79">
        <f>'Core Loads'!T47</f>
        <v>0</v>
      </c>
      <c r="U47" s="79">
        <f>'Core Loads'!U47</f>
        <v>0</v>
      </c>
      <c r="V47" s="79">
        <f>'Core Loads'!V47</f>
        <v>0</v>
      </c>
      <c r="W47" s="79">
        <f>'Core Loads'!W47</f>
        <v>0</v>
      </c>
      <c r="X47" s="79">
        <f>'Core Loads'!X47</f>
        <v>0</v>
      </c>
      <c r="Y47" s="79">
        <f>'Core Loads'!Y47</f>
        <v>0</v>
      </c>
      <c r="Z47" s="79">
        <f>'Core Loads'!Z47</f>
        <v>0</v>
      </c>
      <c r="AA47" s="79">
        <f>'Core Loads'!AA47</f>
        <v>0</v>
      </c>
      <c r="AB47" s="79">
        <f>'Core Loads'!AB47</f>
        <v>0</v>
      </c>
      <c r="AC47" s="79">
        <f>'Core Loads'!AC47</f>
        <v>0</v>
      </c>
      <c r="AD47" s="79">
        <f>'Core Loads'!AD47</f>
        <v>0</v>
      </c>
      <c r="AE47" s="79">
        <f>'Core Loads'!AE47</f>
        <v>0</v>
      </c>
      <c r="AF47" s="79">
        <f>'Core Loads'!AF47</f>
        <v>0</v>
      </c>
      <c r="AG47"/>
      <c r="AH47" s="17" t="s">
        <v>279</v>
      </c>
    </row>
    <row r="48" spans="2:34" hidden="1" outlineLevel="1" x14ac:dyDescent="0.25">
      <c r="B48" s="31" t="s">
        <v>245</v>
      </c>
      <c r="C48" s="79">
        <f>'Core Loads'!C48</f>
        <v>0</v>
      </c>
      <c r="D48" s="79">
        <f>'Core Loads'!D48</f>
        <v>0</v>
      </c>
      <c r="E48" s="79">
        <f>'Core Loads'!E48</f>
        <v>0</v>
      </c>
      <c r="F48" s="79">
        <f>'Core Loads'!F48</f>
        <v>0</v>
      </c>
      <c r="G48" s="79">
        <f>'Core Loads'!G48</f>
        <v>0</v>
      </c>
      <c r="H48" s="79">
        <f>'Core Loads'!H48</f>
        <v>0</v>
      </c>
      <c r="I48" s="79">
        <f>'Core Loads'!I48</f>
        <v>0</v>
      </c>
      <c r="J48" s="79">
        <f>'Core Loads'!J48</f>
        <v>0</v>
      </c>
      <c r="K48" s="79">
        <f>'Core Loads'!K48</f>
        <v>0</v>
      </c>
      <c r="L48" s="79">
        <f>'Core Loads'!L48</f>
        <v>0</v>
      </c>
      <c r="M48" s="79">
        <f>'Core Loads'!M48</f>
        <v>0</v>
      </c>
      <c r="N48" s="79">
        <f>'Core Loads'!N48</f>
        <v>0</v>
      </c>
      <c r="O48" s="79">
        <f>'Core Loads'!O48</f>
        <v>0</v>
      </c>
      <c r="P48" s="79">
        <f>'Core Loads'!P48</f>
        <v>0</v>
      </c>
      <c r="Q48" s="79">
        <f>'Core Loads'!Q48</f>
        <v>0</v>
      </c>
      <c r="R48" s="79">
        <f>'Core Loads'!R48</f>
        <v>4623100.2231905619</v>
      </c>
      <c r="S48" s="79">
        <f>'Core Loads'!S48</f>
        <v>4623100.2231905619</v>
      </c>
      <c r="T48" s="79">
        <f>'Core Loads'!T48</f>
        <v>4623100.2231905619</v>
      </c>
      <c r="U48" s="79">
        <f>'Core Loads'!U48</f>
        <v>4623100.2231905619</v>
      </c>
      <c r="V48" s="79">
        <f>'Core Loads'!V48</f>
        <v>4623100.2231905619</v>
      </c>
      <c r="W48" s="79">
        <f>'Core Loads'!W48</f>
        <v>4623100.2231905619</v>
      </c>
      <c r="X48" s="79">
        <f>'Core Loads'!X48</f>
        <v>4623100.2231905619</v>
      </c>
      <c r="Y48" s="79">
        <f>'Core Loads'!Y48</f>
        <v>4623100.2231905619</v>
      </c>
      <c r="Z48" s="79">
        <f>'Core Loads'!Z48</f>
        <v>4623100.2231905619</v>
      </c>
      <c r="AA48" s="79">
        <f>'Core Loads'!AA48</f>
        <v>4623100.2231905619</v>
      </c>
      <c r="AB48" s="79">
        <f>'Core Loads'!AB48</f>
        <v>4623100.2231905619</v>
      </c>
      <c r="AC48" s="79">
        <f>'Core Loads'!AC48</f>
        <v>4623100.2231905619</v>
      </c>
      <c r="AD48" s="79">
        <f>'Core Loads'!AD48</f>
        <v>4623100.2231905619</v>
      </c>
      <c r="AE48" s="79">
        <f>'Core Loads'!AE48</f>
        <v>4623100.2231905619</v>
      </c>
      <c r="AF48" s="79">
        <f>'Core Loads'!AF48</f>
        <v>4623100.2231905619</v>
      </c>
      <c r="AG48"/>
      <c r="AH48" s="17" t="s">
        <v>279</v>
      </c>
    </row>
    <row r="49" spans="2:35" hidden="1" outlineLevel="1" x14ac:dyDescent="0.25">
      <c r="B49" s="31" t="s">
        <v>149</v>
      </c>
      <c r="C49" s="79">
        <f>'Core Loads'!C49</f>
        <v>91218518.516397119</v>
      </c>
      <c r="D49" s="79">
        <f>'Core Loads'!D49</f>
        <v>91218518.516397119</v>
      </c>
      <c r="E49" s="79">
        <f>'Core Loads'!E49</f>
        <v>126248529.18306378</v>
      </c>
      <c r="F49" s="79">
        <f>'Core Loads'!F49</f>
        <v>124736234.84973046</v>
      </c>
      <c r="G49" s="79">
        <f>'Core Loads'!G49</f>
        <v>124736234.84973046</v>
      </c>
      <c r="H49" s="79">
        <f>'Core Loads'!H49</f>
        <v>133487839.42591646</v>
      </c>
      <c r="I49" s="79">
        <f>'Core Loads'!I49</f>
        <v>133487839.42591646</v>
      </c>
      <c r="J49" s="79">
        <f>'Core Loads'!J49</f>
        <v>133487839.42591646</v>
      </c>
      <c r="K49" s="79">
        <f>'Core Loads'!K49</f>
        <v>133487839.42591646</v>
      </c>
      <c r="L49" s="79">
        <f>'Core Loads'!L49</f>
        <v>133487839.42591646</v>
      </c>
      <c r="M49" s="79">
        <f>'Core Loads'!M49</f>
        <v>133487839.42591646</v>
      </c>
      <c r="N49" s="79">
        <f>'Core Loads'!N49</f>
        <v>131323249.06219096</v>
      </c>
      <c r="O49" s="79">
        <f>'Core Loads'!O49</f>
        <v>131323249.06219096</v>
      </c>
      <c r="P49" s="79">
        <f>'Core Loads'!P49</f>
        <v>130364547.97689685</v>
      </c>
      <c r="Q49" s="79">
        <f>'Core Loads'!Q49</f>
        <v>130364547.97689685</v>
      </c>
      <c r="R49" s="79">
        <f>'Core Loads'!R49</f>
        <v>134987648.20008743</v>
      </c>
      <c r="S49" s="79">
        <f>'Core Loads'!S49</f>
        <v>134987648.20008743</v>
      </c>
      <c r="T49" s="79">
        <f>'Core Loads'!T49</f>
        <v>134628800.42193615</v>
      </c>
      <c r="U49" s="79">
        <f>'Core Loads'!U49</f>
        <v>134628800.42193615</v>
      </c>
      <c r="V49" s="79">
        <f>'Core Loads'!V49</f>
        <v>134628800.42193615</v>
      </c>
      <c r="W49" s="79">
        <f>'Core Loads'!W49</f>
        <v>134628800.42193615</v>
      </c>
      <c r="X49" s="79">
        <f>'Core Loads'!X49</f>
        <v>134628800.42193615</v>
      </c>
      <c r="Y49" s="79">
        <f>'Core Loads'!Y49</f>
        <v>134628800.42193615</v>
      </c>
      <c r="Z49" s="79">
        <f>'Core Loads'!Z49</f>
        <v>134628800.42193615</v>
      </c>
      <c r="AA49" s="79">
        <f>'Core Loads'!AA49</f>
        <v>134628800.42193615</v>
      </c>
      <c r="AB49" s="79">
        <f>'Core Loads'!AB49</f>
        <v>134628800.42193615</v>
      </c>
      <c r="AC49" s="79">
        <f>'Core Loads'!AC49</f>
        <v>134628800.42193615</v>
      </c>
      <c r="AD49" s="79">
        <f>'Core Loads'!AD49</f>
        <v>134628800.42193615</v>
      </c>
      <c r="AE49" s="79">
        <f>'Core Loads'!AE49</f>
        <v>134628800.42193615</v>
      </c>
      <c r="AF49" s="79">
        <f>'Core Loads'!AF49</f>
        <v>134628800.42193615</v>
      </c>
      <c r="AG49"/>
      <c r="AH49" s="17" t="s">
        <v>279</v>
      </c>
    </row>
    <row r="50" spans="2:35" hidden="1" outlineLevel="1" x14ac:dyDescent="0.25">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c r="AH50"/>
    </row>
    <row r="51" spans="2:35" hidden="1" outlineLevel="1" x14ac:dyDescent="0.25">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c r="AH51"/>
    </row>
    <row r="52" spans="2:35" ht="17.25" hidden="1" outlineLevel="1" thickBot="1" x14ac:dyDescent="0.3">
      <c r="B52" s="26" t="s">
        <v>282</v>
      </c>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row>
    <row r="53" spans="2:35" ht="16.5" hidden="1" outlineLevel="1" thickTop="1" thickBot="1" x14ac:dyDescent="0.3">
      <c r="B53" s="28" t="s">
        <v>278</v>
      </c>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0"/>
      <c r="AH53" s="20" t="s">
        <v>15</v>
      </c>
    </row>
    <row r="54" spans="2:35" customFormat="1" hidden="1" outlineLevel="1" x14ac:dyDescent="0.25">
      <c r="B54" s="30"/>
      <c r="C54" s="17">
        <v>2025</v>
      </c>
      <c r="D54" s="44">
        <v>2026</v>
      </c>
      <c r="E54" s="44">
        <v>2027</v>
      </c>
      <c r="F54" s="44">
        <v>2028</v>
      </c>
      <c r="G54" s="44">
        <v>2029</v>
      </c>
      <c r="H54" s="44">
        <v>2030</v>
      </c>
      <c r="I54" s="44">
        <v>2031</v>
      </c>
      <c r="J54" s="44">
        <v>2032</v>
      </c>
      <c r="K54" s="44">
        <v>2033</v>
      </c>
      <c r="L54" s="44">
        <v>2034</v>
      </c>
      <c r="M54" s="44">
        <v>2035</v>
      </c>
      <c r="N54" s="44">
        <v>2036</v>
      </c>
      <c r="O54" s="44">
        <v>2037</v>
      </c>
      <c r="P54" s="44">
        <v>2038</v>
      </c>
      <c r="Q54" s="44">
        <v>2039</v>
      </c>
      <c r="R54" s="44">
        <v>2040</v>
      </c>
      <c r="S54" s="44">
        <v>2041</v>
      </c>
      <c r="T54" s="44">
        <v>2042</v>
      </c>
      <c r="U54" s="44">
        <v>2043</v>
      </c>
      <c r="V54" s="44">
        <v>2044</v>
      </c>
      <c r="W54" s="44">
        <v>2045</v>
      </c>
      <c r="X54" s="44">
        <v>2046</v>
      </c>
      <c r="Y54" s="44">
        <v>2047</v>
      </c>
      <c r="Z54" s="44">
        <v>2048</v>
      </c>
      <c r="AA54" s="44">
        <v>2049</v>
      </c>
      <c r="AB54" s="44">
        <v>2050</v>
      </c>
      <c r="AC54" s="44">
        <v>2051</v>
      </c>
      <c r="AD54" s="44">
        <v>2052</v>
      </c>
      <c r="AE54" s="44">
        <v>2053</v>
      </c>
      <c r="AF54" s="44">
        <v>2054</v>
      </c>
      <c r="AH54" s="1"/>
      <c r="AI54" s="1"/>
    </row>
    <row r="55" spans="2:35" hidden="1" outlineLevel="1" x14ac:dyDescent="0.25">
      <c r="B55" s="31" t="s">
        <v>144</v>
      </c>
      <c r="C55" s="79">
        <f>'Core Loads'!C55</f>
        <v>0</v>
      </c>
      <c r="D55" s="79">
        <f>'Core Loads'!D55</f>
        <v>0</v>
      </c>
      <c r="E55" s="79">
        <f>'Core Loads'!E55</f>
        <v>0</v>
      </c>
      <c r="F55" s="79">
        <f>'Core Loads'!F55</f>
        <v>0</v>
      </c>
      <c r="G55" s="79">
        <f>'Core Loads'!G55</f>
        <v>0</v>
      </c>
      <c r="H55" s="79">
        <f>'Core Loads'!H55</f>
        <v>0</v>
      </c>
      <c r="I55" s="79">
        <f>'Core Loads'!I55</f>
        <v>0</v>
      </c>
      <c r="J55" s="79">
        <f>'Core Loads'!J55</f>
        <v>0</v>
      </c>
      <c r="K55" s="79">
        <f>'Core Loads'!K55</f>
        <v>0</v>
      </c>
      <c r="L55" s="79">
        <f>'Core Loads'!L55</f>
        <v>0</v>
      </c>
      <c r="M55" s="79">
        <f>'Core Loads'!M55</f>
        <v>0</v>
      </c>
      <c r="N55" s="79">
        <f>'Core Loads'!N55</f>
        <v>0</v>
      </c>
      <c r="O55" s="79">
        <f>'Core Loads'!O55</f>
        <v>0</v>
      </c>
      <c r="P55" s="79">
        <f>'Core Loads'!P55</f>
        <v>0</v>
      </c>
      <c r="Q55" s="79">
        <f>'Core Loads'!Q55</f>
        <v>0</v>
      </c>
      <c r="R55" s="79">
        <f>'Core Loads'!R55</f>
        <v>0</v>
      </c>
      <c r="S55" s="79">
        <f>'Core Loads'!S55</f>
        <v>0</v>
      </c>
      <c r="T55" s="79">
        <f>'Core Loads'!T55</f>
        <v>0</v>
      </c>
      <c r="U55" s="79">
        <f>'Core Loads'!U55</f>
        <v>0</v>
      </c>
      <c r="V55" s="79">
        <f>'Core Loads'!V55</f>
        <v>0</v>
      </c>
      <c r="W55" s="79">
        <f>'Core Loads'!W55</f>
        <v>0</v>
      </c>
      <c r="X55" s="79">
        <f>'Core Loads'!X55</f>
        <v>0</v>
      </c>
      <c r="Y55" s="79">
        <f>'Core Loads'!Y55</f>
        <v>0</v>
      </c>
      <c r="Z55" s="79">
        <f>'Core Loads'!Z55</f>
        <v>0</v>
      </c>
      <c r="AA55" s="79">
        <f>'Core Loads'!AA55</f>
        <v>0</v>
      </c>
      <c r="AB55" s="79">
        <f>'Core Loads'!AB55</f>
        <v>0</v>
      </c>
      <c r="AC55" s="79">
        <f>'Core Loads'!AC55</f>
        <v>0</v>
      </c>
      <c r="AD55" s="79">
        <f>'Core Loads'!AD55</f>
        <v>0</v>
      </c>
      <c r="AE55" s="79">
        <f>'Core Loads'!AE55</f>
        <v>0</v>
      </c>
      <c r="AF55" s="79">
        <f>'Core Loads'!AF55</f>
        <v>0</v>
      </c>
      <c r="AG55"/>
      <c r="AH55" s="17" t="s">
        <v>279</v>
      </c>
    </row>
    <row r="56" spans="2:35" customFormat="1" hidden="1" outlineLevel="1" x14ac:dyDescent="0.25">
      <c r="B56" s="31" t="s">
        <v>145</v>
      </c>
      <c r="C56" s="79">
        <f>'Core Loads'!C56</f>
        <v>98109.353104549853</v>
      </c>
      <c r="D56" s="79">
        <f>'Core Loads'!D56</f>
        <v>98109.353104549853</v>
      </c>
      <c r="E56" s="79">
        <f>'Core Loads'!E56</f>
        <v>98109.353104549853</v>
      </c>
      <c r="F56" s="79">
        <f>'Core Loads'!F56</f>
        <v>98109.353104549853</v>
      </c>
      <c r="G56" s="79">
        <f>'Core Loads'!G56</f>
        <v>98109.353104549853</v>
      </c>
      <c r="H56" s="79">
        <f>'Core Loads'!H56</f>
        <v>0</v>
      </c>
      <c r="I56" s="79">
        <f>'Core Loads'!I56</f>
        <v>0</v>
      </c>
      <c r="J56" s="79">
        <f>'Core Loads'!J56</f>
        <v>0</v>
      </c>
      <c r="K56" s="79">
        <f>'Core Loads'!K56</f>
        <v>0</v>
      </c>
      <c r="L56" s="79">
        <f>'Core Loads'!L56</f>
        <v>0</v>
      </c>
      <c r="M56" s="79">
        <f>'Core Loads'!M56</f>
        <v>0</v>
      </c>
      <c r="N56" s="79">
        <f>'Core Loads'!N56</f>
        <v>0</v>
      </c>
      <c r="O56" s="79">
        <f>'Core Loads'!O56</f>
        <v>0</v>
      </c>
      <c r="P56" s="79">
        <f>'Core Loads'!P56</f>
        <v>0</v>
      </c>
      <c r="Q56" s="79">
        <f>'Core Loads'!Q56</f>
        <v>0</v>
      </c>
      <c r="R56" s="79">
        <f>'Core Loads'!R56</f>
        <v>0</v>
      </c>
      <c r="S56" s="79">
        <f>'Core Loads'!S56</f>
        <v>0</v>
      </c>
      <c r="T56" s="79">
        <f>'Core Loads'!T56</f>
        <v>0</v>
      </c>
      <c r="U56" s="79">
        <f>'Core Loads'!U56</f>
        <v>0</v>
      </c>
      <c r="V56" s="79">
        <f>'Core Loads'!V56</f>
        <v>0</v>
      </c>
      <c r="W56" s="79">
        <f>'Core Loads'!W56</f>
        <v>0</v>
      </c>
      <c r="X56" s="79">
        <f>'Core Loads'!X56</f>
        <v>0</v>
      </c>
      <c r="Y56" s="79">
        <f>'Core Loads'!Y56</f>
        <v>0</v>
      </c>
      <c r="Z56" s="79">
        <f>'Core Loads'!Z56</f>
        <v>0</v>
      </c>
      <c r="AA56" s="79">
        <f>'Core Loads'!AA56</f>
        <v>0</v>
      </c>
      <c r="AB56" s="79">
        <f>'Core Loads'!AB56</f>
        <v>0</v>
      </c>
      <c r="AC56" s="79">
        <f>'Core Loads'!AC56</f>
        <v>0</v>
      </c>
      <c r="AD56" s="79">
        <f>'Core Loads'!AD56</f>
        <v>0</v>
      </c>
      <c r="AE56" s="79">
        <f>'Core Loads'!AE56</f>
        <v>0</v>
      </c>
      <c r="AF56" s="79">
        <f>'Core Loads'!AF56</f>
        <v>0</v>
      </c>
      <c r="AH56" s="17" t="s">
        <v>279</v>
      </c>
    </row>
    <row r="57" spans="2:35" hidden="1" outlineLevel="1" x14ac:dyDescent="0.25">
      <c r="B57" s="31" t="s">
        <v>244</v>
      </c>
      <c r="C57" s="79">
        <f>'Core Loads'!C57</f>
        <v>249408.4642786741</v>
      </c>
      <c r="D57" s="79">
        <f>'Core Loads'!D57</f>
        <v>249408.4642786741</v>
      </c>
      <c r="E57" s="79">
        <f>'Core Loads'!E57</f>
        <v>31507.726846091588</v>
      </c>
      <c r="F57" s="79">
        <f>'Core Loads'!F57</f>
        <v>31507.726846091588</v>
      </c>
      <c r="G57" s="79">
        <f>'Core Loads'!G57</f>
        <v>31507.726846091588</v>
      </c>
      <c r="H57" s="79">
        <f>'Core Loads'!H57</f>
        <v>0</v>
      </c>
      <c r="I57" s="79">
        <f>'Core Loads'!I57</f>
        <v>0</v>
      </c>
      <c r="J57" s="79">
        <f>'Core Loads'!J57</f>
        <v>0</v>
      </c>
      <c r="K57" s="79">
        <f>'Core Loads'!K57</f>
        <v>0</v>
      </c>
      <c r="L57" s="79">
        <f>'Core Loads'!L57</f>
        <v>0</v>
      </c>
      <c r="M57" s="79">
        <f>'Core Loads'!M57</f>
        <v>0</v>
      </c>
      <c r="N57" s="79">
        <f>'Core Loads'!N57</f>
        <v>0</v>
      </c>
      <c r="O57" s="79">
        <f>'Core Loads'!O57</f>
        <v>0</v>
      </c>
      <c r="P57" s="79">
        <f>'Core Loads'!P57</f>
        <v>0</v>
      </c>
      <c r="Q57" s="79">
        <f>'Core Loads'!Q57</f>
        <v>0</v>
      </c>
      <c r="R57" s="79">
        <f>'Core Loads'!R57</f>
        <v>0</v>
      </c>
      <c r="S57" s="79">
        <f>'Core Loads'!S57</f>
        <v>0</v>
      </c>
      <c r="T57" s="79">
        <f>'Core Loads'!T57</f>
        <v>0</v>
      </c>
      <c r="U57" s="79">
        <f>'Core Loads'!U57</f>
        <v>0</v>
      </c>
      <c r="V57" s="79">
        <f>'Core Loads'!V57</f>
        <v>0</v>
      </c>
      <c r="W57" s="79">
        <f>'Core Loads'!W57</f>
        <v>0</v>
      </c>
      <c r="X57" s="79">
        <f>'Core Loads'!X57</f>
        <v>0</v>
      </c>
      <c r="Y57" s="79">
        <f>'Core Loads'!Y57</f>
        <v>0</v>
      </c>
      <c r="Z57" s="79">
        <f>'Core Loads'!Z57</f>
        <v>0</v>
      </c>
      <c r="AA57" s="79">
        <f>'Core Loads'!AA57</f>
        <v>0</v>
      </c>
      <c r="AB57" s="79">
        <f>'Core Loads'!AB57</f>
        <v>0</v>
      </c>
      <c r="AC57" s="79">
        <f>'Core Loads'!AC57</f>
        <v>0</v>
      </c>
      <c r="AD57" s="79">
        <f>'Core Loads'!AD57</f>
        <v>0</v>
      </c>
      <c r="AE57" s="79">
        <f>'Core Loads'!AE57</f>
        <v>0</v>
      </c>
      <c r="AF57" s="79">
        <f>'Core Loads'!AF57</f>
        <v>0</v>
      </c>
      <c r="AG57"/>
      <c r="AH57" s="17" t="s">
        <v>279</v>
      </c>
    </row>
    <row r="58" spans="2:35" hidden="1" outlineLevel="1" x14ac:dyDescent="0.25">
      <c r="B58" s="31" t="s">
        <v>147</v>
      </c>
      <c r="C58" s="79">
        <f>'Core Loads'!C58</f>
        <v>0</v>
      </c>
      <c r="D58" s="79">
        <f>'Core Loads'!D58</f>
        <v>0</v>
      </c>
      <c r="E58" s="79">
        <f>'Core Loads'!E58</f>
        <v>0</v>
      </c>
      <c r="F58" s="79">
        <f>'Core Loads'!F58</f>
        <v>0</v>
      </c>
      <c r="G58" s="79">
        <f>'Core Loads'!G58</f>
        <v>0</v>
      </c>
      <c r="H58" s="79">
        <f>'Core Loads'!H58</f>
        <v>0</v>
      </c>
      <c r="I58" s="79">
        <f>'Core Loads'!I58</f>
        <v>0</v>
      </c>
      <c r="J58" s="79">
        <f>'Core Loads'!J58</f>
        <v>0</v>
      </c>
      <c r="K58" s="79">
        <f>'Core Loads'!K58</f>
        <v>0</v>
      </c>
      <c r="L58" s="79">
        <f>'Core Loads'!L58</f>
        <v>0</v>
      </c>
      <c r="M58" s="79">
        <f>'Core Loads'!M58</f>
        <v>0</v>
      </c>
      <c r="N58" s="79">
        <f>'Core Loads'!N58</f>
        <v>0</v>
      </c>
      <c r="O58" s="79">
        <f>'Core Loads'!O58</f>
        <v>0</v>
      </c>
      <c r="P58" s="79">
        <f>'Core Loads'!P58</f>
        <v>0</v>
      </c>
      <c r="Q58" s="79">
        <f>'Core Loads'!Q58</f>
        <v>0</v>
      </c>
      <c r="R58" s="79">
        <f>'Core Loads'!R58</f>
        <v>0</v>
      </c>
      <c r="S58" s="79">
        <f>'Core Loads'!S58</f>
        <v>0</v>
      </c>
      <c r="T58" s="79">
        <f>'Core Loads'!T58</f>
        <v>0</v>
      </c>
      <c r="U58" s="79">
        <f>'Core Loads'!U58</f>
        <v>0</v>
      </c>
      <c r="V58" s="79">
        <f>'Core Loads'!V58</f>
        <v>0</v>
      </c>
      <c r="W58" s="79">
        <f>'Core Loads'!W58</f>
        <v>0</v>
      </c>
      <c r="X58" s="79">
        <f>'Core Loads'!X58</f>
        <v>0</v>
      </c>
      <c r="Y58" s="79">
        <f>'Core Loads'!Y58</f>
        <v>0</v>
      </c>
      <c r="Z58" s="79">
        <f>'Core Loads'!Z58</f>
        <v>0</v>
      </c>
      <c r="AA58" s="79">
        <f>'Core Loads'!AA58</f>
        <v>0</v>
      </c>
      <c r="AB58" s="79">
        <f>'Core Loads'!AB58</f>
        <v>0</v>
      </c>
      <c r="AC58" s="79">
        <f>'Core Loads'!AC58</f>
        <v>0</v>
      </c>
      <c r="AD58" s="79">
        <f>'Core Loads'!AD58</f>
        <v>0</v>
      </c>
      <c r="AE58" s="79">
        <f>'Core Loads'!AE58</f>
        <v>0</v>
      </c>
      <c r="AF58" s="79">
        <f>'Core Loads'!AF58</f>
        <v>0</v>
      </c>
      <c r="AG58"/>
      <c r="AH58" s="17" t="s">
        <v>279</v>
      </c>
    </row>
    <row r="59" spans="2:35" hidden="1" outlineLevel="1" x14ac:dyDescent="0.25">
      <c r="B59" s="31" t="s">
        <v>245</v>
      </c>
      <c r="C59" s="79">
        <f>'Core Loads'!C59</f>
        <v>15010.998282483361</v>
      </c>
      <c r="D59" s="79">
        <f>'Core Loads'!D59</f>
        <v>15010.998282483361</v>
      </c>
      <c r="E59" s="79">
        <f>'Core Loads'!E59</f>
        <v>15010.998282483361</v>
      </c>
      <c r="F59" s="79">
        <f>'Core Loads'!F59</f>
        <v>15010.998282483361</v>
      </c>
      <c r="G59" s="79">
        <f>'Core Loads'!G59</f>
        <v>15010.998282483361</v>
      </c>
      <c r="H59" s="79">
        <f>'Core Loads'!H59</f>
        <v>15010.998282483361</v>
      </c>
      <c r="I59" s="79">
        <f>'Core Loads'!I59</f>
        <v>15010.998282483361</v>
      </c>
      <c r="J59" s="79">
        <f>'Core Loads'!J59</f>
        <v>0</v>
      </c>
      <c r="K59" s="79">
        <f>'Core Loads'!K59</f>
        <v>0</v>
      </c>
      <c r="L59" s="79">
        <f>'Core Loads'!L59</f>
        <v>0</v>
      </c>
      <c r="M59" s="79">
        <f>'Core Loads'!M59</f>
        <v>0</v>
      </c>
      <c r="N59" s="79">
        <f>'Core Loads'!N59</f>
        <v>0</v>
      </c>
      <c r="O59" s="79">
        <f>'Core Loads'!O59</f>
        <v>0</v>
      </c>
      <c r="P59" s="79">
        <f>'Core Loads'!P59</f>
        <v>0</v>
      </c>
      <c r="Q59" s="79">
        <f>'Core Loads'!Q59</f>
        <v>0</v>
      </c>
      <c r="R59" s="79">
        <f>'Core Loads'!R59</f>
        <v>0</v>
      </c>
      <c r="S59" s="79">
        <f>'Core Loads'!S59</f>
        <v>0</v>
      </c>
      <c r="T59" s="79">
        <f>'Core Loads'!T59</f>
        <v>0</v>
      </c>
      <c r="U59" s="79">
        <f>'Core Loads'!U59</f>
        <v>0</v>
      </c>
      <c r="V59" s="79">
        <f>'Core Loads'!V59</f>
        <v>0</v>
      </c>
      <c r="W59" s="79">
        <f>'Core Loads'!W59</f>
        <v>0</v>
      </c>
      <c r="X59" s="79">
        <f>'Core Loads'!X59</f>
        <v>0</v>
      </c>
      <c r="Y59" s="79">
        <f>'Core Loads'!Y59</f>
        <v>0</v>
      </c>
      <c r="Z59" s="79">
        <f>'Core Loads'!Z59</f>
        <v>0</v>
      </c>
      <c r="AA59" s="79">
        <f>'Core Loads'!AA59</f>
        <v>0</v>
      </c>
      <c r="AB59" s="79">
        <f>'Core Loads'!AB59</f>
        <v>0</v>
      </c>
      <c r="AC59" s="79">
        <f>'Core Loads'!AC59</f>
        <v>0</v>
      </c>
      <c r="AD59" s="79">
        <f>'Core Loads'!AD59</f>
        <v>0</v>
      </c>
      <c r="AE59" s="79">
        <f>'Core Loads'!AE59</f>
        <v>0</v>
      </c>
      <c r="AF59" s="79">
        <f>'Core Loads'!AF59</f>
        <v>0</v>
      </c>
      <c r="AG59"/>
      <c r="AH59" s="17" t="s">
        <v>279</v>
      </c>
    </row>
    <row r="60" spans="2:35" hidden="1" outlineLevel="1" x14ac:dyDescent="0.25">
      <c r="B60" s="31" t="s">
        <v>149</v>
      </c>
      <c r="C60" s="79">
        <f>'Core Loads'!C60</f>
        <v>362528.81566570734</v>
      </c>
      <c r="D60" s="79">
        <f>'Core Loads'!D60</f>
        <v>362528.81566570734</v>
      </c>
      <c r="E60" s="79">
        <f>'Core Loads'!E60</f>
        <v>144628.0782331248</v>
      </c>
      <c r="F60" s="79">
        <f>'Core Loads'!F60</f>
        <v>144628.0782331248</v>
      </c>
      <c r="G60" s="79">
        <f>'Core Loads'!G60</f>
        <v>144628.0782331248</v>
      </c>
      <c r="H60" s="79">
        <f>'Core Loads'!H60</f>
        <v>15010.998282483361</v>
      </c>
      <c r="I60" s="79">
        <f>'Core Loads'!I60</f>
        <v>15010.998282483361</v>
      </c>
      <c r="J60" s="79">
        <f>'Core Loads'!J60</f>
        <v>0</v>
      </c>
      <c r="K60" s="79">
        <f>'Core Loads'!K60</f>
        <v>0</v>
      </c>
      <c r="L60" s="79">
        <f>'Core Loads'!L60</f>
        <v>0</v>
      </c>
      <c r="M60" s="79">
        <f>'Core Loads'!M60</f>
        <v>0</v>
      </c>
      <c r="N60" s="79">
        <f>'Core Loads'!N60</f>
        <v>0</v>
      </c>
      <c r="O60" s="79">
        <f>'Core Loads'!O60</f>
        <v>0</v>
      </c>
      <c r="P60" s="79">
        <f>'Core Loads'!P60</f>
        <v>0</v>
      </c>
      <c r="Q60" s="79">
        <f>'Core Loads'!Q60</f>
        <v>0</v>
      </c>
      <c r="R60" s="79">
        <f>'Core Loads'!R60</f>
        <v>0</v>
      </c>
      <c r="S60" s="79">
        <f>'Core Loads'!S60</f>
        <v>0</v>
      </c>
      <c r="T60" s="79">
        <f>'Core Loads'!T60</f>
        <v>0</v>
      </c>
      <c r="U60" s="79">
        <f>'Core Loads'!U60</f>
        <v>0</v>
      </c>
      <c r="V60" s="79">
        <f>'Core Loads'!V60</f>
        <v>0</v>
      </c>
      <c r="W60" s="79">
        <f>'Core Loads'!W60</f>
        <v>0</v>
      </c>
      <c r="X60" s="79">
        <f>'Core Loads'!X60</f>
        <v>0</v>
      </c>
      <c r="Y60" s="79">
        <f>'Core Loads'!Y60</f>
        <v>0</v>
      </c>
      <c r="Z60" s="79">
        <f>'Core Loads'!Z60</f>
        <v>0</v>
      </c>
      <c r="AA60" s="79">
        <f>'Core Loads'!AA60</f>
        <v>0</v>
      </c>
      <c r="AB60" s="79">
        <f>'Core Loads'!AB60</f>
        <v>0</v>
      </c>
      <c r="AC60" s="79">
        <f>'Core Loads'!AC60</f>
        <v>0</v>
      </c>
      <c r="AD60" s="79">
        <f>'Core Loads'!AD60</f>
        <v>0</v>
      </c>
      <c r="AE60" s="79">
        <f>'Core Loads'!AE60</f>
        <v>0</v>
      </c>
      <c r="AF60" s="79">
        <f>'Core Loads'!AF60</f>
        <v>0</v>
      </c>
      <c r="AG60"/>
      <c r="AH60" s="17" t="s">
        <v>279</v>
      </c>
    </row>
    <row r="61" spans="2:35" hidden="1" outlineLevel="1" x14ac:dyDescent="0.25">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row>
    <row r="62" spans="2:35" ht="15.75" hidden="1" outlineLevel="1" thickBot="1" x14ac:dyDescent="0.3">
      <c r="B62" s="28" t="s">
        <v>280</v>
      </c>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0"/>
      <c r="AH62" s="20" t="s">
        <v>15</v>
      </c>
    </row>
    <row r="63" spans="2:35" customFormat="1" hidden="1" outlineLevel="1" x14ac:dyDescent="0.25">
      <c r="B63" s="30"/>
      <c r="C63" s="17">
        <v>2025</v>
      </c>
      <c r="D63" s="44">
        <v>2026</v>
      </c>
      <c r="E63" s="44">
        <v>2027</v>
      </c>
      <c r="F63" s="44">
        <v>2028</v>
      </c>
      <c r="G63" s="44">
        <v>2029</v>
      </c>
      <c r="H63" s="44">
        <v>2030</v>
      </c>
      <c r="I63" s="44">
        <v>2031</v>
      </c>
      <c r="J63" s="44">
        <v>2032</v>
      </c>
      <c r="K63" s="44">
        <v>2033</v>
      </c>
      <c r="L63" s="44">
        <v>2034</v>
      </c>
      <c r="M63" s="44">
        <v>2035</v>
      </c>
      <c r="N63" s="44">
        <v>2036</v>
      </c>
      <c r="O63" s="44">
        <v>2037</v>
      </c>
      <c r="P63" s="44">
        <v>2038</v>
      </c>
      <c r="Q63" s="44">
        <v>2039</v>
      </c>
      <c r="R63" s="44">
        <v>2040</v>
      </c>
      <c r="S63" s="44">
        <v>2041</v>
      </c>
      <c r="T63" s="44">
        <v>2042</v>
      </c>
      <c r="U63" s="44">
        <v>2043</v>
      </c>
      <c r="V63" s="44">
        <v>2044</v>
      </c>
      <c r="W63" s="44">
        <v>2045</v>
      </c>
      <c r="X63" s="44">
        <v>2046</v>
      </c>
      <c r="Y63" s="44">
        <v>2047</v>
      </c>
      <c r="Z63" s="44">
        <v>2048</v>
      </c>
      <c r="AA63" s="44">
        <v>2049</v>
      </c>
      <c r="AB63" s="44">
        <v>2050</v>
      </c>
      <c r="AC63" s="44">
        <v>2051</v>
      </c>
      <c r="AD63" s="44">
        <v>2052</v>
      </c>
      <c r="AE63" s="44">
        <v>2053</v>
      </c>
      <c r="AF63" s="44">
        <v>2054</v>
      </c>
      <c r="AH63" s="1"/>
    </row>
    <row r="64" spans="2:35" hidden="1" outlineLevel="1" x14ac:dyDescent="0.25">
      <c r="B64" s="31" t="s">
        <v>144</v>
      </c>
      <c r="C64" s="79">
        <f>'Core Loads'!C64</f>
        <v>342242.65102078754</v>
      </c>
      <c r="D64" s="79">
        <f>'Core Loads'!D64</f>
        <v>342242.65102078754</v>
      </c>
      <c r="E64" s="79">
        <f>'Core Loads'!E64</f>
        <v>342242.65102078754</v>
      </c>
      <c r="F64" s="79">
        <f>'Core Loads'!F64</f>
        <v>305603.30209601083</v>
      </c>
      <c r="G64" s="79">
        <f>'Core Loads'!G64</f>
        <v>305603.30209601083</v>
      </c>
      <c r="H64" s="79">
        <f>'Core Loads'!H64</f>
        <v>301207.80852934415</v>
      </c>
      <c r="I64" s="79">
        <f>'Core Loads'!I64</f>
        <v>301207.80852934415</v>
      </c>
      <c r="J64" s="79">
        <f>'Core Loads'!J64</f>
        <v>291945.6620454957</v>
      </c>
      <c r="K64" s="79">
        <f>'Core Loads'!K64</f>
        <v>291945.6620454957</v>
      </c>
      <c r="L64" s="79">
        <f>'Core Loads'!L64</f>
        <v>291945.6620454957</v>
      </c>
      <c r="M64" s="79">
        <f>'Core Loads'!M64</f>
        <v>291945.6620454957</v>
      </c>
      <c r="N64" s="79">
        <f>'Core Loads'!N64</f>
        <v>291945.6620454957</v>
      </c>
      <c r="O64" s="79">
        <f>'Core Loads'!O64</f>
        <v>291945.6620454957</v>
      </c>
      <c r="P64" s="79">
        <f>'Core Loads'!P64</f>
        <v>291945.6620454957</v>
      </c>
      <c r="Q64" s="79">
        <f>'Core Loads'!Q64</f>
        <v>291945.6620454957</v>
      </c>
      <c r="R64" s="79">
        <f>'Core Loads'!R64</f>
        <v>291945.6620454957</v>
      </c>
      <c r="S64" s="79">
        <f>'Core Loads'!S64</f>
        <v>291945.6620454957</v>
      </c>
      <c r="T64" s="79">
        <f>'Core Loads'!T64</f>
        <v>291945.6620454957</v>
      </c>
      <c r="U64" s="79">
        <f>'Core Loads'!U64</f>
        <v>291945.6620454957</v>
      </c>
      <c r="V64" s="79">
        <f>'Core Loads'!V64</f>
        <v>291945.6620454957</v>
      </c>
      <c r="W64" s="79">
        <f>'Core Loads'!W64</f>
        <v>291945.6620454957</v>
      </c>
      <c r="X64" s="79">
        <f>'Core Loads'!X64</f>
        <v>291945.6620454957</v>
      </c>
      <c r="Y64" s="79">
        <f>'Core Loads'!Y64</f>
        <v>291945.6620454957</v>
      </c>
      <c r="Z64" s="79">
        <f>'Core Loads'!Z64</f>
        <v>291945.6620454957</v>
      </c>
      <c r="AA64" s="79">
        <f>'Core Loads'!AA64</f>
        <v>291945.6620454957</v>
      </c>
      <c r="AB64" s="79">
        <f>'Core Loads'!AB64</f>
        <v>291945.6620454957</v>
      </c>
      <c r="AC64" s="79">
        <f>'Core Loads'!AC64</f>
        <v>291945.6620454957</v>
      </c>
      <c r="AD64" s="79">
        <f>'Core Loads'!AD64</f>
        <v>291945.6620454957</v>
      </c>
      <c r="AE64" s="79">
        <f>'Core Loads'!AE64</f>
        <v>291945.6620454957</v>
      </c>
      <c r="AF64" s="79">
        <f>'Core Loads'!AF64</f>
        <v>291945.6620454957</v>
      </c>
      <c r="AG64"/>
      <c r="AH64" s="17" t="s">
        <v>279</v>
      </c>
    </row>
    <row r="65" spans="2:34" hidden="1" outlineLevel="1" x14ac:dyDescent="0.25">
      <c r="B65" s="31" t="s">
        <v>145</v>
      </c>
      <c r="C65" s="79">
        <f>'Core Loads'!C65</f>
        <v>0</v>
      </c>
      <c r="D65" s="79">
        <f>'Core Loads'!D65</f>
        <v>0</v>
      </c>
      <c r="E65" s="79">
        <f>'Core Loads'!E65</f>
        <v>0</v>
      </c>
      <c r="F65" s="79">
        <f>'Core Loads'!F65</f>
        <v>0</v>
      </c>
      <c r="G65" s="79">
        <f>'Core Loads'!G65</f>
        <v>0</v>
      </c>
      <c r="H65" s="79">
        <f>'Core Loads'!H65</f>
        <v>98109.353104549853</v>
      </c>
      <c r="I65" s="79">
        <f>'Core Loads'!I65</f>
        <v>98109.353104549853</v>
      </c>
      <c r="J65" s="79">
        <f>'Core Loads'!J65</f>
        <v>98109.353104549853</v>
      </c>
      <c r="K65" s="79">
        <f>'Core Loads'!K65</f>
        <v>98109.353104549853</v>
      </c>
      <c r="L65" s="79">
        <f>'Core Loads'!L65</f>
        <v>87477.430959262143</v>
      </c>
      <c r="M65" s="79">
        <f>'Core Loads'!M65</f>
        <v>87477.430959262143</v>
      </c>
      <c r="N65" s="79">
        <f>'Core Loads'!N65</f>
        <v>87477.430959262143</v>
      </c>
      <c r="O65" s="79">
        <f>'Core Loads'!O65</f>
        <v>87477.430959262143</v>
      </c>
      <c r="P65" s="79">
        <f>'Core Loads'!P65</f>
        <v>87287.517599226805</v>
      </c>
      <c r="Q65" s="79">
        <f>'Core Loads'!Q65</f>
        <v>87287.517599226805</v>
      </c>
      <c r="R65" s="79">
        <f>'Core Loads'!R65</f>
        <v>86872.013217632499</v>
      </c>
      <c r="S65" s="79">
        <f>'Core Loads'!S65</f>
        <v>86872.013217632499</v>
      </c>
      <c r="T65" s="79">
        <f>'Core Loads'!T65</f>
        <v>85195.012122318236</v>
      </c>
      <c r="U65" s="79">
        <f>'Core Loads'!U65</f>
        <v>85195.012122318236</v>
      </c>
      <c r="V65" s="79">
        <f>'Core Loads'!V65</f>
        <v>85195.012122318236</v>
      </c>
      <c r="W65" s="79">
        <f>'Core Loads'!W65</f>
        <v>85195.012122318236</v>
      </c>
      <c r="X65" s="79">
        <f>'Core Loads'!X65</f>
        <v>85195.012122318236</v>
      </c>
      <c r="Y65" s="79">
        <f>'Core Loads'!Y65</f>
        <v>85195.012122318236</v>
      </c>
      <c r="Z65" s="79">
        <f>'Core Loads'!Z65</f>
        <v>85195.012122318236</v>
      </c>
      <c r="AA65" s="79">
        <f>'Core Loads'!AA65</f>
        <v>85195.012122318236</v>
      </c>
      <c r="AB65" s="79">
        <f>'Core Loads'!AB65</f>
        <v>83077.009532805183</v>
      </c>
      <c r="AC65" s="79">
        <f>'Core Loads'!AC65</f>
        <v>83077.009532805183</v>
      </c>
      <c r="AD65" s="79">
        <f>'Core Loads'!AD65</f>
        <v>83077.009532805183</v>
      </c>
      <c r="AE65" s="79">
        <f>'Core Loads'!AE65</f>
        <v>83077.009532805183</v>
      </c>
      <c r="AF65" s="79">
        <f>'Core Loads'!AF65</f>
        <v>83077.009532805183</v>
      </c>
      <c r="AG65"/>
      <c r="AH65" s="17" t="s">
        <v>279</v>
      </c>
    </row>
    <row r="66" spans="2:34" hidden="1" outlineLevel="1" x14ac:dyDescent="0.25">
      <c r="B66" s="31" t="s">
        <v>244</v>
      </c>
      <c r="C66" s="79">
        <f>'Core Loads'!C66</f>
        <v>0</v>
      </c>
      <c r="D66" s="79">
        <f>'Core Loads'!D66</f>
        <v>0</v>
      </c>
      <c r="E66" s="79">
        <f>'Core Loads'!E66</f>
        <v>217900.73743258248</v>
      </c>
      <c r="F66" s="79">
        <f>'Core Loads'!F66</f>
        <v>239582.04294259622</v>
      </c>
      <c r="G66" s="79">
        <f>'Core Loads'!G66</f>
        <v>239582.04294259622</v>
      </c>
      <c r="H66" s="79">
        <f>'Core Loads'!H66</f>
        <v>264563.44007260934</v>
      </c>
      <c r="I66" s="79">
        <f>'Core Loads'!I66</f>
        <v>264563.44007260934</v>
      </c>
      <c r="J66" s="79">
        <f>'Core Loads'!J66</f>
        <v>241469.52476634944</v>
      </c>
      <c r="K66" s="79">
        <f>'Core Loads'!K66</f>
        <v>241469.52476634944</v>
      </c>
      <c r="L66" s="79">
        <f>'Core Loads'!L66</f>
        <v>241469.52476634944</v>
      </c>
      <c r="M66" s="79">
        <f>'Core Loads'!M66</f>
        <v>241469.52476634944</v>
      </c>
      <c r="N66" s="79">
        <f>'Core Loads'!N66</f>
        <v>228160.89031826754</v>
      </c>
      <c r="O66" s="79">
        <f>'Core Loads'!O66</f>
        <v>228160.89031826754</v>
      </c>
      <c r="P66" s="79">
        <f>'Core Loads'!P66</f>
        <v>225094.6559789071</v>
      </c>
      <c r="Q66" s="79">
        <f>'Core Loads'!Q66</f>
        <v>225094.6559789071</v>
      </c>
      <c r="R66" s="79">
        <f>'Core Loads'!R66</f>
        <v>231209.69947117515</v>
      </c>
      <c r="S66" s="79">
        <f>'Core Loads'!S66</f>
        <v>231209.69947117515</v>
      </c>
      <c r="T66" s="79">
        <f>'Core Loads'!T66</f>
        <v>231209.69947117515</v>
      </c>
      <c r="U66" s="79">
        <f>'Core Loads'!U66</f>
        <v>231209.69947117515</v>
      </c>
      <c r="V66" s="79">
        <f>'Core Loads'!V66</f>
        <v>229096.82281032932</v>
      </c>
      <c r="W66" s="79">
        <f>'Core Loads'!W66</f>
        <v>229096.82281032932</v>
      </c>
      <c r="X66" s="79">
        <f>'Core Loads'!X66</f>
        <v>229096.82281032932</v>
      </c>
      <c r="Y66" s="79">
        <f>'Core Loads'!Y66</f>
        <v>229096.82281032932</v>
      </c>
      <c r="Z66" s="79">
        <f>'Core Loads'!Z66</f>
        <v>229096.82281032932</v>
      </c>
      <c r="AA66" s="79">
        <f>'Core Loads'!AA66</f>
        <v>229096.82281032932</v>
      </c>
      <c r="AB66" s="79">
        <f>'Core Loads'!AB66</f>
        <v>229096.82281032932</v>
      </c>
      <c r="AC66" s="79">
        <f>'Core Loads'!AC66</f>
        <v>229096.82281032932</v>
      </c>
      <c r="AD66" s="79">
        <f>'Core Loads'!AD66</f>
        <v>229096.82281032932</v>
      </c>
      <c r="AE66" s="79">
        <f>'Core Loads'!AE66</f>
        <v>229096.82281032932</v>
      </c>
      <c r="AF66" s="79">
        <f>'Core Loads'!AF66</f>
        <v>229096.82281032932</v>
      </c>
      <c r="AG66"/>
      <c r="AH66" s="17" t="s">
        <v>279</v>
      </c>
    </row>
    <row r="67" spans="2:34" hidden="1" outlineLevel="1" x14ac:dyDescent="0.25">
      <c r="B67" s="31" t="s">
        <v>147</v>
      </c>
      <c r="C67" s="79">
        <f>'Core Loads'!C67</f>
        <v>0</v>
      </c>
      <c r="D67" s="79">
        <f>'Core Loads'!D67</f>
        <v>0</v>
      </c>
      <c r="E67" s="79">
        <f>'Core Loads'!E67</f>
        <v>0</v>
      </c>
      <c r="F67" s="79">
        <f>'Core Loads'!F67</f>
        <v>0</v>
      </c>
      <c r="G67" s="79">
        <f>'Core Loads'!G67</f>
        <v>0</v>
      </c>
      <c r="H67" s="79">
        <f>'Core Loads'!H67</f>
        <v>0</v>
      </c>
      <c r="I67" s="79">
        <f>'Core Loads'!I67</f>
        <v>0</v>
      </c>
      <c r="J67" s="79">
        <f>'Core Loads'!J67</f>
        <v>0</v>
      </c>
      <c r="K67" s="79">
        <f>'Core Loads'!K67</f>
        <v>0</v>
      </c>
      <c r="L67" s="79">
        <f>'Core Loads'!L67</f>
        <v>0</v>
      </c>
      <c r="M67" s="79">
        <f>'Core Loads'!M67</f>
        <v>0</v>
      </c>
      <c r="N67" s="79">
        <f>'Core Loads'!N67</f>
        <v>0</v>
      </c>
      <c r="O67" s="79">
        <f>'Core Loads'!O67</f>
        <v>0</v>
      </c>
      <c r="P67" s="79">
        <f>'Core Loads'!P67</f>
        <v>0</v>
      </c>
      <c r="Q67" s="79">
        <f>'Core Loads'!Q67</f>
        <v>0</v>
      </c>
      <c r="R67" s="79">
        <f>'Core Loads'!R67</f>
        <v>0</v>
      </c>
      <c r="S67" s="79">
        <f>'Core Loads'!S67</f>
        <v>0</v>
      </c>
      <c r="T67" s="79">
        <f>'Core Loads'!T67</f>
        <v>0</v>
      </c>
      <c r="U67" s="79">
        <f>'Core Loads'!U67</f>
        <v>0</v>
      </c>
      <c r="V67" s="79">
        <f>'Core Loads'!V67</f>
        <v>0</v>
      </c>
      <c r="W67" s="79">
        <f>'Core Loads'!W67</f>
        <v>0</v>
      </c>
      <c r="X67" s="79">
        <f>'Core Loads'!X67</f>
        <v>0</v>
      </c>
      <c r="Y67" s="79">
        <f>'Core Loads'!Y67</f>
        <v>0</v>
      </c>
      <c r="Z67" s="79">
        <f>'Core Loads'!Z67</f>
        <v>0</v>
      </c>
      <c r="AA67" s="79">
        <f>'Core Loads'!AA67</f>
        <v>0</v>
      </c>
      <c r="AB67" s="79">
        <f>'Core Loads'!AB67</f>
        <v>0</v>
      </c>
      <c r="AC67" s="79">
        <f>'Core Loads'!AC67</f>
        <v>0</v>
      </c>
      <c r="AD67" s="79">
        <f>'Core Loads'!AD67</f>
        <v>0</v>
      </c>
      <c r="AE67" s="79">
        <f>'Core Loads'!AE67</f>
        <v>0</v>
      </c>
      <c r="AF67" s="79">
        <f>'Core Loads'!AF67</f>
        <v>0</v>
      </c>
      <c r="AG67"/>
      <c r="AH67" s="17" t="s">
        <v>279</v>
      </c>
    </row>
    <row r="68" spans="2:34" hidden="1" outlineLevel="1" x14ac:dyDescent="0.25">
      <c r="B68" s="31" t="s">
        <v>245</v>
      </c>
      <c r="C68" s="79">
        <f>'Core Loads'!C68</f>
        <v>0</v>
      </c>
      <c r="D68" s="79">
        <f>'Core Loads'!D68</f>
        <v>0</v>
      </c>
      <c r="E68" s="79">
        <f>'Core Loads'!E68</f>
        <v>0</v>
      </c>
      <c r="F68" s="79">
        <f>'Core Loads'!F68</f>
        <v>0</v>
      </c>
      <c r="G68" s="79">
        <f>'Core Loads'!G68</f>
        <v>0</v>
      </c>
      <c r="H68" s="79">
        <f>'Core Loads'!H68</f>
        <v>0</v>
      </c>
      <c r="I68" s="79">
        <f>'Core Loads'!I68</f>
        <v>0</v>
      </c>
      <c r="J68" s="79">
        <f>'Core Loads'!J68</f>
        <v>15010.998282483361</v>
      </c>
      <c r="K68" s="79">
        <f>'Core Loads'!K68</f>
        <v>15010.998282483361</v>
      </c>
      <c r="L68" s="79">
        <f>'Core Loads'!L68</f>
        <v>15010.998282483361</v>
      </c>
      <c r="M68" s="79">
        <f>'Core Loads'!M68</f>
        <v>15010.998282483361</v>
      </c>
      <c r="N68" s="79">
        <f>'Core Loads'!N68</f>
        <v>13436.692112233934</v>
      </c>
      <c r="O68" s="79">
        <f>'Core Loads'!O68</f>
        <v>13436.692112233934</v>
      </c>
      <c r="P68" s="79">
        <f>'Core Loads'!P68</f>
        <v>13436.692112233934</v>
      </c>
      <c r="Q68" s="79">
        <f>'Core Loads'!Q68</f>
        <v>13436.692112233934</v>
      </c>
      <c r="R68" s="79">
        <f>'Core Loads'!R68</f>
        <v>51778.373813264858</v>
      </c>
      <c r="S68" s="79">
        <f>'Core Loads'!S68</f>
        <v>51778.373813264858</v>
      </c>
      <c r="T68" s="79">
        <f>'Core Loads'!T68</f>
        <v>51778.373813264858</v>
      </c>
      <c r="U68" s="79">
        <f>'Core Loads'!U68</f>
        <v>51778.373813264858</v>
      </c>
      <c r="V68" s="79">
        <f>'Core Loads'!V68</f>
        <v>51778.373813264858</v>
      </c>
      <c r="W68" s="79">
        <f>'Core Loads'!W68</f>
        <v>51778.373813264858</v>
      </c>
      <c r="X68" s="79">
        <f>'Core Loads'!X68</f>
        <v>51778.373813264858</v>
      </c>
      <c r="Y68" s="79">
        <f>'Core Loads'!Y68</f>
        <v>51778.373813264858</v>
      </c>
      <c r="Z68" s="79">
        <f>'Core Loads'!Z68</f>
        <v>51778.373813264858</v>
      </c>
      <c r="AA68" s="79">
        <f>'Core Loads'!AA68</f>
        <v>51778.373813264858</v>
      </c>
      <c r="AB68" s="79">
        <f>'Core Loads'!AB68</f>
        <v>51778.373813264858</v>
      </c>
      <c r="AC68" s="79">
        <f>'Core Loads'!AC68</f>
        <v>51778.373813264858</v>
      </c>
      <c r="AD68" s="79">
        <f>'Core Loads'!AD68</f>
        <v>51778.373813264858</v>
      </c>
      <c r="AE68" s="79">
        <f>'Core Loads'!AE68</f>
        <v>51778.373813264858</v>
      </c>
      <c r="AF68" s="79">
        <f>'Core Loads'!AF68</f>
        <v>51778.373813264858</v>
      </c>
      <c r="AG68"/>
      <c r="AH68" s="17" t="s">
        <v>279</v>
      </c>
    </row>
    <row r="69" spans="2:34" hidden="1" outlineLevel="1" x14ac:dyDescent="0.25">
      <c r="B69" s="31" t="s">
        <v>149</v>
      </c>
      <c r="C69" s="79">
        <f>'Core Loads'!C69</f>
        <v>342242.65102078754</v>
      </c>
      <c r="D69" s="79">
        <f>'Core Loads'!D69</f>
        <v>342242.65102078754</v>
      </c>
      <c r="E69" s="79">
        <f>'Core Loads'!E69</f>
        <v>560143.38845336996</v>
      </c>
      <c r="F69" s="79">
        <f>'Core Loads'!F69</f>
        <v>545185.34503860702</v>
      </c>
      <c r="G69" s="79">
        <f>'Core Loads'!G69</f>
        <v>545185.34503860702</v>
      </c>
      <c r="H69" s="79">
        <f>'Core Loads'!H69</f>
        <v>663880.60170650342</v>
      </c>
      <c r="I69" s="79">
        <f>'Core Loads'!I69</f>
        <v>663880.60170650342</v>
      </c>
      <c r="J69" s="79">
        <f>'Core Loads'!J69</f>
        <v>646535.53819887829</v>
      </c>
      <c r="K69" s="79">
        <f>'Core Loads'!K69</f>
        <v>646535.53819887829</v>
      </c>
      <c r="L69" s="79">
        <f>'Core Loads'!L69</f>
        <v>635903.61605359055</v>
      </c>
      <c r="M69" s="79">
        <f>'Core Loads'!M69</f>
        <v>635903.61605359055</v>
      </c>
      <c r="N69" s="79">
        <f>'Core Loads'!N69</f>
        <v>621020.67543525936</v>
      </c>
      <c r="O69" s="79">
        <f>'Core Loads'!O69</f>
        <v>621020.67543525936</v>
      </c>
      <c r="P69" s="79">
        <f>'Core Loads'!P69</f>
        <v>617764.52773586358</v>
      </c>
      <c r="Q69" s="79">
        <f>'Core Loads'!Q69</f>
        <v>617764.52773586358</v>
      </c>
      <c r="R69" s="79">
        <f>'Core Loads'!R69</f>
        <v>661805.74854756822</v>
      </c>
      <c r="S69" s="79">
        <f>'Core Loads'!S69</f>
        <v>661805.74854756822</v>
      </c>
      <c r="T69" s="79">
        <f>'Core Loads'!T69</f>
        <v>660128.74745225406</v>
      </c>
      <c r="U69" s="79">
        <f>'Core Loads'!U69</f>
        <v>660128.74745225406</v>
      </c>
      <c r="V69" s="79">
        <f>'Core Loads'!V69</f>
        <v>658015.87079140812</v>
      </c>
      <c r="W69" s="79">
        <f>'Core Loads'!W69</f>
        <v>658015.87079140812</v>
      </c>
      <c r="X69" s="79">
        <f>'Core Loads'!X69</f>
        <v>658015.87079140812</v>
      </c>
      <c r="Y69" s="79">
        <f>'Core Loads'!Y69</f>
        <v>658015.87079140812</v>
      </c>
      <c r="Z69" s="79">
        <f>'Core Loads'!Z69</f>
        <v>658015.87079140812</v>
      </c>
      <c r="AA69" s="79">
        <f>'Core Loads'!AA69</f>
        <v>658015.87079140812</v>
      </c>
      <c r="AB69" s="79">
        <f>'Core Loads'!AB69</f>
        <v>655897.86820189503</v>
      </c>
      <c r="AC69" s="79">
        <f>'Core Loads'!AC69</f>
        <v>655897.86820189503</v>
      </c>
      <c r="AD69" s="79">
        <f>'Core Loads'!AD69</f>
        <v>655897.86820189503</v>
      </c>
      <c r="AE69" s="79">
        <f>'Core Loads'!AE69</f>
        <v>655897.86820189503</v>
      </c>
      <c r="AF69" s="79">
        <f>'Core Loads'!AF69</f>
        <v>655897.86820189503</v>
      </c>
      <c r="AG69"/>
      <c r="AH69" s="17" t="s">
        <v>279</v>
      </c>
    </row>
    <row r="70" spans="2:34" hidden="1" outlineLevel="1" x14ac:dyDescent="0.25">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row>
    <row r="71" spans="2:34" hidden="1" outlineLevel="1" x14ac:dyDescent="0.25">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row>
    <row r="72" spans="2:34" ht="17.25" hidden="1" outlineLevel="1" thickBot="1" x14ac:dyDescent="0.3">
      <c r="B72" s="26" t="s">
        <v>283</v>
      </c>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row>
    <row r="73" spans="2:34" ht="16.5" hidden="1" outlineLevel="1" thickTop="1" thickBot="1" x14ac:dyDescent="0.3">
      <c r="B73" s="28" t="s">
        <v>278</v>
      </c>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0"/>
      <c r="AH73" s="20" t="s">
        <v>15</v>
      </c>
    </row>
    <row r="74" spans="2:34" customFormat="1" hidden="1" outlineLevel="1" x14ac:dyDescent="0.25">
      <c r="B74" s="30"/>
      <c r="C74" s="17">
        <v>2025</v>
      </c>
      <c r="D74" s="44">
        <v>2026</v>
      </c>
      <c r="E74" s="44">
        <v>2027</v>
      </c>
      <c r="F74" s="44">
        <v>2028</v>
      </c>
      <c r="G74" s="44">
        <v>2029</v>
      </c>
      <c r="H74" s="44">
        <v>2030</v>
      </c>
      <c r="I74" s="44">
        <v>2031</v>
      </c>
      <c r="J74" s="44">
        <v>2032</v>
      </c>
      <c r="K74" s="44">
        <v>2033</v>
      </c>
      <c r="L74" s="44">
        <v>2034</v>
      </c>
      <c r="M74" s="44">
        <v>2035</v>
      </c>
      <c r="N74" s="44">
        <v>2036</v>
      </c>
      <c r="O74" s="44">
        <v>2037</v>
      </c>
      <c r="P74" s="44">
        <v>2038</v>
      </c>
      <c r="Q74" s="44">
        <v>2039</v>
      </c>
      <c r="R74" s="44">
        <v>2040</v>
      </c>
      <c r="S74" s="44">
        <v>2041</v>
      </c>
      <c r="T74" s="44">
        <v>2042</v>
      </c>
      <c r="U74" s="44">
        <v>2043</v>
      </c>
      <c r="V74" s="44">
        <v>2044</v>
      </c>
      <c r="W74" s="44">
        <v>2045</v>
      </c>
      <c r="X74" s="44">
        <v>2046</v>
      </c>
      <c r="Y74" s="44">
        <v>2047</v>
      </c>
      <c r="Z74" s="44">
        <v>2048</v>
      </c>
      <c r="AA74" s="44">
        <v>2049</v>
      </c>
      <c r="AB74" s="44">
        <v>2050</v>
      </c>
      <c r="AC74" s="44">
        <v>2051</v>
      </c>
      <c r="AD74" s="44">
        <v>2052</v>
      </c>
      <c r="AE74" s="44">
        <v>2053</v>
      </c>
      <c r="AF74" s="44">
        <v>2054</v>
      </c>
      <c r="AH74" s="1"/>
    </row>
    <row r="75" spans="2:34" hidden="1" outlineLevel="1" x14ac:dyDescent="0.25">
      <c r="B75" s="31" t="s">
        <v>144</v>
      </c>
      <c r="C75" s="79">
        <f>'Core Loads'!C75</f>
        <v>0</v>
      </c>
      <c r="D75" s="79">
        <f>'Core Loads'!D75</f>
        <v>0</v>
      </c>
      <c r="E75" s="79">
        <f>'Core Loads'!E75</f>
        <v>0</v>
      </c>
      <c r="F75" s="79">
        <f>'Core Loads'!F75</f>
        <v>0</v>
      </c>
      <c r="G75" s="79">
        <f>'Core Loads'!G75</f>
        <v>0</v>
      </c>
      <c r="H75" s="79">
        <f>'Core Loads'!H75</f>
        <v>0</v>
      </c>
      <c r="I75" s="79">
        <f>'Core Loads'!I75</f>
        <v>0</v>
      </c>
      <c r="J75" s="79">
        <f>'Core Loads'!J75</f>
        <v>0</v>
      </c>
      <c r="K75" s="79">
        <f>'Core Loads'!K75</f>
        <v>0</v>
      </c>
      <c r="L75" s="79">
        <f>'Core Loads'!L75</f>
        <v>0</v>
      </c>
      <c r="M75" s="79">
        <f>'Core Loads'!M75</f>
        <v>0</v>
      </c>
      <c r="N75" s="79">
        <f>'Core Loads'!N75</f>
        <v>0</v>
      </c>
      <c r="O75" s="79">
        <f>'Core Loads'!O75</f>
        <v>0</v>
      </c>
      <c r="P75" s="79">
        <f>'Core Loads'!P75</f>
        <v>0</v>
      </c>
      <c r="Q75" s="79">
        <f>'Core Loads'!Q75</f>
        <v>0</v>
      </c>
      <c r="R75" s="79">
        <f>'Core Loads'!R75</f>
        <v>0</v>
      </c>
      <c r="S75" s="79">
        <f>'Core Loads'!S75</f>
        <v>0</v>
      </c>
      <c r="T75" s="79">
        <f>'Core Loads'!T75</f>
        <v>0</v>
      </c>
      <c r="U75" s="79">
        <f>'Core Loads'!U75</f>
        <v>0</v>
      </c>
      <c r="V75" s="79">
        <f>'Core Loads'!V75</f>
        <v>0</v>
      </c>
      <c r="W75" s="79">
        <f>'Core Loads'!W75</f>
        <v>0</v>
      </c>
      <c r="X75" s="79">
        <f>'Core Loads'!X75</f>
        <v>0</v>
      </c>
      <c r="Y75" s="79">
        <f>'Core Loads'!Y75</f>
        <v>0</v>
      </c>
      <c r="Z75" s="79">
        <f>'Core Loads'!Z75</f>
        <v>0</v>
      </c>
      <c r="AA75" s="79">
        <f>'Core Loads'!AA75</f>
        <v>0</v>
      </c>
      <c r="AB75" s="79">
        <f>'Core Loads'!AB75</f>
        <v>0</v>
      </c>
      <c r="AC75" s="79">
        <f>'Core Loads'!AC75</f>
        <v>0</v>
      </c>
      <c r="AD75" s="79">
        <f>'Core Loads'!AD75</f>
        <v>0</v>
      </c>
      <c r="AE75" s="79">
        <f>'Core Loads'!AE75</f>
        <v>0</v>
      </c>
      <c r="AF75" s="79">
        <f>'Core Loads'!AF75</f>
        <v>0</v>
      </c>
      <c r="AG75"/>
      <c r="AH75" s="17" t="s">
        <v>279</v>
      </c>
    </row>
    <row r="76" spans="2:34" hidden="1" outlineLevel="1" x14ac:dyDescent="0.25">
      <c r="B76" s="31" t="s">
        <v>145</v>
      </c>
      <c r="C76" s="79">
        <f>'Core Loads'!C76</f>
        <v>3544817.3883669907</v>
      </c>
      <c r="D76" s="79">
        <f>'Core Loads'!D76</f>
        <v>7148037.0083669899</v>
      </c>
      <c r="E76" s="79">
        <f>'Core Loads'!E76</f>
        <v>7148037.0083669899</v>
      </c>
      <c r="F76" s="79">
        <f>'Core Loads'!F76</f>
        <v>7148037.0083669899</v>
      </c>
      <c r="G76" s="79">
        <f>'Core Loads'!G76</f>
        <v>7148037.0083669899</v>
      </c>
      <c r="H76" s="79">
        <f>'Core Loads'!H76</f>
        <v>0</v>
      </c>
      <c r="I76" s="79">
        <f>'Core Loads'!I76</f>
        <v>0</v>
      </c>
      <c r="J76" s="79">
        <f>'Core Loads'!J76</f>
        <v>0</v>
      </c>
      <c r="K76" s="79">
        <f>'Core Loads'!K76</f>
        <v>0</v>
      </c>
      <c r="L76" s="79">
        <f>'Core Loads'!L76</f>
        <v>0</v>
      </c>
      <c r="M76" s="79">
        <f>'Core Loads'!M76</f>
        <v>0</v>
      </c>
      <c r="N76" s="79">
        <f>'Core Loads'!N76</f>
        <v>0</v>
      </c>
      <c r="O76" s="79">
        <f>'Core Loads'!O76</f>
        <v>0</v>
      </c>
      <c r="P76" s="79">
        <f>'Core Loads'!P76</f>
        <v>0</v>
      </c>
      <c r="Q76" s="79">
        <f>'Core Loads'!Q76</f>
        <v>0</v>
      </c>
      <c r="R76" s="79">
        <f>'Core Loads'!R76</f>
        <v>0</v>
      </c>
      <c r="S76" s="79">
        <f>'Core Loads'!S76</f>
        <v>0</v>
      </c>
      <c r="T76" s="79">
        <f>'Core Loads'!T76</f>
        <v>0</v>
      </c>
      <c r="U76" s="79">
        <f>'Core Loads'!U76</f>
        <v>0</v>
      </c>
      <c r="V76" s="79">
        <f>'Core Loads'!V76</f>
        <v>0</v>
      </c>
      <c r="W76" s="79">
        <f>'Core Loads'!W76</f>
        <v>0</v>
      </c>
      <c r="X76" s="79">
        <f>'Core Loads'!X76</f>
        <v>0</v>
      </c>
      <c r="Y76" s="79">
        <f>'Core Loads'!Y76</f>
        <v>0</v>
      </c>
      <c r="Z76" s="79">
        <f>'Core Loads'!Z76</f>
        <v>0</v>
      </c>
      <c r="AA76" s="79">
        <f>'Core Loads'!AA76</f>
        <v>0</v>
      </c>
      <c r="AB76" s="79">
        <f>'Core Loads'!AB76</f>
        <v>0</v>
      </c>
      <c r="AC76" s="79">
        <f>'Core Loads'!AC76</f>
        <v>0</v>
      </c>
      <c r="AD76" s="79">
        <f>'Core Loads'!AD76</f>
        <v>0</v>
      </c>
      <c r="AE76" s="79">
        <f>'Core Loads'!AE76</f>
        <v>0</v>
      </c>
      <c r="AF76" s="79">
        <f>'Core Loads'!AF76</f>
        <v>0</v>
      </c>
      <c r="AG76"/>
      <c r="AH76" s="17" t="s">
        <v>279</v>
      </c>
    </row>
    <row r="77" spans="2:34" hidden="1" outlineLevel="1" x14ac:dyDescent="0.25">
      <c r="B77" s="31" t="s">
        <v>244</v>
      </c>
      <c r="C77" s="79">
        <f>'Core Loads'!C77</f>
        <v>10424562.72955735</v>
      </c>
      <c r="D77" s="79">
        <f>'Core Loads'!D77</f>
        <v>10424562.72955735</v>
      </c>
      <c r="E77" s="79">
        <f>'Core Loads'!E77</f>
        <v>1967263.68286869</v>
      </c>
      <c r="F77" s="79">
        <f>'Core Loads'!F77</f>
        <v>2793463.3428686899</v>
      </c>
      <c r="G77" s="79">
        <f>'Core Loads'!G77</f>
        <v>2793463.3428686899</v>
      </c>
      <c r="H77" s="79">
        <f>'Core Loads'!H77</f>
        <v>0</v>
      </c>
      <c r="I77" s="79">
        <f>'Core Loads'!I77</f>
        <v>0</v>
      </c>
      <c r="J77" s="79">
        <f>'Core Loads'!J77</f>
        <v>0</v>
      </c>
      <c r="K77" s="79">
        <f>'Core Loads'!K77</f>
        <v>0</v>
      </c>
      <c r="L77" s="79">
        <f>'Core Loads'!L77</f>
        <v>0</v>
      </c>
      <c r="M77" s="79">
        <f>'Core Loads'!M77</f>
        <v>0</v>
      </c>
      <c r="N77" s="79">
        <f>'Core Loads'!N77</f>
        <v>0</v>
      </c>
      <c r="O77" s="79">
        <f>'Core Loads'!O77</f>
        <v>0</v>
      </c>
      <c r="P77" s="79">
        <f>'Core Loads'!P77</f>
        <v>0</v>
      </c>
      <c r="Q77" s="79">
        <f>'Core Loads'!Q77</f>
        <v>0</v>
      </c>
      <c r="R77" s="79">
        <f>'Core Loads'!R77</f>
        <v>0</v>
      </c>
      <c r="S77" s="79">
        <f>'Core Loads'!S77</f>
        <v>0</v>
      </c>
      <c r="T77" s="79">
        <f>'Core Loads'!T77</f>
        <v>0</v>
      </c>
      <c r="U77" s="79">
        <f>'Core Loads'!U77</f>
        <v>0</v>
      </c>
      <c r="V77" s="79">
        <f>'Core Loads'!V77</f>
        <v>0</v>
      </c>
      <c r="W77" s="79">
        <f>'Core Loads'!W77</f>
        <v>0</v>
      </c>
      <c r="X77" s="79">
        <f>'Core Loads'!X77</f>
        <v>0</v>
      </c>
      <c r="Y77" s="79">
        <f>'Core Loads'!Y77</f>
        <v>0</v>
      </c>
      <c r="Z77" s="79">
        <f>'Core Loads'!Z77</f>
        <v>0</v>
      </c>
      <c r="AA77" s="79">
        <f>'Core Loads'!AA77</f>
        <v>0</v>
      </c>
      <c r="AB77" s="79">
        <f>'Core Loads'!AB77</f>
        <v>0</v>
      </c>
      <c r="AC77" s="79">
        <f>'Core Loads'!AC77</f>
        <v>0</v>
      </c>
      <c r="AD77" s="79">
        <f>'Core Loads'!AD77</f>
        <v>0</v>
      </c>
      <c r="AE77" s="79">
        <f>'Core Loads'!AE77</f>
        <v>0</v>
      </c>
      <c r="AF77" s="79">
        <f>'Core Loads'!AF77</f>
        <v>0</v>
      </c>
      <c r="AG77"/>
      <c r="AH77" s="17" t="s">
        <v>279</v>
      </c>
    </row>
    <row r="78" spans="2:34" hidden="1" outlineLevel="1" x14ac:dyDescent="0.25">
      <c r="B78" s="31" t="s">
        <v>147</v>
      </c>
      <c r="C78" s="79">
        <f>'Core Loads'!C78</f>
        <v>0</v>
      </c>
      <c r="D78" s="79">
        <f>'Core Loads'!D78</f>
        <v>0</v>
      </c>
      <c r="E78" s="79">
        <f>'Core Loads'!E78</f>
        <v>0</v>
      </c>
      <c r="F78" s="79">
        <f>'Core Loads'!F78</f>
        <v>0</v>
      </c>
      <c r="G78" s="79">
        <f>'Core Loads'!G78</f>
        <v>0</v>
      </c>
      <c r="H78" s="79">
        <f>'Core Loads'!H78</f>
        <v>0</v>
      </c>
      <c r="I78" s="79">
        <f>'Core Loads'!I78</f>
        <v>0</v>
      </c>
      <c r="J78" s="79">
        <f>'Core Loads'!J78</f>
        <v>0</v>
      </c>
      <c r="K78" s="79">
        <f>'Core Loads'!K78</f>
        <v>0</v>
      </c>
      <c r="L78" s="79">
        <f>'Core Loads'!L78</f>
        <v>0</v>
      </c>
      <c r="M78" s="79">
        <f>'Core Loads'!M78</f>
        <v>0</v>
      </c>
      <c r="N78" s="79">
        <f>'Core Loads'!N78</f>
        <v>0</v>
      </c>
      <c r="O78" s="79">
        <f>'Core Loads'!O78</f>
        <v>0</v>
      </c>
      <c r="P78" s="79">
        <f>'Core Loads'!P78</f>
        <v>0</v>
      </c>
      <c r="Q78" s="79">
        <f>'Core Loads'!Q78</f>
        <v>0</v>
      </c>
      <c r="R78" s="79">
        <f>'Core Loads'!R78</f>
        <v>0</v>
      </c>
      <c r="S78" s="79">
        <f>'Core Loads'!S78</f>
        <v>0</v>
      </c>
      <c r="T78" s="79">
        <f>'Core Loads'!T78</f>
        <v>0</v>
      </c>
      <c r="U78" s="79">
        <f>'Core Loads'!U78</f>
        <v>0</v>
      </c>
      <c r="V78" s="79">
        <f>'Core Loads'!V78</f>
        <v>0</v>
      </c>
      <c r="W78" s="79">
        <f>'Core Loads'!W78</f>
        <v>0</v>
      </c>
      <c r="X78" s="79">
        <f>'Core Loads'!X78</f>
        <v>0</v>
      </c>
      <c r="Y78" s="79">
        <f>'Core Loads'!Y78</f>
        <v>0</v>
      </c>
      <c r="Z78" s="79">
        <f>'Core Loads'!Z78</f>
        <v>0</v>
      </c>
      <c r="AA78" s="79">
        <f>'Core Loads'!AA78</f>
        <v>0</v>
      </c>
      <c r="AB78" s="79">
        <f>'Core Loads'!AB78</f>
        <v>0</v>
      </c>
      <c r="AC78" s="79">
        <f>'Core Loads'!AC78</f>
        <v>0</v>
      </c>
      <c r="AD78" s="79">
        <f>'Core Loads'!AD78</f>
        <v>0</v>
      </c>
      <c r="AE78" s="79">
        <f>'Core Loads'!AE78</f>
        <v>0</v>
      </c>
      <c r="AF78" s="79">
        <f>'Core Loads'!AF78</f>
        <v>0</v>
      </c>
      <c r="AG78"/>
      <c r="AH78" s="17" t="s">
        <v>279</v>
      </c>
    </row>
    <row r="79" spans="2:34" hidden="1" outlineLevel="1" x14ac:dyDescent="0.25">
      <c r="B79" s="31" t="s">
        <v>245</v>
      </c>
      <c r="C79" s="79">
        <f>'Core Loads'!C79</f>
        <v>1207501.7119999998</v>
      </c>
      <c r="D79" s="79">
        <f>'Core Loads'!D79</f>
        <v>1207501.7119999998</v>
      </c>
      <c r="E79" s="79">
        <f>'Core Loads'!E79</f>
        <v>1207501.7119999998</v>
      </c>
      <c r="F79" s="79">
        <f>'Core Loads'!F79</f>
        <v>1207501.7119999998</v>
      </c>
      <c r="G79" s="79">
        <f>'Core Loads'!G79</f>
        <v>1207501.7119999998</v>
      </c>
      <c r="H79" s="79">
        <f>'Core Loads'!H79</f>
        <v>3455696.2320000003</v>
      </c>
      <c r="I79" s="79">
        <f>'Core Loads'!I79</f>
        <v>3455696.2320000003</v>
      </c>
      <c r="J79" s="79">
        <f>'Core Loads'!J79</f>
        <v>0</v>
      </c>
      <c r="K79" s="79">
        <f>'Core Loads'!K79</f>
        <v>0</v>
      </c>
      <c r="L79" s="79">
        <f>'Core Loads'!L79</f>
        <v>0</v>
      </c>
      <c r="M79" s="79">
        <f>'Core Loads'!M79</f>
        <v>0</v>
      </c>
      <c r="N79" s="79">
        <f>'Core Loads'!N79</f>
        <v>0</v>
      </c>
      <c r="O79" s="79">
        <f>'Core Loads'!O79</f>
        <v>0</v>
      </c>
      <c r="P79" s="79">
        <f>'Core Loads'!P79</f>
        <v>0</v>
      </c>
      <c r="Q79" s="79">
        <f>'Core Loads'!Q79</f>
        <v>0</v>
      </c>
      <c r="R79" s="79">
        <f>'Core Loads'!R79</f>
        <v>0</v>
      </c>
      <c r="S79" s="79">
        <f>'Core Loads'!S79</f>
        <v>0</v>
      </c>
      <c r="T79" s="79">
        <f>'Core Loads'!T79</f>
        <v>0</v>
      </c>
      <c r="U79" s="79">
        <f>'Core Loads'!U79</f>
        <v>0</v>
      </c>
      <c r="V79" s="79">
        <f>'Core Loads'!V79</f>
        <v>0</v>
      </c>
      <c r="W79" s="79">
        <f>'Core Loads'!W79</f>
        <v>0</v>
      </c>
      <c r="X79" s="79">
        <f>'Core Loads'!X79</f>
        <v>0</v>
      </c>
      <c r="Y79" s="79">
        <f>'Core Loads'!Y79</f>
        <v>0</v>
      </c>
      <c r="Z79" s="79">
        <f>'Core Loads'!Z79</f>
        <v>0</v>
      </c>
      <c r="AA79" s="79">
        <f>'Core Loads'!AA79</f>
        <v>0</v>
      </c>
      <c r="AB79" s="79">
        <f>'Core Loads'!AB79</f>
        <v>0</v>
      </c>
      <c r="AC79" s="79">
        <f>'Core Loads'!AC79</f>
        <v>0</v>
      </c>
      <c r="AD79" s="79">
        <f>'Core Loads'!AD79</f>
        <v>0</v>
      </c>
      <c r="AE79" s="79">
        <f>'Core Loads'!AE79</f>
        <v>0</v>
      </c>
      <c r="AF79" s="79">
        <f>'Core Loads'!AF79</f>
        <v>0</v>
      </c>
      <c r="AG79"/>
      <c r="AH79" s="17" t="s">
        <v>279</v>
      </c>
    </row>
    <row r="80" spans="2:34" hidden="1" outlineLevel="1" x14ac:dyDescent="0.25">
      <c r="B80" s="31" t="s">
        <v>149</v>
      </c>
      <c r="C80" s="79">
        <f>'Core Loads'!C80</f>
        <v>15176881.829924339</v>
      </c>
      <c r="D80" s="79">
        <f>'Core Loads'!D80</f>
        <v>18780101.449924342</v>
      </c>
      <c r="E80" s="79">
        <f>'Core Loads'!E80</f>
        <v>10322802.403235679</v>
      </c>
      <c r="F80" s="79">
        <f>'Core Loads'!F80</f>
        <v>11149002.06323568</v>
      </c>
      <c r="G80" s="79">
        <f>'Core Loads'!G80</f>
        <v>11149002.06323568</v>
      </c>
      <c r="H80" s="79">
        <f>'Core Loads'!H80</f>
        <v>3455696.2320000003</v>
      </c>
      <c r="I80" s="79">
        <f>'Core Loads'!I80</f>
        <v>3455696.2320000003</v>
      </c>
      <c r="J80" s="79">
        <f>'Core Loads'!J80</f>
        <v>0</v>
      </c>
      <c r="K80" s="79">
        <f>'Core Loads'!K80</f>
        <v>0</v>
      </c>
      <c r="L80" s="79">
        <f>'Core Loads'!L80</f>
        <v>0</v>
      </c>
      <c r="M80" s="79">
        <f>'Core Loads'!M80</f>
        <v>0</v>
      </c>
      <c r="N80" s="79">
        <f>'Core Loads'!N80</f>
        <v>0</v>
      </c>
      <c r="O80" s="79">
        <f>'Core Loads'!O80</f>
        <v>0</v>
      </c>
      <c r="P80" s="79">
        <f>'Core Loads'!P80</f>
        <v>0</v>
      </c>
      <c r="Q80" s="79">
        <f>'Core Loads'!Q80</f>
        <v>0</v>
      </c>
      <c r="R80" s="79">
        <f>'Core Loads'!R80</f>
        <v>0</v>
      </c>
      <c r="S80" s="79">
        <f>'Core Loads'!S80</f>
        <v>0</v>
      </c>
      <c r="T80" s="79">
        <f>'Core Loads'!T80</f>
        <v>0</v>
      </c>
      <c r="U80" s="79">
        <f>'Core Loads'!U80</f>
        <v>0</v>
      </c>
      <c r="V80" s="79">
        <f>'Core Loads'!V80</f>
        <v>0</v>
      </c>
      <c r="W80" s="79">
        <f>'Core Loads'!W80</f>
        <v>0</v>
      </c>
      <c r="X80" s="79">
        <f>'Core Loads'!X80</f>
        <v>0</v>
      </c>
      <c r="Y80" s="79">
        <f>'Core Loads'!Y80</f>
        <v>0</v>
      </c>
      <c r="Z80" s="79">
        <f>'Core Loads'!Z80</f>
        <v>0</v>
      </c>
      <c r="AA80" s="79">
        <f>'Core Loads'!AA80</f>
        <v>0</v>
      </c>
      <c r="AB80" s="79">
        <f>'Core Loads'!AB80</f>
        <v>0</v>
      </c>
      <c r="AC80" s="79">
        <f>'Core Loads'!AC80</f>
        <v>0</v>
      </c>
      <c r="AD80" s="79">
        <f>'Core Loads'!AD80</f>
        <v>0</v>
      </c>
      <c r="AE80" s="79">
        <f>'Core Loads'!AE80</f>
        <v>0</v>
      </c>
      <c r="AF80" s="79">
        <f>'Core Loads'!AF80</f>
        <v>0</v>
      </c>
      <c r="AG80"/>
      <c r="AH80" s="17" t="s">
        <v>279</v>
      </c>
    </row>
    <row r="81" spans="2:34" hidden="1" outlineLevel="1" x14ac:dyDescent="0.25">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row>
    <row r="82" spans="2:34" ht="15.75" hidden="1" outlineLevel="1" thickBot="1" x14ac:dyDescent="0.3">
      <c r="B82" s="28" t="s">
        <v>280</v>
      </c>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0"/>
      <c r="AH82" s="20" t="s">
        <v>15</v>
      </c>
    </row>
    <row r="83" spans="2:34" customFormat="1" hidden="1" outlineLevel="1" x14ac:dyDescent="0.25">
      <c r="B83" s="30"/>
      <c r="C83" s="17">
        <v>2025</v>
      </c>
      <c r="D83" s="44">
        <v>2026</v>
      </c>
      <c r="E83" s="44">
        <v>2027</v>
      </c>
      <c r="F83" s="44">
        <v>2028</v>
      </c>
      <c r="G83" s="44">
        <v>2029</v>
      </c>
      <c r="H83" s="44">
        <v>2030</v>
      </c>
      <c r="I83" s="44">
        <v>2031</v>
      </c>
      <c r="J83" s="44">
        <v>2032</v>
      </c>
      <c r="K83" s="44">
        <v>2033</v>
      </c>
      <c r="L83" s="44">
        <v>2034</v>
      </c>
      <c r="M83" s="44">
        <v>2035</v>
      </c>
      <c r="N83" s="44">
        <v>2036</v>
      </c>
      <c r="O83" s="44">
        <v>2037</v>
      </c>
      <c r="P83" s="44">
        <v>2038</v>
      </c>
      <c r="Q83" s="44">
        <v>2039</v>
      </c>
      <c r="R83" s="44">
        <v>2040</v>
      </c>
      <c r="S83" s="44">
        <v>2041</v>
      </c>
      <c r="T83" s="44">
        <v>2042</v>
      </c>
      <c r="U83" s="44">
        <v>2043</v>
      </c>
      <c r="V83" s="44">
        <v>2044</v>
      </c>
      <c r="W83" s="44">
        <v>2045</v>
      </c>
      <c r="X83" s="44">
        <v>2046</v>
      </c>
      <c r="Y83" s="44">
        <v>2047</v>
      </c>
      <c r="Z83" s="44">
        <v>2048</v>
      </c>
      <c r="AA83" s="44">
        <v>2049</v>
      </c>
      <c r="AB83" s="44">
        <v>2050</v>
      </c>
      <c r="AC83" s="44">
        <v>2051</v>
      </c>
      <c r="AD83" s="44">
        <v>2052</v>
      </c>
      <c r="AE83" s="44">
        <v>2053</v>
      </c>
      <c r="AF83" s="44">
        <v>2054</v>
      </c>
      <c r="AH83" s="1"/>
    </row>
    <row r="84" spans="2:34" hidden="1" outlineLevel="1" x14ac:dyDescent="0.25">
      <c r="B84" s="31" t="s">
        <v>144</v>
      </c>
      <c r="C84" s="79">
        <f>'Core Loads'!C84</f>
        <v>8678140.1263548788</v>
      </c>
      <c r="D84" s="79">
        <f>'Core Loads'!D84</f>
        <v>8678140.1263548788</v>
      </c>
      <c r="E84" s="79">
        <f>'Core Loads'!E84</f>
        <v>8678140.1263548788</v>
      </c>
      <c r="F84" s="79">
        <f>'Core Loads'!F84</f>
        <v>8237611.3694371348</v>
      </c>
      <c r="G84" s="79">
        <f>'Core Loads'!G84</f>
        <v>8237611.3694371348</v>
      </c>
      <c r="H84" s="79">
        <f>'Core Loads'!H84</f>
        <v>9012734.2894371357</v>
      </c>
      <c r="I84" s="79">
        <f>'Core Loads'!I84</f>
        <v>9012734.2894371357</v>
      </c>
      <c r="J84" s="79">
        <f>'Core Loads'!J84</f>
        <v>8552617.6962371375</v>
      </c>
      <c r="K84" s="79">
        <f>'Core Loads'!K84</f>
        <v>8552617.6962371375</v>
      </c>
      <c r="L84" s="79">
        <f>'Core Loads'!L84</f>
        <v>9180639.3762371354</v>
      </c>
      <c r="M84" s="79">
        <f>'Core Loads'!M84</f>
        <v>9180639.3762371354</v>
      </c>
      <c r="N84" s="79">
        <f>'Core Loads'!N84</f>
        <v>9180639.3762371354</v>
      </c>
      <c r="O84" s="79">
        <f>'Core Loads'!O84</f>
        <v>9180639.3762371354</v>
      </c>
      <c r="P84" s="79">
        <f>'Core Loads'!P84</f>
        <v>9180639.3762371354</v>
      </c>
      <c r="Q84" s="79">
        <f>'Core Loads'!Q84</f>
        <v>9180639.3762371354</v>
      </c>
      <c r="R84" s="79">
        <f>'Core Loads'!R84</f>
        <v>9180639.3762371354</v>
      </c>
      <c r="S84" s="79">
        <f>'Core Loads'!S84</f>
        <v>9180639.3762371354</v>
      </c>
      <c r="T84" s="79">
        <f>'Core Loads'!T84</f>
        <v>9180639.3762371354</v>
      </c>
      <c r="U84" s="79">
        <f>'Core Loads'!U84</f>
        <v>9180639.3762371354</v>
      </c>
      <c r="V84" s="79">
        <f>'Core Loads'!V84</f>
        <v>9180639.3762371354</v>
      </c>
      <c r="W84" s="79">
        <f>'Core Loads'!W84</f>
        <v>9180639.3762371354</v>
      </c>
      <c r="X84" s="79">
        <f>'Core Loads'!X84</f>
        <v>9180639.3762371354</v>
      </c>
      <c r="Y84" s="79">
        <f>'Core Loads'!Y84</f>
        <v>9180639.3762371354</v>
      </c>
      <c r="Z84" s="79">
        <f>'Core Loads'!Z84</f>
        <v>9180639.3762371354</v>
      </c>
      <c r="AA84" s="79">
        <f>'Core Loads'!AA84</f>
        <v>9180639.3762371354</v>
      </c>
      <c r="AB84" s="79">
        <f>'Core Loads'!AB84</f>
        <v>9180639.3762371354</v>
      </c>
      <c r="AC84" s="79">
        <f>'Core Loads'!AC84</f>
        <v>9180639.3762371354</v>
      </c>
      <c r="AD84" s="79">
        <f>'Core Loads'!AD84</f>
        <v>9180639.3762371354</v>
      </c>
      <c r="AE84" s="79">
        <f>'Core Loads'!AE84</f>
        <v>9180639.3762371354</v>
      </c>
      <c r="AF84" s="79">
        <f>'Core Loads'!AF84</f>
        <v>9180639.3762371354</v>
      </c>
      <c r="AG84"/>
      <c r="AH84" s="17" t="s">
        <v>279</v>
      </c>
    </row>
    <row r="85" spans="2:34" hidden="1" outlineLevel="1" x14ac:dyDescent="0.25">
      <c r="B85" s="31" t="s">
        <v>145</v>
      </c>
      <c r="C85" s="79">
        <f>'Core Loads'!C85</f>
        <v>0</v>
      </c>
      <c r="D85" s="79">
        <f>'Core Loads'!D85</f>
        <v>0</v>
      </c>
      <c r="E85" s="79">
        <f>'Core Loads'!E85</f>
        <v>0</v>
      </c>
      <c r="F85" s="79">
        <f>'Core Loads'!F85</f>
        <v>0</v>
      </c>
      <c r="G85" s="79">
        <f>'Core Loads'!G85</f>
        <v>0</v>
      </c>
      <c r="H85" s="79">
        <f>'Core Loads'!H85</f>
        <v>7234294.6083669895</v>
      </c>
      <c r="I85" s="79">
        <f>'Core Loads'!I85</f>
        <v>7234294.6083669895</v>
      </c>
      <c r="J85" s="79">
        <f>'Core Loads'!J85</f>
        <v>7234294.6083669895</v>
      </c>
      <c r="K85" s="79">
        <f>'Core Loads'!K85</f>
        <v>7234294.6083669895</v>
      </c>
      <c r="L85" s="79">
        <f>'Core Loads'!L85</f>
        <v>7082106.2166567408</v>
      </c>
      <c r="M85" s="79">
        <f>'Core Loads'!M85</f>
        <v>7082106.2166567408</v>
      </c>
      <c r="N85" s="79">
        <f>'Core Loads'!N85</f>
        <v>7082106.2166567408</v>
      </c>
      <c r="O85" s="79">
        <f>'Core Loads'!O85</f>
        <v>7082106.2166567408</v>
      </c>
      <c r="P85" s="79">
        <f>'Core Loads'!P85</f>
        <v>7070995.9866567403</v>
      </c>
      <c r="Q85" s="79">
        <f>'Core Loads'!Q85</f>
        <v>7070995.9866567403</v>
      </c>
      <c r="R85" s="79">
        <f>'Core Loads'!R85</f>
        <v>7414629.3906567395</v>
      </c>
      <c r="S85" s="79">
        <f>'Core Loads'!S85</f>
        <v>7414629.3906567395</v>
      </c>
      <c r="T85" s="79">
        <f>'Core Loads'!T85</f>
        <v>7414629.3906567395</v>
      </c>
      <c r="U85" s="79">
        <f>'Core Loads'!U85</f>
        <v>7414629.3906567395</v>
      </c>
      <c r="V85" s="79">
        <f>'Core Loads'!V85</f>
        <v>7414629.3906567395</v>
      </c>
      <c r="W85" s="79">
        <f>'Core Loads'!W85</f>
        <v>7414629.3906567395</v>
      </c>
      <c r="X85" s="79">
        <f>'Core Loads'!X85</f>
        <v>7414629.3906567395</v>
      </c>
      <c r="Y85" s="79">
        <f>'Core Loads'!Y85</f>
        <v>7414629.3906567395</v>
      </c>
      <c r="Z85" s="79">
        <f>'Core Loads'!Z85</f>
        <v>7414629.3906567395</v>
      </c>
      <c r="AA85" s="79">
        <f>'Core Loads'!AA85</f>
        <v>7414629.3906567395</v>
      </c>
      <c r="AB85" s="79">
        <f>'Core Loads'!AB85</f>
        <v>7275034.2137464946</v>
      </c>
      <c r="AC85" s="79">
        <f>'Core Loads'!AC85</f>
        <v>7275034.2137464946</v>
      </c>
      <c r="AD85" s="79">
        <f>'Core Loads'!AD85</f>
        <v>7275034.2137464946</v>
      </c>
      <c r="AE85" s="79">
        <f>'Core Loads'!AE85</f>
        <v>7275034.2137464946</v>
      </c>
      <c r="AF85" s="79">
        <f>'Core Loads'!AF85</f>
        <v>7275034.2137464946</v>
      </c>
      <c r="AG85"/>
      <c r="AH85" s="17" t="s">
        <v>279</v>
      </c>
    </row>
    <row r="86" spans="2:34" hidden="1" outlineLevel="1" x14ac:dyDescent="0.25">
      <c r="B86" s="31" t="s">
        <v>244</v>
      </c>
      <c r="C86" s="79">
        <f>'Core Loads'!C86</f>
        <v>0</v>
      </c>
      <c r="D86" s="79">
        <f>'Core Loads'!D86</f>
        <v>0</v>
      </c>
      <c r="E86" s="79">
        <f>'Core Loads'!E86</f>
        <v>8457299.046688661</v>
      </c>
      <c r="F86" s="79">
        <f>'Core Loads'!F86</f>
        <v>12134985.26668866</v>
      </c>
      <c r="G86" s="79">
        <f>'Core Loads'!G86</f>
        <v>12134985.26668866</v>
      </c>
      <c r="H86" s="79">
        <f>'Core Loads'!H86</f>
        <v>16003705.267622186</v>
      </c>
      <c r="I86" s="79">
        <f>'Core Loads'!I86</f>
        <v>16003705.267622186</v>
      </c>
      <c r="J86" s="79">
        <f>'Core Loads'!J86</f>
        <v>15247954.784394085</v>
      </c>
      <c r="K86" s="79">
        <f>'Core Loads'!K86</f>
        <v>15247954.784394085</v>
      </c>
      <c r="L86" s="79">
        <f>'Core Loads'!L86</f>
        <v>15247954.784394085</v>
      </c>
      <c r="M86" s="79">
        <f>'Core Loads'!M86</f>
        <v>15247954.784394085</v>
      </c>
      <c r="N86" s="79">
        <f>'Core Loads'!N86</f>
        <v>15033617.237543011</v>
      </c>
      <c r="O86" s="79">
        <f>'Core Loads'!O86</f>
        <v>15033617.237543011</v>
      </c>
      <c r="P86" s="79">
        <f>'Core Loads'!P86</f>
        <v>14997195.012872687</v>
      </c>
      <c r="Q86" s="79">
        <f>'Core Loads'!Q86</f>
        <v>14997195.012872687</v>
      </c>
      <c r="R86" s="79">
        <f>'Core Loads'!R86</f>
        <v>15766985.012872687</v>
      </c>
      <c r="S86" s="79">
        <f>'Core Loads'!S86</f>
        <v>15766985.012872687</v>
      </c>
      <c r="T86" s="79">
        <f>'Core Loads'!T86</f>
        <v>15766985.012872687</v>
      </c>
      <c r="U86" s="79">
        <f>'Core Loads'!U86</f>
        <v>15766985.012872687</v>
      </c>
      <c r="V86" s="79">
        <f>'Core Loads'!V86</f>
        <v>15661982.603749251</v>
      </c>
      <c r="W86" s="79">
        <f>'Core Loads'!W86</f>
        <v>15661982.603749251</v>
      </c>
      <c r="X86" s="79">
        <f>'Core Loads'!X86</f>
        <v>15661982.603749251</v>
      </c>
      <c r="Y86" s="79">
        <f>'Core Loads'!Y86</f>
        <v>15661982.603749251</v>
      </c>
      <c r="Z86" s="79">
        <f>'Core Loads'!Z86</f>
        <v>15661982.603749251</v>
      </c>
      <c r="AA86" s="79">
        <f>'Core Loads'!AA86</f>
        <v>15661982.603749251</v>
      </c>
      <c r="AB86" s="79">
        <f>'Core Loads'!AB86</f>
        <v>15661982.603749251</v>
      </c>
      <c r="AC86" s="79">
        <f>'Core Loads'!AC86</f>
        <v>15661982.603749251</v>
      </c>
      <c r="AD86" s="79">
        <f>'Core Loads'!AD86</f>
        <v>15661982.603749251</v>
      </c>
      <c r="AE86" s="79">
        <f>'Core Loads'!AE86</f>
        <v>15661982.603749251</v>
      </c>
      <c r="AF86" s="79">
        <f>'Core Loads'!AF86</f>
        <v>15661982.603749251</v>
      </c>
      <c r="AG86"/>
      <c r="AH86" s="17" t="s">
        <v>279</v>
      </c>
    </row>
    <row r="87" spans="2:34" hidden="1" outlineLevel="1" x14ac:dyDescent="0.25">
      <c r="B87" s="31" t="s">
        <v>147</v>
      </c>
      <c r="C87" s="79">
        <f>'Core Loads'!C87</f>
        <v>0</v>
      </c>
      <c r="D87" s="79">
        <f>'Core Loads'!D87</f>
        <v>0</v>
      </c>
      <c r="E87" s="79">
        <f>'Core Loads'!E87</f>
        <v>0</v>
      </c>
      <c r="F87" s="79">
        <f>'Core Loads'!F87</f>
        <v>0</v>
      </c>
      <c r="G87" s="79">
        <f>'Core Loads'!G87</f>
        <v>0</v>
      </c>
      <c r="H87" s="79">
        <f>'Core Loads'!H87</f>
        <v>0</v>
      </c>
      <c r="I87" s="79">
        <f>'Core Loads'!I87</f>
        <v>0</v>
      </c>
      <c r="J87" s="79">
        <f>'Core Loads'!J87</f>
        <v>0</v>
      </c>
      <c r="K87" s="79">
        <f>'Core Loads'!K87</f>
        <v>0</v>
      </c>
      <c r="L87" s="79">
        <f>'Core Loads'!L87</f>
        <v>0</v>
      </c>
      <c r="M87" s="79">
        <f>'Core Loads'!M87</f>
        <v>0</v>
      </c>
      <c r="N87" s="79">
        <f>'Core Loads'!N87</f>
        <v>0</v>
      </c>
      <c r="O87" s="79">
        <f>'Core Loads'!O87</f>
        <v>0</v>
      </c>
      <c r="P87" s="79">
        <f>'Core Loads'!P87</f>
        <v>0</v>
      </c>
      <c r="Q87" s="79">
        <f>'Core Loads'!Q87</f>
        <v>0</v>
      </c>
      <c r="R87" s="79">
        <f>'Core Loads'!R87</f>
        <v>0</v>
      </c>
      <c r="S87" s="79">
        <f>'Core Loads'!S87</f>
        <v>0</v>
      </c>
      <c r="T87" s="79">
        <f>'Core Loads'!T87</f>
        <v>0</v>
      </c>
      <c r="U87" s="79">
        <f>'Core Loads'!U87</f>
        <v>0</v>
      </c>
      <c r="V87" s="79">
        <f>'Core Loads'!V87</f>
        <v>0</v>
      </c>
      <c r="W87" s="79">
        <f>'Core Loads'!W87</f>
        <v>0</v>
      </c>
      <c r="X87" s="79">
        <f>'Core Loads'!X87</f>
        <v>0</v>
      </c>
      <c r="Y87" s="79">
        <f>'Core Loads'!Y87</f>
        <v>0</v>
      </c>
      <c r="Z87" s="79">
        <f>'Core Loads'!Z87</f>
        <v>0</v>
      </c>
      <c r="AA87" s="79">
        <f>'Core Loads'!AA87</f>
        <v>0</v>
      </c>
      <c r="AB87" s="79">
        <f>'Core Loads'!AB87</f>
        <v>0</v>
      </c>
      <c r="AC87" s="79">
        <f>'Core Loads'!AC87</f>
        <v>0</v>
      </c>
      <c r="AD87" s="79">
        <f>'Core Loads'!AD87</f>
        <v>0</v>
      </c>
      <c r="AE87" s="79">
        <f>'Core Loads'!AE87</f>
        <v>0</v>
      </c>
      <c r="AF87" s="79">
        <f>'Core Loads'!AF87</f>
        <v>0</v>
      </c>
      <c r="AG87"/>
      <c r="AH87" s="17" t="s">
        <v>279</v>
      </c>
    </row>
    <row r="88" spans="2:34" hidden="1" outlineLevel="1" x14ac:dyDescent="0.25">
      <c r="B88" s="31" t="s">
        <v>245</v>
      </c>
      <c r="C88" s="79">
        <f>'Core Loads'!C88</f>
        <v>0</v>
      </c>
      <c r="D88" s="79">
        <f>'Core Loads'!D88</f>
        <v>0</v>
      </c>
      <c r="E88" s="79">
        <f>'Core Loads'!E88</f>
        <v>0</v>
      </c>
      <c r="F88" s="79">
        <f>'Core Loads'!F88</f>
        <v>0</v>
      </c>
      <c r="G88" s="79">
        <f>'Core Loads'!G88</f>
        <v>0</v>
      </c>
      <c r="H88" s="79">
        <f>'Core Loads'!H88</f>
        <v>0</v>
      </c>
      <c r="I88" s="79">
        <f>'Core Loads'!I88</f>
        <v>0</v>
      </c>
      <c r="J88" s="79">
        <f>'Core Loads'!J88</f>
        <v>3455696.2320000003</v>
      </c>
      <c r="K88" s="79">
        <f>'Core Loads'!K88</f>
        <v>3455696.2320000003</v>
      </c>
      <c r="L88" s="79">
        <f>'Core Loads'!L88</f>
        <v>3455696.2320000003</v>
      </c>
      <c r="M88" s="79">
        <f>'Core Loads'!M88</f>
        <v>3455696.2320000003</v>
      </c>
      <c r="N88" s="79">
        <f>'Core Loads'!N88</f>
        <v>3395321.1464</v>
      </c>
      <c r="O88" s="79">
        <f>'Core Loads'!O88</f>
        <v>3395321.1464</v>
      </c>
      <c r="P88" s="79">
        <f>'Core Loads'!P88</f>
        <v>3395321.1464</v>
      </c>
      <c r="Q88" s="79">
        <f>'Core Loads'!Q88</f>
        <v>3395321.1464</v>
      </c>
      <c r="R88" s="79">
        <f>'Core Loads'!R88</f>
        <v>8011631.8983999994</v>
      </c>
      <c r="S88" s="79">
        <f>'Core Loads'!S88</f>
        <v>8011631.8983999994</v>
      </c>
      <c r="T88" s="79">
        <f>'Core Loads'!T88</f>
        <v>8011631.8983999994</v>
      </c>
      <c r="U88" s="79">
        <f>'Core Loads'!U88</f>
        <v>8011631.8983999994</v>
      </c>
      <c r="V88" s="79">
        <f>'Core Loads'!V88</f>
        <v>8011631.8983999994</v>
      </c>
      <c r="W88" s="79">
        <f>'Core Loads'!W88</f>
        <v>8011631.8983999994</v>
      </c>
      <c r="X88" s="79">
        <f>'Core Loads'!X88</f>
        <v>8011631.8983999994</v>
      </c>
      <c r="Y88" s="79">
        <f>'Core Loads'!Y88</f>
        <v>8011631.8983999994</v>
      </c>
      <c r="Z88" s="79">
        <f>'Core Loads'!Z88</f>
        <v>8011631.8983999994</v>
      </c>
      <c r="AA88" s="79">
        <f>'Core Loads'!AA88</f>
        <v>8011631.8983999994</v>
      </c>
      <c r="AB88" s="79">
        <f>'Core Loads'!AB88</f>
        <v>8011631.8983999994</v>
      </c>
      <c r="AC88" s="79">
        <f>'Core Loads'!AC88</f>
        <v>8011631.8983999994</v>
      </c>
      <c r="AD88" s="79">
        <f>'Core Loads'!AD88</f>
        <v>8011631.8983999994</v>
      </c>
      <c r="AE88" s="79">
        <f>'Core Loads'!AE88</f>
        <v>8011631.8983999994</v>
      </c>
      <c r="AF88" s="79">
        <f>'Core Loads'!AF88</f>
        <v>8011631.8983999994</v>
      </c>
      <c r="AG88"/>
      <c r="AH88" s="17" t="s">
        <v>279</v>
      </c>
    </row>
    <row r="89" spans="2:34" hidden="1" outlineLevel="1" x14ac:dyDescent="0.25">
      <c r="B89" s="31" t="s">
        <v>149</v>
      </c>
      <c r="C89" s="79">
        <f>'Core Loads'!C89</f>
        <v>8678140.1263548788</v>
      </c>
      <c r="D89" s="79">
        <f>'Core Loads'!D89</f>
        <v>8678140.1263548788</v>
      </c>
      <c r="E89" s="79">
        <f>'Core Loads'!E89</f>
        <v>17135439.173043542</v>
      </c>
      <c r="F89" s="79">
        <f>'Core Loads'!F89</f>
        <v>20372596.636125796</v>
      </c>
      <c r="G89" s="79">
        <f>'Core Loads'!G89</f>
        <v>20372596.636125796</v>
      </c>
      <c r="H89" s="79">
        <f>'Core Loads'!H89</f>
        <v>32250734.165426314</v>
      </c>
      <c r="I89" s="79">
        <f>'Core Loads'!I89</f>
        <v>32250734.165426314</v>
      </c>
      <c r="J89" s="79">
        <f>'Core Loads'!J89</f>
        <v>34490563.320998214</v>
      </c>
      <c r="K89" s="79">
        <f>'Core Loads'!K89</f>
        <v>34490563.320998214</v>
      </c>
      <c r="L89" s="79">
        <f>'Core Loads'!L89</f>
        <v>34966396.609287962</v>
      </c>
      <c r="M89" s="79">
        <f>'Core Loads'!M89</f>
        <v>34966396.609287962</v>
      </c>
      <c r="N89" s="79">
        <f>'Core Loads'!N89</f>
        <v>34691683.976836883</v>
      </c>
      <c r="O89" s="79">
        <f>'Core Loads'!O89</f>
        <v>34691683.976836883</v>
      </c>
      <c r="P89" s="79">
        <f>'Core Loads'!P89</f>
        <v>34644151.522166558</v>
      </c>
      <c r="Q89" s="79">
        <f>'Core Loads'!Q89</f>
        <v>34644151.522166558</v>
      </c>
      <c r="R89" s="79">
        <f>'Core Loads'!R89</f>
        <v>40373885.678166561</v>
      </c>
      <c r="S89" s="79">
        <f>'Core Loads'!S89</f>
        <v>40373885.678166561</v>
      </c>
      <c r="T89" s="79">
        <f>'Core Loads'!T89</f>
        <v>40373885.678166561</v>
      </c>
      <c r="U89" s="79">
        <f>'Core Loads'!U89</f>
        <v>40373885.678166561</v>
      </c>
      <c r="V89" s="79">
        <f>'Core Loads'!V89</f>
        <v>40268883.269043125</v>
      </c>
      <c r="W89" s="79">
        <f>'Core Loads'!W89</f>
        <v>40268883.269043125</v>
      </c>
      <c r="X89" s="79">
        <f>'Core Loads'!X89</f>
        <v>40268883.269043125</v>
      </c>
      <c r="Y89" s="79">
        <f>'Core Loads'!Y89</f>
        <v>40268883.269043125</v>
      </c>
      <c r="Z89" s="79">
        <f>'Core Loads'!Z89</f>
        <v>40268883.269043125</v>
      </c>
      <c r="AA89" s="79">
        <f>'Core Loads'!AA89</f>
        <v>40268883.269043125</v>
      </c>
      <c r="AB89" s="79">
        <f>'Core Loads'!AB89</f>
        <v>40129288.092132881</v>
      </c>
      <c r="AC89" s="79">
        <f>'Core Loads'!AC89</f>
        <v>40129288.092132881</v>
      </c>
      <c r="AD89" s="79">
        <f>'Core Loads'!AD89</f>
        <v>40129288.092132881</v>
      </c>
      <c r="AE89" s="79">
        <f>'Core Loads'!AE89</f>
        <v>40129288.092132881</v>
      </c>
      <c r="AF89" s="79">
        <f>'Core Loads'!AF89</f>
        <v>40129288.092132881</v>
      </c>
      <c r="AG89"/>
      <c r="AH89" s="17" t="s">
        <v>279</v>
      </c>
    </row>
    <row r="90" spans="2:34" hidden="1" outlineLevel="1" x14ac:dyDescent="0.25"/>
    <row r="91" spans="2:34" hidden="1" outlineLevel="1" x14ac:dyDescent="0.25"/>
    <row r="92" spans="2:34" ht="15.75" collapsed="1" thickTop="1" x14ac:dyDescent="0.25"/>
    <row r="93" spans="2:34" ht="20.25" thickBot="1" x14ac:dyDescent="0.35">
      <c r="B93" s="18" t="s">
        <v>284</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row>
    <row r="94" spans="2:34" ht="18" hidden="1" outlineLevel="1" thickTop="1" thickBot="1" x14ac:dyDescent="0.3">
      <c r="B94" s="26" t="s">
        <v>277</v>
      </c>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19"/>
      <c r="AH94" s="19"/>
    </row>
    <row r="95" spans="2:34" ht="16.5" hidden="1" outlineLevel="1" thickTop="1" thickBot="1" x14ac:dyDescent="0.3">
      <c r="B95" s="28" t="s">
        <v>278</v>
      </c>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0"/>
      <c r="AH95" s="20" t="s">
        <v>15</v>
      </c>
    </row>
    <row r="96" spans="2:34" customFormat="1" hidden="1" outlineLevel="1" x14ac:dyDescent="0.25">
      <c r="B96" s="30"/>
      <c r="C96" s="17">
        <v>2025</v>
      </c>
      <c r="D96" s="44">
        <v>2026</v>
      </c>
      <c r="E96" s="44">
        <v>2027</v>
      </c>
      <c r="F96" s="44">
        <v>2028</v>
      </c>
      <c r="G96" s="44">
        <v>2029</v>
      </c>
      <c r="H96" s="44">
        <v>2030</v>
      </c>
      <c r="I96" s="44">
        <v>2031</v>
      </c>
      <c r="J96" s="44">
        <v>2032</v>
      </c>
      <c r="K96" s="44">
        <v>2033</v>
      </c>
      <c r="L96" s="44">
        <v>2034</v>
      </c>
      <c r="M96" s="44">
        <v>2035</v>
      </c>
      <c r="N96" s="44">
        <v>2036</v>
      </c>
      <c r="O96" s="44">
        <v>2037</v>
      </c>
      <c r="P96" s="44">
        <v>2038</v>
      </c>
      <c r="Q96" s="44">
        <v>2039</v>
      </c>
      <c r="R96" s="44">
        <v>2040</v>
      </c>
      <c r="S96" s="44">
        <v>2041</v>
      </c>
      <c r="T96" s="44">
        <v>2042</v>
      </c>
      <c r="U96" s="44">
        <v>2043</v>
      </c>
      <c r="V96" s="44">
        <v>2044</v>
      </c>
      <c r="W96" s="44">
        <v>2045</v>
      </c>
      <c r="X96" s="44">
        <v>2046</v>
      </c>
      <c r="Y96" s="44">
        <v>2047</v>
      </c>
      <c r="Z96" s="44">
        <v>2048</v>
      </c>
      <c r="AA96" s="44">
        <v>2049</v>
      </c>
      <c r="AB96" s="44">
        <v>2050</v>
      </c>
      <c r="AC96" s="44">
        <v>2051</v>
      </c>
      <c r="AD96" s="44">
        <v>2052</v>
      </c>
      <c r="AE96" s="44">
        <v>2053</v>
      </c>
      <c r="AF96" s="44">
        <v>2054</v>
      </c>
    </row>
    <row r="97" spans="2:35" hidden="1" outlineLevel="1" x14ac:dyDescent="0.25">
      <c r="B97" s="31" t="s">
        <v>144</v>
      </c>
      <c r="C97" s="79">
        <f>'Core Loads'!C97</f>
        <v>23615064.786330797</v>
      </c>
      <c r="D97" s="79">
        <f>'Core Loads'!D97</f>
        <v>23615064.786330797</v>
      </c>
      <c r="E97" s="79">
        <f>'Core Loads'!E97</f>
        <v>23615064.786330797</v>
      </c>
      <c r="F97" s="79">
        <f>'Core Loads'!F97</f>
        <v>22575379.251518697</v>
      </c>
      <c r="G97" s="79">
        <f>'Core Loads'!G97</f>
        <v>22575379.251518697</v>
      </c>
      <c r="H97" s="79">
        <f>'Core Loads'!H97</f>
        <v>11060280.127500001</v>
      </c>
      <c r="I97" s="79">
        <f>'Core Loads'!I97</f>
        <v>11060280.127500001</v>
      </c>
      <c r="J97" s="79">
        <f>'Core Loads'!J97</f>
        <v>10328151.510000002</v>
      </c>
      <c r="K97" s="79">
        <f>'Core Loads'!K97</f>
        <v>10328151.510000002</v>
      </c>
      <c r="L97" s="79">
        <f>'Core Loads'!L97</f>
        <v>10328151.510000002</v>
      </c>
      <c r="M97" s="79">
        <f>'Core Loads'!M97</f>
        <v>10328151.510000002</v>
      </c>
      <c r="N97" s="79">
        <f>'Core Loads'!N97</f>
        <v>10328151.510000002</v>
      </c>
      <c r="O97" s="79">
        <f>'Core Loads'!O97</f>
        <v>10328151.510000002</v>
      </c>
      <c r="P97" s="79">
        <f>'Core Loads'!P97</f>
        <v>10328151.510000002</v>
      </c>
      <c r="Q97" s="79">
        <f>'Core Loads'!Q97</f>
        <v>0</v>
      </c>
      <c r="R97" s="79">
        <f>'Core Loads'!R97</f>
        <v>0</v>
      </c>
      <c r="S97" s="79">
        <f>'Core Loads'!S97</f>
        <v>0</v>
      </c>
      <c r="T97" s="79">
        <f>'Core Loads'!T97</f>
        <v>0</v>
      </c>
      <c r="U97" s="79">
        <f>'Core Loads'!U97</f>
        <v>0</v>
      </c>
      <c r="V97" s="79">
        <f>'Core Loads'!V97</f>
        <v>0</v>
      </c>
      <c r="W97" s="79">
        <f>'Core Loads'!W97</f>
        <v>0</v>
      </c>
      <c r="X97" s="79">
        <f>'Core Loads'!X97</f>
        <v>0</v>
      </c>
      <c r="Y97" s="79">
        <f>'Core Loads'!Y97</f>
        <v>0</v>
      </c>
      <c r="Z97" s="79">
        <f>'Core Loads'!Z97</f>
        <v>0</v>
      </c>
      <c r="AA97" s="79">
        <f>'Core Loads'!AA97</f>
        <v>0</v>
      </c>
      <c r="AB97" s="79">
        <f>'Core Loads'!AB97</f>
        <v>0</v>
      </c>
      <c r="AC97" s="79">
        <f>'Core Loads'!AC97</f>
        <v>0</v>
      </c>
      <c r="AD97" s="79">
        <f>'Core Loads'!AD97</f>
        <v>0</v>
      </c>
      <c r="AE97" s="79">
        <f>'Core Loads'!AE97</f>
        <v>0</v>
      </c>
      <c r="AF97" s="79">
        <f>'Core Loads'!AF97</f>
        <v>0</v>
      </c>
      <c r="AG97"/>
      <c r="AH97" s="17" t="s">
        <v>279</v>
      </c>
    </row>
    <row r="98" spans="2:35" hidden="1" outlineLevel="1" x14ac:dyDescent="0.25">
      <c r="B98" s="31" t="s">
        <v>145</v>
      </c>
      <c r="C98" s="79">
        <f>'Core Loads'!C98</f>
        <v>15277743.907373067</v>
      </c>
      <c r="D98" s="79">
        <f>'Core Loads'!D98</f>
        <v>15770486.74488374</v>
      </c>
      <c r="E98" s="79">
        <f>'Core Loads'!E98</f>
        <v>15770486.74488374</v>
      </c>
      <c r="F98" s="79">
        <f>'Core Loads'!F98</f>
        <v>15770486.74488374</v>
      </c>
      <c r="G98" s="79">
        <f>'Core Loads'!G98</f>
        <v>15770486.74488374</v>
      </c>
      <c r="H98" s="79">
        <f>'Core Loads'!H98</f>
        <v>15787184.845623737</v>
      </c>
      <c r="I98" s="79">
        <f>'Core Loads'!I98</f>
        <v>15787184.845623737</v>
      </c>
      <c r="J98" s="79">
        <f>'Core Loads'!J98</f>
        <v>15787184.845623737</v>
      </c>
      <c r="K98" s="79">
        <f>'Core Loads'!K98</f>
        <v>15787184.845623737</v>
      </c>
      <c r="L98" s="79">
        <f>'Core Loads'!L98</f>
        <v>15390568.910004416</v>
      </c>
      <c r="M98" s="79">
        <f>'Core Loads'!M98</f>
        <v>4836531.9851375045</v>
      </c>
      <c r="N98" s="79">
        <f>'Core Loads'!N98</f>
        <v>4836531.9851375045</v>
      </c>
      <c r="O98" s="79">
        <f>'Core Loads'!O98</f>
        <v>4836531.9851375045</v>
      </c>
      <c r="P98" s="79">
        <f>'Core Loads'!P98</f>
        <v>4836531.9851375045</v>
      </c>
      <c r="Q98" s="79">
        <f>'Core Loads'!Q98</f>
        <v>0</v>
      </c>
      <c r="R98" s="79">
        <f>'Core Loads'!R98</f>
        <v>0</v>
      </c>
      <c r="S98" s="79">
        <f>'Core Loads'!S98</f>
        <v>0</v>
      </c>
      <c r="T98" s="79">
        <f>'Core Loads'!T98</f>
        <v>0</v>
      </c>
      <c r="U98" s="79">
        <f>'Core Loads'!U98</f>
        <v>0</v>
      </c>
      <c r="V98" s="79">
        <f>'Core Loads'!V98</f>
        <v>0</v>
      </c>
      <c r="W98" s="79">
        <f>'Core Loads'!W98</f>
        <v>0</v>
      </c>
      <c r="X98" s="79">
        <f>'Core Loads'!X98</f>
        <v>0</v>
      </c>
      <c r="Y98" s="79">
        <f>'Core Loads'!Y98</f>
        <v>0</v>
      </c>
      <c r="Z98" s="79">
        <f>'Core Loads'!Z98</f>
        <v>0</v>
      </c>
      <c r="AA98" s="79">
        <f>'Core Loads'!AA98</f>
        <v>0</v>
      </c>
      <c r="AB98" s="79">
        <f>'Core Loads'!AB98</f>
        <v>0</v>
      </c>
      <c r="AC98" s="79">
        <f>'Core Loads'!AC98</f>
        <v>0</v>
      </c>
      <c r="AD98" s="79">
        <f>'Core Loads'!AD98</f>
        <v>0</v>
      </c>
      <c r="AE98" s="79">
        <f>'Core Loads'!AE98</f>
        <v>0</v>
      </c>
      <c r="AF98" s="79">
        <f>'Core Loads'!AF98</f>
        <v>0</v>
      </c>
      <c r="AG98"/>
      <c r="AH98" s="17" t="s">
        <v>279</v>
      </c>
    </row>
    <row r="99" spans="2:35" hidden="1" outlineLevel="1" x14ac:dyDescent="0.25">
      <c r="B99" s="31" t="s">
        <v>244</v>
      </c>
      <c r="C99" s="79">
        <f>'Core Loads'!C99</f>
        <v>74467327.643795222</v>
      </c>
      <c r="D99" s="79">
        <f>'Core Loads'!D99</f>
        <v>74467327.643795222</v>
      </c>
      <c r="E99" s="79">
        <f>'Core Loads'!E99</f>
        <v>74467327.643795222</v>
      </c>
      <c r="F99" s="79">
        <f>'Core Loads'!F99</f>
        <v>87649721.664786637</v>
      </c>
      <c r="G99" s="79">
        <f>'Core Loads'!G99</f>
        <v>87649721.664786637</v>
      </c>
      <c r="H99" s="79">
        <f>'Core Loads'!H99</f>
        <v>58301867.074738726</v>
      </c>
      <c r="I99" s="79">
        <f>'Core Loads'!I99</f>
        <v>58301867.074738726</v>
      </c>
      <c r="J99" s="79">
        <f>'Core Loads'!J99</f>
        <v>52892559.70163542</v>
      </c>
      <c r="K99" s="79">
        <f>'Core Loads'!K99</f>
        <v>52892559.70163542</v>
      </c>
      <c r="L99" s="79">
        <f>'Core Loads'!L99</f>
        <v>52892559.70163542</v>
      </c>
      <c r="M99" s="79">
        <f>'Core Loads'!M99</f>
        <v>19978471.041905433</v>
      </c>
      <c r="N99" s="79">
        <f>'Core Loads'!N99</f>
        <v>19501820.035760269</v>
      </c>
      <c r="O99" s="79">
        <f>'Core Loads'!O99</f>
        <v>19501820.035760269</v>
      </c>
      <c r="P99" s="79">
        <f>'Core Loads'!P99</f>
        <v>19501820.035760269</v>
      </c>
      <c r="Q99" s="79">
        <f>'Core Loads'!Q99</f>
        <v>0</v>
      </c>
      <c r="R99" s="79">
        <f>'Core Loads'!R99</f>
        <v>0</v>
      </c>
      <c r="S99" s="79">
        <f>'Core Loads'!S99</f>
        <v>0</v>
      </c>
      <c r="T99" s="79">
        <f>'Core Loads'!T99</f>
        <v>0</v>
      </c>
      <c r="U99" s="79">
        <f>'Core Loads'!U99</f>
        <v>0</v>
      </c>
      <c r="V99" s="79">
        <f>'Core Loads'!V99</f>
        <v>0</v>
      </c>
      <c r="W99" s="79">
        <f>'Core Loads'!W99</f>
        <v>0</v>
      </c>
      <c r="X99" s="79">
        <f>'Core Loads'!X99</f>
        <v>0</v>
      </c>
      <c r="Y99" s="79">
        <f>'Core Loads'!Y99</f>
        <v>0</v>
      </c>
      <c r="Z99" s="79">
        <f>'Core Loads'!Z99</f>
        <v>0</v>
      </c>
      <c r="AA99" s="79">
        <f>'Core Loads'!AA99</f>
        <v>0</v>
      </c>
      <c r="AB99" s="79">
        <f>'Core Loads'!AB99</f>
        <v>0</v>
      </c>
      <c r="AC99" s="79">
        <f>'Core Loads'!AC99</f>
        <v>0</v>
      </c>
      <c r="AD99" s="79">
        <f>'Core Loads'!AD99</f>
        <v>0</v>
      </c>
      <c r="AE99" s="79">
        <f>'Core Loads'!AE99</f>
        <v>0</v>
      </c>
      <c r="AF99" s="79">
        <f>'Core Loads'!AF99</f>
        <v>0</v>
      </c>
      <c r="AG99"/>
      <c r="AH99" s="17" t="s">
        <v>279</v>
      </c>
    </row>
    <row r="100" spans="2:35" hidden="1" outlineLevel="1" x14ac:dyDescent="0.25">
      <c r="B100" s="31" t="s">
        <v>147</v>
      </c>
      <c r="C100" s="79">
        <f>'Core Loads'!C100</f>
        <v>0</v>
      </c>
      <c r="D100" s="79">
        <f>'Core Loads'!D100</f>
        <v>0</v>
      </c>
      <c r="E100" s="79">
        <f>'Core Loads'!E100</f>
        <v>0</v>
      </c>
      <c r="F100" s="79">
        <f>'Core Loads'!F100</f>
        <v>0</v>
      </c>
      <c r="G100" s="79">
        <f>'Core Loads'!G100</f>
        <v>0</v>
      </c>
      <c r="H100" s="79">
        <f>'Core Loads'!H100</f>
        <v>0</v>
      </c>
      <c r="I100" s="79">
        <f>'Core Loads'!I100</f>
        <v>0</v>
      </c>
      <c r="J100" s="79">
        <f>'Core Loads'!J100</f>
        <v>0</v>
      </c>
      <c r="K100" s="79">
        <f>'Core Loads'!K100</f>
        <v>0</v>
      </c>
      <c r="L100" s="79">
        <f>'Core Loads'!L100</f>
        <v>0</v>
      </c>
      <c r="M100" s="79">
        <f>'Core Loads'!M100</f>
        <v>0</v>
      </c>
      <c r="N100" s="79">
        <f>'Core Loads'!N100</f>
        <v>0</v>
      </c>
      <c r="O100" s="79">
        <f>'Core Loads'!O100</f>
        <v>0</v>
      </c>
      <c r="P100" s="79">
        <f>'Core Loads'!P100</f>
        <v>0</v>
      </c>
      <c r="Q100" s="79">
        <f>'Core Loads'!Q100</f>
        <v>0</v>
      </c>
      <c r="R100" s="79">
        <f>'Core Loads'!R100</f>
        <v>0</v>
      </c>
      <c r="S100" s="79">
        <f>'Core Loads'!S100</f>
        <v>0</v>
      </c>
      <c r="T100" s="79">
        <f>'Core Loads'!T100</f>
        <v>0</v>
      </c>
      <c r="U100" s="79">
        <f>'Core Loads'!U100</f>
        <v>0</v>
      </c>
      <c r="V100" s="79">
        <f>'Core Loads'!V100</f>
        <v>0</v>
      </c>
      <c r="W100" s="79">
        <f>'Core Loads'!W100</f>
        <v>0</v>
      </c>
      <c r="X100" s="79">
        <f>'Core Loads'!X100</f>
        <v>0</v>
      </c>
      <c r="Y100" s="79">
        <f>'Core Loads'!Y100</f>
        <v>0</v>
      </c>
      <c r="Z100" s="79">
        <f>'Core Loads'!Z100</f>
        <v>0</v>
      </c>
      <c r="AA100" s="79">
        <f>'Core Loads'!AA100</f>
        <v>0</v>
      </c>
      <c r="AB100" s="79">
        <f>'Core Loads'!AB100</f>
        <v>0</v>
      </c>
      <c r="AC100" s="79">
        <f>'Core Loads'!AC100</f>
        <v>0</v>
      </c>
      <c r="AD100" s="79">
        <f>'Core Loads'!AD100</f>
        <v>0</v>
      </c>
      <c r="AE100" s="79">
        <f>'Core Loads'!AE100</f>
        <v>0</v>
      </c>
      <c r="AF100" s="79">
        <f>'Core Loads'!AF100</f>
        <v>0</v>
      </c>
      <c r="AG100"/>
      <c r="AH100" s="17" t="s">
        <v>279</v>
      </c>
    </row>
    <row r="101" spans="2:35" hidden="1" outlineLevel="1" x14ac:dyDescent="0.25">
      <c r="B101" s="31" t="s">
        <v>245</v>
      </c>
      <c r="C101" s="79">
        <f>'Core Loads'!C101</f>
        <v>5531260.8599999994</v>
      </c>
      <c r="D101" s="79">
        <f>'Core Loads'!D101</f>
        <v>5531260.8599999994</v>
      </c>
      <c r="E101" s="79">
        <f>'Core Loads'!E101</f>
        <v>5531260.8599999994</v>
      </c>
      <c r="F101" s="79">
        <f>'Core Loads'!F101</f>
        <v>5531260.8599999994</v>
      </c>
      <c r="G101" s="79">
        <f>'Core Loads'!G101</f>
        <v>5531260.8599999994</v>
      </c>
      <c r="H101" s="79">
        <f>'Core Loads'!H101</f>
        <v>5911722.2974800002</v>
      </c>
      <c r="I101" s="79">
        <f>'Core Loads'!I101</f>
        <v>5911722.2974800002</v>
      </c>
      <c r="J101" s="79">
        <f>'Core Loads'!J101</f>
        <v>5911722.2974800002</v>
      </c>
      <c r="K101" s="79">
        <f>'Core Loads'!K101</f>
        <v>5911722.2974800002</v>
      </c>
      <c r="L101" s="79">
        <f>'Core Loads'!L101</f>
        <v>5911722.2974800002</v>
      </c>
      <c r="M101" s="79">
        <f>'Core Loads'!M101</f>
        <v>5911722.2974800002</v>
      </c>
      <c r="N101" s="79">
        <f>'Core Loads'!N101</f>
        <v>5743970.637480001</v>
      </c>
      <c r="O101" s="79">
        <f>'Core Loads'!O101</f>
        <v>5743970.637480001</v>
      </c>
      <c r="P101" s="79">
        <f>'Core Loads'!P101</f>
        <v>5743970.637480001</v>
      </c>
      <c r="Q101" s="79">
        <f>'Core Loads'!Q101</f>
        <v>0</v>
      </c>
      <c r="R101" s="79">
        <f>'Core Loads'!R101</f>
        <v>0</v>
      </c>
      <c r="S101" s="79">
        <f>'Core Loads'!S101</f>
        <v>0</v>
      </c>
      <c r="T101" s="79">
        <f>'Core Loads'!T101</f>
        <v>0</v>
      </c>
      <c r="U101" s="79">
        <f>'Core Loads'!U101</f>
        <v>0</v>
      </c>
      <c r="V101" s="79">
        <f>'Core Loads'!V101</f>
        <v>0</v>
      </c>
      <c r="W101" s="79">
        <f>'Core Loads'!W101</f>
        <v>0</v>
      </c>
      <c r="X101" s="79">
        <f>'Core Loads'!X101</f>
        <v>0</v>
      </c>
      <c r="Y101" s="79">
        <f>'Core Loads'!Y101</f>
        <v>0</v>
      </c>
      <c r="Z101" s="79">
        <f>'Core Loads'!Z101</f>
        <v>0</v>
      </c>
      <c r="AA101" s="79">
        <f>'Core Loads'!AA101</f>
        <v>0</v>
      </c>
      <c r="AB101" s="79">
        <f>'Core Loads'!AB101</f>
        <v>0</v>
      </c>
      <c r="AC101" s="79">
        <f>'Core Loads'!AC101</f>
        <v>0</v>
      </c>
      <c r="AD101" s="79">
        <f>'Core Loads'!AD101</f>
        <v>0</v>
      </c>
      <c r="AE101" s="79">
        <f>'Core Loads'!AE101</f>
        <v>0</v>
      </c>
      <c r="AF101" s="79">
        <f>'Core Loads'!AF101</f>
        <v>0</v>
      </c>
      <c r="AG101"/>
      <c r="AH101" s="17" t="s">
        <v>279</v>
      </c>
    </row>
    <row r="102" spans="2:35" hidden="1" outlineLevel="1" x14ac:dyDescent="0.25">
      <c r="B102" s="31" t="s">
        <v>149</v>
      </c>
      <c r="C102" s="79">
        <f>'Core Loads'!C102</f>
        <v>118891397.19749908</v>
      </c>
      <c r="D102" s="79">
        <f>'Core Loads'!D102</f>
        <v>119384140.03500976</v>
      </c>
      <c r="E102" s="79">
        <f>'Core Loads'!E102</f>
        <v>119384140.03500976</v>
      </c>
      <c r="F102" s="79">
        <f>'Core Loads'!F102</f>
        <v>131526848.52118908</v>
      </c>
      <c r="G102" s="79">
        <f>'Core Loads'!G102</f>
        <v>131526848.52118908</v>
      </c>
      <c r="H102" s="79">
        <f>'Core Loads'!H102</f>
        <v>91061054.345342472</v>
      </c>
      <c r="I102" s="79">
        <f>'Core Loads'!I102</f>
        <v>91061054.345342472</v>
      </c>
      <c r="J102" s="79">
        <f>'Core Loads'!J102</f>
        <v>84919618.354739159</v>
      </c>
      <c r="K102" s="79">
        <f>'Core Loads'!K102</f>
        <v>84919618.354739159</v>
      </c>
      <c r="L102" s="79">
        <f>'Core Loads'!L102</f>
        <v>84523002.41911985</v>
      </c>
      <c r="M102" s="79">
        <f>'Core Loads'!M102</f>
        <v>41054876.83452294</v>
      </c>
      <c r="N102" s="79">
        <f>'Core Loads'!N102</f>
        <v>40410474.168377772</v>
      </c>
      <c r="O102" s="79">
        <f>'Core Loads'!O102</f>
        <v>40410474.168377772</v>
      </c>
      <c r="P102" s="79">
        <f>'Core Loads'!P102</f>
        <v>40410474.168377772</v>
      </c>
      <c r="Q102" s="79">
        <f>'Core Loads'!Q102</f>
        <v>0</v>
      </c>
      <c r="R102" s="79">
        <f>'Core Loads'!R102</f>
        <v>0</v>
      </c>
      <c r="S102" s="79">
        <f>'Core Loads'!S102</f>
        <v>0</v>
      </c>
      <c r="T102" s="79">
        <f>'Core Loads'!T102</f>
        <v>0</v>
      </c>
      <c r="U102" s="79">
        <f>'Core Loads'!U102</f>
        <v>0</v>
      </c>
      <c r="V102" s="79">
        <f>'Core Loads'!V102</f>
        <v>0</v>
      </c>
      <c r="W102" s="79">
        <f>'Core Loads'!W102</f>
        <v>0</v>
      </c>
      <c r="X102" s="79">
        <f>'Core Loads'!X102</f>
        <v>0</v>
      </c>
      <c r="Y102" s="79">
        <f>'Core Loads'!Y102</f>
        <v>0</v>
      </c>
      <c r="Z102" s="79">
        <f>'Core Loads'!Z102</f>
        <v>0</v>
      </c>
      <c r="AA102" s="79">
        <f>'Core Loads'!AA102</f>
        <v>0</v>
      </c>
      <c r="AB102" s="79">
        <f>'Core Loads'!AB102</f>
        <v>0</v>
      </c>
      <c r="AC102" s="79">
        <f>'Core Loads'!AC102</f>
        <v>0</v>
      </c>
      <c r="AD102" s="79">
        <f>'Core Loads'!AD102</f>
        <v>0</v>
      </c>
      <c r="AE102" s="79">
        <f>'Core Loads'!AE102</f>
        <v>0</v>
      </c>
      <c r="AF102" s="79">
        <f>'Core Loads'!AF102</f>
        <v>0</v>
      </c>
      <c r="AG102"/>
      <c r="AH102" s="17" t="s">
        <v>279</v>
      </c>
      <c r="AI102"/>
    </row>
    <row r="103" spans="2:35" hidden="1" outlineLevel="1" x14ac:dyDescent="0.25">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c r="AH103"/>
      <c r="AI103"/>
    </row>
    <row r="104" spans="2:35" customFormat="1" ht="15.75" hidden="1" outlineLevel="1" thickBot="1" x14ac:dyDescent="0.3">
      <c r="B104" s="28" t="s">
        <v>280</v>
      </c>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0"/>
      <c r="AH104" s="20" t="s">
        <v>15</v>
      </c>
    </row>
    <row r="105" spans="2:35" customFormat="1" hidden="1" outlineLevel="1" x14ac:dyDescent="0.25">
      <c r="B105" s="30"/>
      <c r="C105" s="17">
        <v>2025</v>
      </c>
      <c r="D105" s="44">
        <v>2026</v>
      </c>
      <c r="E105" s="44">
        <v>2027</v>
      </c>
      <c r="F105" s="44">
        <v>2028</v>
      </c>
      <c r="G105" s="44">
        <v>2029</v>
      </c>
      <c r="H105" s="44">
        <v>2030</v>
      </c>
      <c r="I105" s="44">
        <v>2031</v>
      </c>
      <c r="J105" s="44">
        <v>2032</v>
      </c>
      <c r="K105" s="44">
        <v>2033</v>
      </c>
      <c r="L105" s="44">
        <v>2034</v>
      </c>
      <c r="M105" s="44">
        <v>2035</v>
      </c>
      <c r="N105" s="44">
        <v>2036</v>
      </c>
      <c r="O105" s="44">
        <v>2037</v>
      </c>
      <c r="P105" s="44">
        <v>2038</v>
      </c>
      <c r="Q105" s="44">
        <v>2039</v>
      </c>
      <c r="R105" s="44">
        <v>2040</v>
      </c>
      <c r="S105" s="44">
        <v>2041</v>
      </c>
      <c r="T105" s="44">
        <v>2042</v>
      </c>
      <c r="U105" s="44">
        <v>2043</v>
      </c>
      <c r="V105" s="44">
        <v>2044</v>
      </c>
      <c r="W105" s="44">
        <v>2045</v>
      </c>
      <c r="X105" s="44">
        <v>2046</v>
      </c>
      <c r="Y105" s="44">
        <v>2047</v>
      </c>
      <c r="Z105" s="44">
        <v>2048</v>
      </c>
      <c r="AA105" s="44">
        <v>2049</v>
      </c>
      <c r="AB105" s="44">
        <v>2050</v>
      </c>
      <c r="AC105" s="44">
        <v>2051</v>
      </c>
      <c r="AD105" s="44">
        <v>2052</v>
      </c>
      <c r="AE105" s="44">
        <v>2053</v>
      </c>
      <c r="AF105" s="44">
        <v>2054</v>
      </c>
    </row>
    <row r="106" spans="2:35" hidden="1" outlineLevel="1" x14ac:dyDescent="0.25">
      <c r="B106" s="31" t="s">
        <v>144</v>
      </c>
      <c r="C106" s="79">
        <f>'Core Loads'!C106</f>
        <v>17485302.973536067</v>
      </c>
      <c r="D106" s="79">
        <f>'Core Loads'!D106</f>
        <v>17485302.973536067</v>
      </c>
      <c r="E106" s="79">
        <f>'Core Loads'!E106</f>
        <v>17485302.973536067</v>
      </c>
      <c r="F106" s="79">
        <f>'Core Loads'!F106</f>
        <v>17037260.06931404</v>
      </c>
      <c r="G106" s="79">
        <f>'Core Loads'!G106</f>
        <v>17037260.06931404</v>
      </c>
      <c r="H106" s="79">
        <f>'Core Loads'!H106</f>
        <v>28703710.536012731</v>
      </c>
      <c r="I106" s="79">
        <f>'Core Loads'!I106</f>
        <v>28703710.536012731</v>
      </c>
      <c r="J106" s="79">
        <f>'Core Loads'!J106</f>
        <v>28376341.051179688</v>
      </c>
      <c r="K106" s="79">
        <f>'Core Loads'!K106</f>
        <v>28376341.051179688</v>
      </c>
      <c r="L106" s="79">
        <f>'Core Loads'!L106</f>
        <v>28444036.329759687</v>
      </c>
      <c r="M106" s="79">
        <f>'Core Loads'!M106</f>
        <v>28444036.329759687</v>
      </c>
      <c r="N106" s="79">
        <f>'Core Loads'!N106</f>
        <v>28444036.329759687</v>
      </c>
      <c r="O106" s="79">
        <f>'Core Loads'!O106</f>
        <v>28444036.329759687</v>
      </c>
      <c r="P106" s="79">
        <f>'Core Loads'!P106</f>
        <v>28444036.329759687</v>
      </c>
      <c r="Q106" s="79">
        <f>'Core Loads'!Q106</f>
        <v>38772187.839759685</v>
      </c>
      <c r="R106" s="79">
        <f>'Core Loads'!R106</f>
        <v>38772187.839759685</v>
      </c>
      <c r="S106" s="79">
        <f>'Core Loads'!S106</f>
        <v>38772187.839759685</v>
      </c>
      <c r="T106" s="79">
        <f>'Core Loads'!T106</f>
        <v>38772187.839759685</v>
      </c>
      <c r="U106" s="79">
        <f>'Core Loads'!U106</f>
        <v>38772187.839759685</v>
      </c>
      <c r="V106" s="79">
        <f>'Core Loads'!V106</f>
        <v>38772187.839759685</v>
      </c>
      <c r="W106" s="79">
        <f>'Core Loads'!W106</f>
        <v>38772187.839759685</v>
      </c>
      <c r="X106" s="79">
        <f>'Core Loads'!X106</f>
        <v>38772187.839759685</v>
      </c>
      <c r="Y106" s="79">
        <f>'Core Loads'!Y106</f>
        <v>38772187.839759685</v>
      </c>
      <c r="Z106" s="79">
        <f>'Core Loads'!Z106</f>
        <v>38772187.839759685</v>
      </c>
      <c r="AA106" s="79">
        <f>'Core Loads'!AA106</f>
        <v>38772187.839759685</v>
      </c>
      <c r="AB106" s="79">
        <f>'Core Loads'!AB106</f>
        <v>38772187.839759685</v>
      </c>
      <c r="AC106" s="79">
        <f>'Core Loads'!AC106</f>
        <v>38772187.839759685</v>
      </c>
      <c r="AD106" s="79">
        <f>'Core Loads'!AD106</f>
        <v>38772187.839759685</v>
      </c>
      <c r="AE106" s="79">
        <f>'Core Loads'!AE106</f>
        <v>38772187.839759685</v>
      </c>
      <c r="AF106" s="79">
        <f>'Core Loads'!AF106</f>
        <v>38772187.839759685</v>
      </c>
      <c r="AG106"/>
      <c r="AH106" s="17" t="s">
        <v>279</v>
      </c>
    </row>
    <row r="107" spans="2:35" hidden="1" outlineLevel="1" x14ac:dyDescent="0.25">
      <c r="B107" s="31" t="s">
        <v>145</v>
      </c>
      <c r="C107" s="79">
        <f>'Core Loads'!C107</f>
        <v>0</v>
      </c>
      <c r="D107" s="79">
        <f>'Core Loads'!D107</f>
        <v>0</v>
      </c>
      <c r="E107" s="79">
        <f>'Core Loads'!E107</f>
        <v>0</v>
      </c>
      <c r="F107" s="79">
        <f>'Core Loads'!F107</f>
        <v>0</v>
      </c>
      <c r="G107" s="79">
        <f>'Core Loads'!G107</f>
        <v>0</v>
      </c>
      <c r="H107" s="79">
        <f>'Core Loads'!H107</f>
        <v>0</v>
      </c>
      <c r="I107" s="79">
        <f>'Core Loads'!I107</f>
        <v>0</v>
      </c>
      <c r="J107" s="79">
        <f>'Core Loads'!J107</f>
        <v>0</v>
      </c>
      <c r="K107" s="79">
        <f>'Core Loads'!K107</f>
        <v>0</v>
      </c>
      <c r="L107" s="79">
        <f>'Core Loads'!L107</f>
        <v>0</v>
      </c>
      <c r="M107" s="79">
        <f>'Core Loads'!M107</f>
        <v>10554036.924866909</v>
      </c>
      <c r="N107" s="79">
        <f>'Core Loads'!N107</f>
        <v>10554036.924866909</v>
      </c>
      <c r="O107" s="79">
        <f>'Core Loads'!O107</f>
        <v>10554036.924866909</v>
      </c>
      <c r="P107" s="79">
        <f>'Core Loads'!P107</f>
        <v>10528113.054866908</v>
      </c>
      <c r="Q107" s="79">
        <f>'Core Loads'!Q107</f>
        <v>15364645.040004415</v>
      </c>
      <c r="R107" s="79">
        <f>'Core Loads'!R107</f>
        <v>15384699.734404417</v>
      </c>
      <c r="S107" s="79">
        <f>'Core Loads'!S107</f>
        <v>15384699.734404417</v>
      </c>
      <c r="T107" s="79">
        <f>'Core Loads'!T107</f>
        <v>15384699.734404417</v>
      </c>
      <c r="U107" s="79">
        <f>'Core Loads'!U107</f>
        <v>15384699.734404417</v>
      </c>
      <c r="V107" s="79">
        <f>'Core Loads'!V107</f>
        <v>15384699.734404417</v>
      </c>
      <c r="W107" s="79">
        <f>'Core Loads'!W107</f>
        <v>15384699.734404417</v>
      </c>
      <c r="X107" s="79">
        <f>'Core Loads'!X107</f>
        <v>15384699.734404417</v>
      </c>
      <c r="Y107" s="79">
        <f>'Core Loads'!Y107</f>
        <v>15384699.734404417</v>
      </c>
      <c r="Z107" s="79">
        <f>'Core Loads'!Z107</f>
        <v>15384699.734404417</v>
      </c>
      <c r="AA107" s="79">
        <f>'Core Loads'!AA107</f>
        <v>15384699.734404417</v>
      </c>
      <c r="AB107" s="79">
        <f>'Core Loads'!AB107</f>
        <v>14843250.017475424</v>
      </c>
      <c r="AC107" s="79">
        <f>'Core Loads'!AC107</f>
        <v>14843250.017475424</v>
      </c>
      <c r="AD107" s="79">
        <f>'Core Loads'!AD107</f>
        <v>14843250.017475424</v>
      </c>
      <c r="AE107" s="79">
        <f>'Core Loads'!AE107</f>
        <v>14843250.017475424</v>
      </c>
      <c r="AF107" s="79">
        <f>'Core Loads'!AF107</f>
        <v>14843250.017475424</v>
      </c>
      <c r="AG107"/>
      <c r="AH107" s="17" t="s">
        <v>279</v>
      </c>
    </row>
    <row r="108" spans="2:35" hidden="1" outlineLevel="1" x14ac:dyDescent="0.25">
      <c r="B108" s="31" t="s">
        <v>244</v>
      </c>
      <c r="C108" s="79">
        <f>'Core Loads'!C108</f>
        <v>0</v>
      </c>
      <c r="D108" s="79">
        <f>'Core Loads'!D108</f>
        <v>0</v>
      </c>
      <c r="E108" s="79">
        <f>'Core Loads'!E108</f>
        <v>0</v>
      </c>
      <c r="F108" s="79">
        <f>'Core Loads'!F108</f>
        <v>0</v>
      </c>
      <c r="G108" s="79">
        <f>'Core Loads'!G108</f>
        <v>0</v>
      </c>
      <c r="H108" s="79">
        <f>'Core Loads'!H108</f>
        <v>29935030.701748434</v>
      </c>
      <c r="I108" s="79">
        <f>'Core Loads'!I108</f>
        <v>29935030.701748434</v>
      </c>
      <c r="J108" s="79">
        <f>'Core Loads'!J108</f>
        <v>27110406.911552094</v>
      </c>
      <c r="K108" s="79">
        <f>'Core Loads'!K108</f>
        <v>27110406.911552094</v>
      </c>
      <c r="L108" s="79">
        <f>'Core Loads'!L108</f>
        <v>27110406.911552094</v>
      </c>
      <c r="M108" s="79">
        <f>'Core Loads'!M108</f>
        <v>60024495.571282089</v>
      </c>
      <c r="N108" s="79">
        <f>'Core Loads'!N108</f>
        <v>59923442.423282094</v>
      </c>
      <c r="O108" s="79">
        <f>'Core Loads'!O108</f>
        <v>59923442.423282094</v>
      </c>
      <c r="P108" s="79">
        <f>'Core Loads'!P108</f>
        <v>59923442.423282094</v>
      </c>
      <c r="Q108" s="79">
        <f>'Core Loads'!Q108</f>
        <v>79425262.459042355</v>
      </c>
      <c r="R108" s="79">
        <f>'Core Loads'!R108</f>
        <v>82311974.959042355</v>
      </c>
      <c r="S108" s="79">
        <f>'Core Loads'!S108</f>
        <v>82311974.959042355</v>
      </c>
      <c r="T108" s="79">
        <f>'Core Loads'!T108</f>
        <v>82311974.959042355</v>
      </c>
      <c r="U108" s="79">
        <f>'Core Loads'!U108</f>
        <v>82311974.959042355</v>
      </c>
      <c r="V108" s="79">
        <f>'Core Loads'!V108</f>
        <v>81863454.238701224</v>
      </c>
      <c r="W108" s="79">
        <f>'Core Loads'!W108</f>
        <v>81863454.238701224</v>
      </c>
      <c r="X108" s="79">
        <f>'Core Loads'!X108</f>
        <v>81863454.238701224</v>
      </c>
      <c r="Y108" s="79">
        <f>'Core Loads'!Y108</f>
        <v>81863454.238701224</v>
      </c>
      <c r="Z108" s="79">
        <f>'Core Loads'!Z108</f>
        <v>81863454.238701224</v>
      </c>
      <c r="AA108" s="79">
        <f>'Core Loads'!AA108</f>
        <v>81863454.238701224</v>
      </c>
      <c r="AB108" s="79">
        <f>'Core Loads'!AB108</f>
        <v>81863454.238701224</v>
      </c>
      <c r="AC108" s="79">
        <f>'Core Loads'!AC108</f>
        <v>81863454.238701224</v>
      </c>
      <c r="AD108" s="79">
        <f>'Core Loads'!AD108</f>
        <v>81863454.238701224</v>
      </c>
      <c r="AE108" s="79">
        <f>'Core Loads'!AE108</f>
        <v>81863454.238701224</v>
      </c>
      <c r="AF108" s="79">
        <f>'Core Loads'!AF108</f>
        <v>81863454.238701224</v>
      </c>
      <c r="AG108"/>
      <c r="AH108" s="17" t="s">
        <v>279</v>
      </c>
    </row>
    <row r="109" spans="2:35" hidden="1" outlineLevel="1" x14ac:dyDescent="0.25">
      <c r="B109" s="31" t="s">
        <v>147</v>
      </c>
      <c r="C109" s="79">
        <f>'Core Loads'!C109</f>
        <v>0</v>
      </c>
      <c r="D109" s="79">
        <f>'Core Loads'!D109</f>
        <v>0</v>
      </c>
      <c r="E109" s="79">
        <f>'Core Loads'!E109</f>
        <v>0</v>
      </c>
      <c r="F109" s="79">
        <f>'Core Loads'!F109</f>
        <v>0</v>
      </c>
      <c r="G109" s="79">
        <f>'Core Loads'!G109</f>
        <v>0</v>
      </c>
      <c r="H109" s="79">
        <f>'Core Loads'!H109</f>
        <v>0</v>
      </c>
      <c r="I109" s="79">
        <f>'Core Loads'!I109</f>
        <v>0</v>
      </c>
      <c r="J109" s="79">
        <f>'Core Loads'!J109</f>
        <v>0</v>
      </c>
      <c r="K109" s="79">
        <f>'Core Loads'!K109</f>
        <v>0</v>
      </c>
      <c r="L109" s="79">
        <f>'Core Loads'!L109</f>
        <v>0</v>
      </c>
      <c r="M109" s="79">
        <f>'Core Loads'!M109</f>
        <v>0</v>
      </c>
      <c r="N109" s="79">
        <f>'Core Loads'!N109</f>
        <v>0</v>
      </c>
      <c r="O109" s="79">
        <f>'Core Loads'!O109</f>
        <v>0</v>
      </c>
      <c r="P109" s="79">
        <f>'Core Loads'!P109</f>
        <v>0</v>
      </c>
      <c r="Q109" s="79">
        <f>'Core Loads'!Q109</f>
        <v>0</v>
      </c>
      <c r="R109" s="79">
        <f>'Core Loads'!R109</f>
        <v>0</v>
      </c>
      <c r="S109" s="79">
        <f>'Core Loads'!S109</f>
        <v>0</v>
      </c>
      <c r="T109" s="79">
        <f>'Core Loads'!T109</f>
        <v>0</v>
      </c>
      <c r="U109" s="79">
        <f>'Core Loads'!U109</f>
        <v>0</v>
      </c>
      <c r="V109" s="79">
        <f>'Core Loads'!V109</f>
        <v>0</v>
      </c>
      <c r="W109" s="79">
        <f>'Core Loads'!W109</f>
        <v>0</v>
      </c>
      <c r="X109" s="79">
        <f>'Core Loads'!X109</f>
        <v>0</v>
      </c>
      <c r="Y109" s="79">
        <f>'Core Loads'!Y109</f>
        <v>0</v>
      </c>
      <c r="Z109" s="79">
        <f>'Core Loads'!Z109</f>
        <v>0</v>
      </c>
      <c r="AA109" s="79">
        <f>'Core Loads'!AA109</f>
        <v>0</v>
      </c>
      <c r="AB109" s="79">
        <f>'Core Loads'!AB109</f>
        <v>0</v>
      </c>
      <c r="AC109" s="79">
        <f>'Core Loads'!AC109</f>
        <v>0</v>
      </c>
      <c r="AD109" s="79">
        <f>'Core Loads'!AD109</f>
        <v>0</v>
      </c>
      <c r="AE109" s="79">
        <f>'Core Loads'!AE109</f>
        <v>0</v>
      </c>
      <c r="AF109" s="79">
        <f>'Core Loads'!AF109</f>
        <v>0</v>
      </c>
      <c r="AG109"/>
      <c r="AH109" s="17" t="s">
        <v>279</v>
      </c>
    </row>
    <row r="110" spans="2:35" hidden="1" outlineLevel="1" x14ac:dyDescent="0.25">
      <c r="B110" s="31" t="s">
        <v>245</v>
      </c>
      <c r="C110" s="79">
        <f>'Core Loads'!C110</f>
        <v>0</v>
      </c>
      <c r="D110" s="79">
        <f>'Core Loads'!D110</f>
        <v>0</v>
      </c>
      <c r="E110" s="79">
        <f>'Core Loads'!E110</f>
        <v>0</v>
      </c>
      <c r="F110" s="79">
        <f>'Core Loads'!F110</f>
        <v>0</v>
      </c>
      <c r="G110" s="79">
        <f>'Core Loads'!G110</f>
        <v>0</v>
      </c>
      <c r="H110" s="79">
        <f>'Core Loads'!H110</f>
        <v>0</v>
      </c>
      <c r="I110" s="79">
        <f>'Core Loads'!I110</f>
        <v>0</v>
      </c>
      <c r="J110" s="79">
        <f>'Core Loads'!J110</f>
        <v>0</v>
      </c>
      <c r="K110" s="79">
        <f>'Core Loads'!K110</f>
        <v>0</v>
      </c>
      <c r="L110" s="79">
        <f>'Core Loads'!L110</f>
        <v>0</v>
      </c>
      <c r="M110" s="79">
        <f>'Core Loads'!M110</f>
        <v>0</v>
      </c>
      <c r="N110" s="79">
        <f>'Core Loads'!N110</f>
        <v>0</v>
      </c>
      <c r="O110" s="79">
        <f>'Core Loads'!O110</f>
        <v>0</v>
      </c>
      <c r="P110" s="79">
        <f>'Core Loads'!P110</f>
        <v>0</v>
      </c>
      <c r="Q110" s="79">
        <f>'Core Loads'!Q110</f>
        <v>5743970.637480001</v>
      </c>
      <c r="R110" s="79">
        <f>'Core Loads'!R110</f>
        <v>36060627.457479998</v>
      </c>
      <c r="S110" s="79">
        <f>'Core Loads'!S110</f>
        <v>36060627.457479998</v>
      </c>
      <c r="T110" s="79">
        <f>'Core Loads'!T110</f>
        <v>36060627.457479998</v>
      </c>
      <c r="U110" s="79">
        <f>'Core Loads'!U110</f>
        <v>36060627.457479998</v>
      </c>
      <c r="V110" s="79">
        <f>'Core Loads'!V110</f>
        <v>36060627.457479998</v>
      </c>
      <c r="W110" s="79">
        <f>'Core Loads'!W110</f>
        <v>36060627.457479998</v>
      </c>
      <c r="X110" s="79">
        <f>'Core Loads'!X110</f>
        <v>36060627.457479998</v>
      </c>
      <c r="Y110" s="79">
        <f>'Core Loads'!Y110</f>
        <v>36060627.457479998</v>
      </c>
      <c r="Z110" s="79">
        <f>'Core Loads'!Z110</f>
        <v>36060627.457479998</v>
      </c>
      <c r="AA110" s="79">
        <f>'Core Loads'!AA110</f>
        <v>36060627.457479998</v>
      </c>
      <c r="AB110" s="79">
        <f>'Core Loads'!AB110</f>
        <v>36060627.457479998</v>
      </c>
      <c r="AC110" s="79">
        <f>'Core Loads'!AC110</f>
        <v>36060627.457479998</v>
      </c>
      <c r="AD110" s="79">
        <f>'Core Loads'!AD110</f>
        <v>36060627.457479998</v>
      </c>
      <c r="AE110" s="79">
        <f>'Core Loads'!AE110</f>
        <v>36060627.457479998</v>
      </c>
      <c r="AF110" s="79">
        <f>'Core Loads'!AF110</f>
        <v>36060627.457479998</v>
      </c>
      <c r="AG110"/>
      <c r="AH110" s="17" t="s">
        <v>279</v>
      </c>
    </row>
    <row r="111" spans="2:35" hidden="1" outlineLevel="1" x14ac:dyDescent="0.25">
      <c r="B111" s="31" t="s">
        <v>149</v>
      </c>
      <c r="C111" s="79">
        <f>'Core Loads'!C111</f>
        <v>17485302.973536067</v>
      </c>
      <c r="D111" s="79">
        <f>'Core Loads'!D111</f>
        <v>17485302.973536067</v>
      </c>
      <c r="E111" s="79">
        <f>'Core Loads'!E111</f>
        <v>17485302.973536067</v>
      </c>
      <c r="F111" s="79">
        <f>'Core Loads'!F111</f>
        <v>17037260.06931404</v>
      </c>
      <c r="G111" s="79">
        <f>'Core Loads'!G111</f>
        <v>17037260.06931404</v>
      </c>
      <c r="H111" s="79">
        <f>'Core Loads'!H111</f>
        <v>58638741.23776117</v>
      </c>
      <c r="I111" s="79">
        <f>'Core Loads'!I111</f>
        <v>58638741.23776117</v>
      </c>
      <c r="J111" s="79">
        <f>'Core Loads'!J111</f>
        <v>55486747.962731779</v>
      </c>
      <c r="K111" s="79">
        <f>'Core Loads'!K111</f>
        <v>55486747.962731779</v>
      </c>
      <c r="L111" s="79">
        <f>'Core Loads'!L111</f>
        <v>55554443.241311781</v>
      </c>
      <c r="M111" s="79">
        <f>'Core Loads'!M111</f>
        <v>99022568.825908691</v>
      </c>
      <c r="N111" s="79">
        <f>'Core Loads'!N111</f>
        <v>98921515.677908689</v>
      </c>
      <c r="O111" s="79">
        <f>'Core Loads'!O111</f>
        <v>98921515.677908689</v>
      </c>
      <c r="P111" s="79">
        <f>'Core Loads'!P111</f>
        <v>98895591.807908684</v>
      </c>
      <c r="Q111" s="79">
        <f>'Core Loads'!Q111</f>
        <v>139306065.97628644</v>
      </c>
      <c r="R111" s="79">
        <f>'Core Loads'!R111</f>
        <v>172529489.99068648</v>
      </c>
      <c r="S111" s="79">
        <f>'Core Loads'!S111</f>
        <v>172529489.99068648</v>
      </c>
      <c r="T111" s="79">
        <f>'Core Loads'!T111</f>
        <v>172529489.99068648</v>
      </c>
      <c r="U111" s="79">
        <f>'Core Loads'!U111</f>
        <v>172529489.99068648</v>
      </c>
      <c r="V111" s="79">
        <f>'Core Loads'!V111</f>
        <v>172080969.27034533</v>
      </c>
      <c r="W111" s="79">
        <f>'Core Loads'!W111</f>
        <v>172080969.27034533</v>
      </c>
      <c r="X111" s="79">
        <f>'Core Loads'!X111</f>
        <v>172080969.27034533</v>
      </c>
      <c r="Y111" s="79">
        <f>'Core Loads'!Y111</f>
        <v>172080969.27034533</v>
      </c>
      <c r="Z111" s="79">
        <f>'Core Loads'!Z111</f>
        <v>172080969.27034533</v>
      </c>
      <c r="AA111" s="79">
        <f>'Core Loads'!AA111</f>
        <v>172080969.27034533</v>
      </c>
      <c r="AB111" s="79">
        <f>'Core Loads'!AB111</f>
        <v>171539519.55341631</v>
      </c>
      <c r="AC111" s="79">
        <f>'Core Loads'!AC111</f>
        <v>171539519.55341631</v>
      </c>
      <c r="AD111" s="79">
        <f>'Core Loads'!AD111</f>
        <v>171539519.55341631</v>
      </c>
      <c r="AE111" s="79">
        <f>'Core Loads'!AE111</f>
        <v>171539519.55341631</v>
      </c>
      <c r="AF111" s="79">
        <f>'Core Loads'!AF111</f>
        <v>171539519.55341631</v>
      </c>
      <c r="AG111"/>
      <c r="AH111" s="17" t="s">
        <v>279</v>
      </c>
    </row>
    <row r="112" spans="2:35" customFormat="1" hidden="1" outlineLevel="1" x14ac:dyDescent="0.25">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row>
    <row r="113" spans="2:34" hidden="1" outlineLevel="1" x14ac:dyDescent="0.25">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c r="AH113"/>
    </row>
    <row r="114" spans="2:34" ht="17.25" hidden="1" outlineLevel="1" thickBot="1" x14ac:dyDescent="0.3">
      <c r="B114" s="26" t="s">
        <v>281</v>
      </c>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row>
    <row r="115" spans="2:34" ht="16.5" hidden="1" outlineLevel="1" thickTop="1" thickBot="1" x14ac:dyDescent="0.3">
      <c r="B115" s="28" t="s">
        <v>278</v>
      </c>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0"/>
      <c r="AH115" s="20" t="s">
        <v>15</v>
      </c>
    </row>
    <row r="116" spans="2:34" customFormat="1" hidden="1" outlineLevel="1" x14ac:dyDescent="0.25">
      <c r="B116" s="30"/>
      <c r="C116" s="17">
        <v>2025</v>
      </c>
      <c r="D116" s="44">
        <v>2026</v>
      </c>
      <c r="E116" s="44">
        <v>2027</v>
      </c>
      <c r="F116" s="44">
        <v>2028</v>
      </c>
      <c r="G116" s="44">
        <v>2029</v>
      </c>
      <c r="H116" s="44">
        <v>2030</v>
      </c>
      <c r="I116" s="44">
        <v>2031</v>
      </c>
      <c r="J116" s="44">
        <v>2032</v>
      </c>
      <c r="K116" s="44">
        <v>2033</v>
      </c>
      <c r="L116" s="44">
        <v>2034</v>
      </c>
      <c r="M116" s="44">
        <v>2035</v>
      </c>
      <c r="N116" s="44">
        <v>2036</v>
      </c>
      <c r="O116" s="44">
        <v>2037</v>
      </c>
      <c r="P116" s="44">
        <v>2038</v>
      </c>
      <c r="Q116" s="44">
        <v>2039</v>
      </c>
      <c r="R116" s="44">
        <v>2040</v>
      </c>
      <c r="S116" s="44">
        <v>2041</v>
      </c>
      <c r="T116" s="44">
        <v>2042</v>
      </c>
      <c r="U116" s="44">
        <v>2043</v>
      </c>
      <c r="V116" s="44">
        <v>2044</v>
      </c>
      <c r="W116" s="44">
        <v>2045</v>
      </c>
      <c r="X116" s="44">
        <v>2046</v>
      </c>
      <c r="Y116" s="44">
        <v>2047</v>
      </c>
      <c r="Z116" s="44">
        <v>2048</v>
      </c>
      <c r="AA116" s="44">
        <v>2049</v>
      </c>
      <c r="AB116" s="44">
        <v>2050</v>
      </c>
      <c r="AC116" s="44">
        <v>2051</v>
      </c>
      <c r="AD116" s="44">
        <v>2052</v>
      </c>
      <c r="AE116" s="44">
        <v>2053</v>
      </c>
      <c r="AF116" s="44">
        <v>2054</v>
      </c>
      <c r="AH116" s="17" t="s">
        <v>279</v>
      </c>
    </row>
    <row r="117" spans="2:34" hidden="1" outlineLevel="1" x14ac:dyDescent="0.25">
      <c r="B117" s="31" t="s">
        <v>144</v>
      </c>
      <c r="C117" s="79">
        <f>'Core Loads'!C117</f>
        <v>73820430.10494855</v>
      </c>
      <c r="D117" s="79">
        <f>'Core Loads'!D117</f>
        <v>73820430.10494855</v>
      </c>
      <c r="E117" s="79">
        <f>'Core Loads'!E117</f>
        <v>73820430.10494855</v>
      </c>
      <c r="F117" s="79">
        <f>'Core Loads'!F117</f>
        <v>73820430.10494855</v>
      </c>
      <c r="G117" s="79">
        <f>'Core Loads'!G117</f>
        <v>73820430.10494855</v>
      </c>
      <c r="H117" s="79">
        <f>'Core Loads'!H117</f>
        <v>38571010.333333336</v>
      </c>
      <c r="I117" s="79">
        <f>'Core Loads'!I117</f>
        <v>38571010.333333336</v>
      </c>
      <c r="J117" s="79">
        <f>'Core Loads'!J117</f>
        <v>38571010.333333336</v>
      </c>
      <c r="K117" s="79">
        <f>'Core Loads'!K117</f>
        <v>38571010.333333336</v>
      </c>
      <c r="L117" s="79">
        <f>'Core Loads'!L117</f>
        <v>38571010.333333336</v>
      </c>
      <c r="M117" s="79">
        <f>'Core Loads'!M117</f>
        <v>38571010.333333336</v>
      </c>
      <c r="N117" s="79">
        <f>'Core Loads'!N117</f>
        <v>38571010.333333336</v>
      </c>
      <c r="O117" s="79">
        <f>'Core Loads'!O117</f>
        <v>38571010.333333336</v>
      </c>
      <c r="P117" s="79">
        <f>'Core Loads'!P117</f>
        <v>38571010.333333336</v>
      </c>
      <c r="Q117" s="79">
        <f>'Core Loads'!Q117</f>
        <v>0</v>
      </c>
      <c r="R117" s="79">
        <f>'Core Loads'!R117</f>
        <v>0</v>
      </c>
      <c r="S117" s="79">
        <f>'Core Loads'!S117</f>
        <v>0</v>
      </c>
      <c r="T117" s="79">
        <f>'Core Loads'!T117</f>
        <v>0</v>
      </c>
      <c r="U117" s="79">
        <f>'Core Loads'!U117</f>
        <v>0</v>
      </c>
      <c r="V117" s="79">
        <f>'Core Loads'!V117</f>
        <v>0</v>
      </c>
      <c r="W117" s="79">
        <f>'Core Loads'!W117</f>
        <v>0</v>
      </c>
      <c r="X117" s="79">
        <f>'Core Loads'!X117</f>
        <v>0</v>
      </c>
      <c r="Y117" s="79">
        <f>'Core Loads'!Y117</f>
        <v>0</v>
      </c>
      <c r="Z117" s="79">
        <f>'Core Loads'!Z117</f>
        <v>0</v>
      </c>
      <c r="AA117" s="79">
        <f>'Core Loads'!AA117</f>
        <v>0</v>
      </c>
      <c r="AB117" s="79">
        <f>'Core Loads'!AB117</f>
        <v>0</v>
      </c>
      <c r="AC117" s="79">
        <f>'Core Loads'!AC117</f>
        <v>0</v>
      </c>
      <c r="AD117" s="79">
        <f>'Core Loads'!AD117</f>
        <v>0</v>
      </c>
      <c r="AE117" s="79">
        <f>'Core Loads'!AE117</f>
        <v>0</v>
      </c>
      <c r="AF117" s="79">
        <f>'Core Loads'!AF117</f>
        <v>0</v>
      </c>
      <c r="AG117"/>
      <c r="AH117" s="17" t="s">
        <v>279</v>
      </c>
    </row>
    <row r="118" spans="2:34" hidden="1" outlineLevel="1" x14ac:dyDescent="0.25">
      <c r="B118" s="31" t="s">
        <v>145</v>
      </c>
      <c r="C118" s="79">
        <f>'Core Loads'!C118</f>
        <v>11884388.380107559</v>
      </c>
      <c r="D118" s="79">
        <f>'Core Loads'!D118</f>
        <v>11884388.380107559</v>
      </c>
      <c r="E118" s="79">
        <f>'Core Loads'!E118</f>
        <v>11884388.380107559</v>
      </c>
      <c r="F118" s="79">
        <f>'Core Loads'!F118</f>
        <v>11884388.380107559</v>
      </c>
      <c r="G118" s="79">
        <f>'Core Loads'!G118</f>
        <v>11884388.380107559</v>
      </c>
      <c r="H118" s="79">
        <f>'Core Loads'!H118</f>
        <v>11884388.380107559</v>
      </c>
      <c r="I118" s="79">
        <f>'Core Loads'!I118</f>
        <v>11884388.380107559</v>
      </c>
      <c r="J118" s="79">
        <f>'Core Loads'!J118</f>
        <v>11884388.380107559</v>
      </c>
      <c r="K118" s="79">
        <f>'Core Loads'!K118</f>
        <v>11884388.380107559</v>
      </c>
      <c r="L118" s="79">
        <f>'Core Loads'!L118</f>
        <v>11884388.380107559</v>
      </c>
      <c r="M118" s="79">
        <f>'Core Loads'!M118</f>
        <v>2652353.1428571437</v>
      </c>
      <c r="N118" s="79">
        <f>'Core Loads'!N118</f>
        <v>2652353.1428571437</v>
      </c>
      <c r="O118" s="79">
        <f>'Core Loads'!O118</f>
        <v>2652353.1428571437</v>
      </c>
      <c r="P118" s="79">
        <f>'Core Loads'!P118</f>
        <v>2652353.1428571437</v>
      </c>
      <c r="Q118" s="79">
        <f>'Core Loads'!Q118</f>
        <v>0</v>
      </c>
      <c r="R118" s="79">
        <f>'Core Loads'!R118</f>
        <v>0</v>
      </c>
      <c r="S118" s="79">
        <f>'Core Loads'!S118</f>
        <v>0</v>
      </c>
      <c r="T118" s="79">
        <f>'Core Loads'!T118</f>
        <v>0</v>
      </c>
      <c r="U118" s="79">
        <f>'Core Loads'!U118</f>
        <v>0</v>
      </c>
      <c r="V118" s="79">
        <f>'Core Loads'!V118</f>
        <v>0</v>
      </c>
      <c r="W118" s="79">
        <f>'Core Loads'!W118</f>
        <v>0</v>
      </c>
      <c r="X118" s="79">
        <f>'Core Loads'!X118</f>
        <v>0</v>
      </c>
      <c r="Y118" s="79">
        <f>'Core Loads'!Y118</f>
        <v>0</v>
      </c>
      <c r="Z118" s="79">
        <f>'Core Loads'!Z118</f>
        <v>0</v>
      </c>
      <c r="AA118" s="79">
        <f>'Core Loads'!AA118</f>
        <v>0</v>
      </c>
      <c r="AB118" s="79">
        <f>'Core Loads'!AB118</f>
        <v>0</v>
      </c>
      <c r="AC118" s="79">
        <f>'Core Loads'!AC118</f>
        <v>0</v>
      </c>
      <c r="AD118" s="79">
        <f>'Core Loads'!AD118</f>
        <v>0</v>
      </c>
      <c r="AE118" s="79">
        <f>'Core Loads'!AE118</f>
        <v>0</v>
      </c>
      <c r="AF118" s="79">
        <f>'Core Loads'!AF118</f>
        <v>0</v>
      </c>
      <c r="AG118"/>
      <c r="AH118" s="17" t="s">
        <v>279</v>
      </c>
    </row>
    <row r="119" spans="2:34" hidden="1" outlineLevel="1" x14ac:dyDescent="0.25">
      <c r="B119" s="31" t="s">
        <v>244</v>
      </c>
      <c r="C119" s="79">
        <f>'Core Loads'!C119</f>
        <v>35030010.666666664</v>
      </c>
      <c r="D119" s="79">
        <f>'Core Loads'!D119</f>
        <v>35030010.666666664</v>
      </c>
      <c r="E119" s="79">
        <f>'Core Loads'!E119</f>
        <v>35030010.666666664</v>
      </c>
      <c r="F119" s="79">
        <f>'Core Loads'!F119</f>
        <v>33517716.333333336</v>
      </c>
      <c r="G119" s="79">
        <f>'Core Loads'!G119</f>
        <v>33517716.333333336</v>
      </c>
      <c r="H119" s="79">
        <f>'Core Loads'!H119</f>
        <v>27281130.833333336</v>
      </c>
      <c r="I119" s="79">
        <f>'Core Loads'!I119</f>
        <v>27281130.833333336</v>
      </c>
      <c r="J119" s="79">
        <f>'Core Loads'!J119</f>
        <v>27281130.833333336</v>
      </c>
      <c r="K119" s="79">
        <f>'Core Loads'!K119</f>
        <v>27281130.833333336</v>
      </c>
      <c r="L119" s="79">
        <f>'Core Loads'!L119</f>
        <v>27281130.833333336</v>
      </c>
      <c r="M119" s="79">
        <f>'Core Loads'!M119</f>
        <v>27281130.833333336</v>
      </c>
      <c r="N119" s="79">
        <f>'Core Loads'!N119</f>
        <v>25435642.571078431</v>
      </c>
      <c r="O119" s="79">
        <f>'Core Loads'!O119</f>
        <v>25435642.571078431</v>
      </c>
      <c r="P119" s="79">
        <f>'Core Loads'!P119</f>
        <v>24476941.485784315</v>
      </c>
      <c r="Q119" s="79">
        <f>'Core Loads'!Q119</f>
        <v>0</v>
      </c>
      <c r="R119" s="79">
        <f>'Core Loads'!R119</f>
        <v>0</v>
      </c>
      <c r="S119" s="79">
        <f>'Core Loads'!S119</f>
        <v>0</v>
      </c>
      <c r="T119" s="79">
        <f>'Core Loads'!T119</f>
        <v>0</v>
      </c>
      <c r="U119" s="79">
        <f>'Core Loads'!U119</f>
        <v>0</v>
      </c>
      <c r="V119" s="79">
        <f>'Core Loads'!V119</f>
        <v>0</v>
      </c>
      <c r="W119" s="79">
        <f>'Core Loads'!W119</f>
        <v>0</v>
      </c>
      <c r="X119" s="79">
        <f>'Core Loads'!X119</f>
        <v>0</v>
      </c>
      <c r="Y119" s="79">
        <f>'Core Loads'!Y119</f>
        <v>0</v>
      </c>
      <c r="Z119" s="79">
        <f>'Core Loads'!Z119</f>
        <v>0</v>
      </c>
      <c r="AA119" s="79">
        <f>'Core Loads'!AA119</f>
        <v>0</v>
      </c>
      <c r="AB119" s="79">
        <f>'Core Loads'!AB119</f>
        <v>0</v>
      </c>
      <c r="AC119" s="79">
        <f>'Core Loads'!AC119</f>
        <v>0</v>
      </c>
      <c r="AD119" s="79">
        <f>'Core Loads'!AD119</f>
        <v>0</v>
      </c>
      <c r="AE119" s="79">
        <f>'Core Loads'!AE119</f>
        <v>0</v>
      </c>
      <c r="AF119" s="79">
        <f>'Core Loads'!AF119</f>
        <v>0</v>
      </c>
      <c r="AG119"/>
      <c r="AH119" s="17" t="s">
        <v>279</v>
      </c>
    </row>
    <row r="120" spans="2:34" customFormat="1" hidden="1" outlineLevel="1" x14ac:dyDescent="0.25">
      <c r="B120" s="31" t="s">
        <v>147</v>
      </c>
      <c r="C120" s="79">
        <f>'Core Loads'!C120</f>
        <v>0</v>
      </c>
      <c r="D120" s="79">
        <f>'Core Loads'!D120</f>
        <v>0</v>
      </c>
      <c r="E120" s="79">
        <f>'Core Loads'!E120</f>
        <v>0</v>
      </c>
      <c r="F120" s="79">
        <f>'Core Loads'!F120</f>
        <v>0</v>
      </c>
      <c r="G120" s="79">
        <f>'Core Loads'!G120</f>
        <v>0</v>
      </c>
      <c r="H120" s="79">
        <f>'Core Loads'!H120</f>
        <v>0</v>
      </c>
      <c r="I120" s="79">
        <f>'Core Loads'!I120</f>
        <v>0</v>
      </c>
      <c r="J120" s="79">
        <f>'Core Loads'!J120</f>
        <v>0</v>
      </c>
      <c r="K120" s="79">
        <f>'Core Loads'!K120</f>
        <v>0</v>
      </c>
      <c r="L120" s="79">
        <f>'Core Loads'!L120</f>
        <v>0</v>
      </c>
      <c r="M120" s="79">
        <f>'Core Loads'!M120</f>
        <v>0</v>
      </c>
      <c r="N120" s="79">
        <f>'Core Loads'!N120</f>
        <v>0</v>
      </c>
      <c r="O120" s="79">
        <f>'Core Loads'!O120</f>
        <v>0</v>
      </c>
      <c r="P120" s="79">
        <f>'Core Loads'!P120</f>
        <v>0</v>
      </c>
      <c r="Q120" s="79">
        <f>'Core Loads'!Q120</f>
        <v>0</v>
      </c>
      <c r="R120" s="79">
        <f>'Core Loads'!R120</f>
        <v>0</v>
      </c>
      <c r="S120" s="79">
        <f>'Core Loads'!S120</f>
        <v>0</v>
      </c>
      <c r="T120" s="79">
        <f>'Core Loads'!T120</f>
        <v>0</v>
      </c>
      <c r="U120" s="79">
        <f>'Core Loads'!U120</f>
        <v>0</v>
      </c>
      <c r="V120" s="79">
        <f>'Core Loads'!V120</f>
        <v>0</v>
      </c>
      <c r="W120" s="79">
        <f>'Core Loads'!W120</f>
        <v>0</v>
      </c>
      <c r="X120" s="79">
        <f>'Core Loads'!X120</f>
        <v>0</v>
      </c>
      <c r="Y120" s="79">
        <f>'Core Loads'!Y120</f>
        <v>0</v>
      </c>
      <c r="Z120" s="79">
        <f>'Core Loads'!Z120</f>
        <v>0</v>
      </c>
      <c r="AA120" s="79">
        <f>'Core Loads'!AA120</f>
        <v>0</v>
      </c>
      <c r="AB120" s="79">
        <f>'Core Loads'!AB120</f>
        <v>0</v>
      </c>
      <c r="AC120" s="79">
        <f>'Core Loads'!AC120</f>
        <v>0</v>
      </c>
      <c r="AD120" s="79">
        <f>'Core Loads'!AD120</f>
        <v>0</v>
      </c>
      <c r="AE120" s="79">
        <f>'Core Loads'!AE120</f>
        <v>0</v>
      </c>
      <c r="AF120" s="79">
        <f>'Core Loads'!AF120</f>
        <v>0</v>
      </c>
      <c r="AH120" s="17" t="s">
        <v>279</v>
      </c>
    </row>
    <row r="121" spans="2:34" hidden="1" outlineLevel="1" x14ac:dyDescent="0.25">
      <c r="B121" s="31" t="s">
        <v>245</v>
      </c>
      <c r="C121" s="79">
        <f>'Core Loads'!C121</f>
        <v>0</v>
      </c>
      <c r="D121" s="79">
        <f>'Core Loads'!D121</f>
        <v>0</v>
      </c>
      <c r="E121" s="79">
        <f>'Core Loads'!E121</f>
        <v>0</v>
      </c>
      <c r="F121" s="79">
        <f>'Core Loads'!F121</f>
        <v>0</v>
      </c>
      <c r="G121" s="79">
        <f>'Core Loads'!G121</f>
        <v>0</v>
      </c>
      <c r="H121" s="79">
        <f>'Core Loads'!H121</f>
        <v>0</v>
      </c>
      <c r="I121" s="79">
        <f>'Core Loads'!I121</f>
        <v>0</v>
      </c>
      <c r="J121" s="79">
        <f>'Core Loads'!J121</f>
        <v>0</v>
      </c>
      <c r="K121" s="79">
        <f>'Core Loads'!K121</f>
        <v>0</v>
      </c>
      <c r="L121" s="79">
        <f>'Core Loads'!L121</f>
        <v>0</v>
      </c>
      <c r="M121" s="79">
        <f>'Core Loads'!M121</f>
        <v>0</v>
      </c>
      <c r="N121" s="79">
        <f>'Core Loads'!N121</f>
        <v>0</v>
      </c>
      <c r="O121" s="79">
        <f>'Core Loads'!O121</f>
        <v>0</v>
      </c>
      <c r="P121" s="79">
        <f>'Core Loads'!P121</f>
        <v>0</v>
      </c>
      <c r="Q121" s="79">
        <f>'Core Loads'!Q121</f>
        <v>0</v>
      </c>
      <c r="R121" s="79">
        <f>'Core Loads'!R121</f>
        <v>0</v>
      </c>
      <c r="S121" s="79">
        <f>'Core Loads'!S121</f>
        <v>0</v>
      </c>
      <c r="T121" s="79">
        <f>'Core Loads'!T121</f>
        <v>0</v>
      </c>
      <c r="U121" s="79">
        <f>'Core Loads'!U121</f>
        <v>0</v>
      </c>
      <c r="V121" s="79">
        <f>'Core Loads'!V121</f>
        <v>0</v>
      </c>
      <c r="W121" s="79">
        <f>'Core Loads'!W121</f>
        <v>0</v>
      </c>
      <c r="X121" s="79">
        <f>'Core Loads'!X121</f>
        <v>0</v>
      </c>
      <c r="Y121" s="79">
        <f>'Core Loads'!Y121</f>
        <v>0</v>
      </c>
      <c r="Z121" s="79">
        <f>'Core Loads'!Z121</f>
        <v>0</v>
      </c>
      <c r="AA121" s="79">
        <f>'Core Loads'!AA121</f>
        <v>0</v>
      </c>
      <c r="AB121" s="79">
        <f>'Core Loads'!AB121</f>
        <v>0</v>
      </c>
      <c r="AC121" s="79">
        <f>'Core Loads'!AC121</f>
        <v>0</v>
      </c>
      <c r="AD121" s="79">
        <f>'Core Loads'!AD121</f>
        <v>0</v>
      </c>
      <c r="AE121" s="79">
        <f>'Core Loads'!AE121</f>
        <v>0</v>
      </c>
      <c r="AF121" s="79">
        <f>'Core Loads'!AF121</f>
        <v>0</v>
      </c>
      <c r="AG121"/>
      <c r="AH121" s="17" t="s">
        <v>279</v>
      </c>
    </row>
    <row r="122" spans="2:34" hidden="1" outlineLevel="1" x14ac:dyDescent="0.25">
      <c r="B122" s="31" t="s">
        <v>149</v>
      </c>
      <c r="C122" s="79">
        <f>'Core Loads'!C122</f>
        <v>120734829.15172276</v>
      </c>
      <c r="D122" s="79">
        <f>'Core Loads'!D122</f>
        <v>120734829.15172276</v>
      </c>
      <c r="E122" s="79">
        <f>'Core Loads'!E122</f>
        <v>120734829.15172276</v>
      </c>
      <c r="F122" s="79">
        <f>'Core Loads'!F122</f>
        <v>119222534.81838945</v>
      </c>
      <c r="G122" s="79">
        <f>'Core Loads'!G122</f>
        <v>119222534.81838945</v>
      </c>
      <c r="H122" s="79">
        <f>'Core Loads'!H122</f>
        <v>77736529.546774238</v>
      </c>
      <c r="I122" s="79">
        <f>'Core Loads'!I122</f>
        <v>77736529.546774238</v>
      </c>
      <c r="J122" s="79">
        <f>'Core Loads'!J122</f>
        <v>77736529.546774238</v>
      </c>
      <c r="K122" s="79">
        <f>'Core Loads'!K122</f>
        <v>77736529.546774238</v>
      </c>
      <c r="L122" s="79">
        <f>'Core Loads'!L122</f>
        <v>77736529.546774238</v>
      </c>
      <c r="M122" s="79">
        <f>'Core Loads'!M122</f>
        <v>68504494.309523821</v>
      </c>
      <c r="N122" s="79">
        <f>'Core Loads'!N122</f>
        <v>66659006.047268912</v>
      </c>
      <c r="O122" s="79">
        <f>'Core Loads'!O122</f>
        <v>66659006.047268912</v>
      </c>
      <c r="P122" s="79">
        <f>'Core Loads'!P122</f>
        <v>65700304.961974792</v>
      </c>
      <c r="Q122" s="79">
        <f>'Core Loads'!Q122</f>
        <v>0</v>
      </c>
      <c r="R122" s="79">
        <f>'Core Loads'!R122</f>
        <v>0</v>
      </c>
      <c r="S122" s="79">
        <f>'Core Loads'!S122</f>
        <v>0</v>
      </c>
      <c r="T122" s="79">
        <f>'Core Loads'!T122</f>
        <v>0</v>
      </c>
      <c r="U122" s="79">
        <f>'Core Loads'!U122</f>
        <v>0</v>
      </c>
      <c r="V122" s="79">
        <f>'Core Loads'!V122</f>
        <v>0</v>
      </c>
      <c r="W122" s="79">
        <f>'Core Loads'!W122</f>
        <v>0</v>
      </c>
      <c r="X122" s="79">
        <f>'Core Loads'!X122</f>
        <v>0</v>
      </c>
      <c r="Y122" s="79">
        <f>'Core Loads'!Y122</f>
        <v>0</v>
      </c>
      <c r="Z122" s="79">
        <f>'Core Loads'!Z122</f>
        <v>0</v>
      </c>
      <c r="AA122" s="79">
        <f>'Core Loads'!AA122</f>
        <v>0</v>
      </c>
      <c r="AB122" s="79">
        <f>'Core Loads'!AB122</f>
        <v>0</v>
      </c>
      <c r="AC122" s="79">
        <f>'Core Loads'!AC122</f>
        <v>0</v>
      </c>
      <c r="AD122" s="79">
        <f>'Core Loads'!AD122</f>
        <v>0</v>
      </c>
      <c r="AE122" s="79">
        <f>'Core Loads'!AE122</f>
        <v>0</v>
      </c>
      <c r="AF122" s="79">
        <f>'Core Loads'!AF122</f>
        <v>0</v>
      </c>
      <c r="AG122"/>
      <c r="AH122" s="17" t="s">
        <v>279</v>
      </c>
    </row>
    <row r="123" spans="2:34" hidden="1" outlineLevel="1" x14ac:dyDescent="0.25">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c r="AH123"/>
    </row>
    <row r="124" spans="2:34" ht="15.75" hidden="1" outlineLevel="1" thickBot="1" x14ac:dyDescent="0.3">
      <c r="B124" s="28" t="s">
        <v>280</v>
      </c>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0"/>
      <c r="AH124" s="20" t="s">
        <v>15</v>
      </c>
    </row>
    <row r="125" spans="2:34" customFormat="1" hidden="1" outlineLevel="1" x14ac:dyDescent="0.25">
      <c r="B125" s="30"/>
      <c r="C125" s="17">
        <v>2025</v>
      </c>
      <c r="D125" s="44">
        <v>2026</v>
      </c>
      <c r="E125" s="44">
        <v>2027</v>
      </c>
      <c r="F125" s="44">
        <v>2028</v>
      </c>
      <c r="G125" s="44">
        <v>2029</v>
      </c>
      <c r="H125" s="44">
        <v>2030</v>
      </c>
      <c r="I125" s="44">
        <v>2031</v>
      </c>
      <c r="J125" s="44">
        <v>2032</v>
      </c>
      <c r="K125" s="44">
        <v>2033</v>
      </c>
      <c r="L125" s="44">
        <v>2034</v>
      </c>
      <c r="M125" s="44">
        <v>2035</v>
      </c>
      <c r="N125" s="44">
        <v>2036</v>
      </c>
      <c r="O125" s="44">
        <v>2037</v>
      </c>
      <c r="P125" s="44">
        <v>2038</v>
      </c>
      <c r="Q125" s="44">
        <v>2039</v>
      </c>
      <c r="R125" s="44">
        <v>2040</v>
      </c>
      <c r="S125" s="44">
        <v>2041</v>
      </c>
      <c r="T125" s="44">
        <v>2042</v>
      </c>
      <c r="U125" s="44">
        <v>2043</v>
      </c>
      <c r="V125" s="44">
        <v>2044</v>
      </c>
      <c r="W125" s="44">
        <v>2045</v>
      </c>
      <c r="X125" s="44">
        <v>2046</v>
      </c>
      <c r="Y125" s="44">
        <v>2047</v>
      </c>
      <c r="Z125" s="44">
        <v>2048</v>
      </c>
      <c r="AA125" s="44">
        <v>2049</v>
      </c>
      <c r="AB125" s="44">
        <v>2050</v>
      </c>
      <c r="AC125" s="44">
        <v>2051</v>
      </c>
      <c r="AD125" s="44">
        <v>2052</v>
      </c>
      <c r="AE125" s="44">
        <v>2053</v>
      </c>
      <c r="AF125" s="44">
        <v>2054</v>
      </c>
      <c r="AG125" s="1"/>
      <c r="AH125" s="1"/>
    </row>
    <row r="126" spans="2:34" hidden="1" outlineLevel="1" x14ac:dyDescent="0.25">
      <c r="B126" s="31" t="s">
        <v>144</v>
      </c>
      <c r="C126" s="79">
        <f>'Core Loads'!C126</f>
        <v>17398088.411448572</v>
      </c>
      <c r="D126" s="79">
        <f>'Core Loads'!D126</f>
        <v>17398088.411448572</v>
      </c>
      <c r="E126" s="79">
        <f>'Core Loads'!E126</f>
        <v>17398088.411448572</v>
      </c>
      <c r="F126" s="79">
        <f>'Core Loads'!F126</f>
        <v>17398088.411448572</v>
      </c>
      <c r="G126" s="79">
        <f>'Core Loads'!G126</f>
        <v>17398088.411448572</v>
      </c>
      <c r="H126" s="79">
        <f>'Core Loads'!H126</f>
        <v>51034148.379142225</v>
      </c>
      <c r="I126" s="79">
        <f>'Core Loads'!I126</f>
        <v>51034148.379142225</v>
      </c>
      <c r="J126" s="79">
        <f>'Core Loads'!J126</f>
        <v>51034148.379142225</v>
      </c>
      <c r="K126" s="79">
        <f>'Core Loads'!K126</f>
        <v>51034148.379142225</v>
      </c>
      <c r="L126" s="79">
        <f>'Core Loads'!L126</f>
        <v>51034148.379142225</v>
      </c>
      <c r="M126" s="79">
        <f>'Core Loads'!M126</f>
        <v>51034148.379142225</v>
      </c>
      <c r="N126" s="79">
        <f>'Core Loads'!N126</f>
        <v>51034148.379142225</v>
      </c>
      <c r="O126" s="79">
        <f>'Core Loads'!O126</f>
        <v>51034148.379142225</v>
      </c>
      <c r="P126" s="79">
        <f>'Core Loads'!P126</f>
        <v>51034148.379142225</v>
      </c>
      <c r="Q126" s="79">
        <f>'Core Loads'!Q126</f>
        <v>89605158.712475568</v>
      </c>
      <c r="R126" s="79">
        <f>'Core Loads'!R126</f>
        <v>89605158.712475568</v>
      </c>
      <c r="S126" s="79">
        <f>'Core Loads'!S126</f>
        <v>89605158.712475568</v>
      </c>
      <c r="T126" s="79">
        <f>'Core Loads'!T126</f>
        <v>89605158.712475568</v>
      </c>
      <c r="U126" s="79">
        <f>'Core Loads'!U126</f>
        <v>89605158.712475568</v>
      </c>
      <c r="V126" s="79">
        <f>'Core Loads'!V126</f>
        <v>89605158.712475568</v>
      </c>
      <c r="W126" s="79">
        <f>'Core Loads'!W126</f>
        <v>89605158.712475568</v>
      </c>
      <c r="X126" s="79">
        <f>'Core Loads'!X126</f>
        <v>89605158.712475568</v>
      </c>
      <c r="Y126" s="79">
        <f>'Core Loads'!Y126</f>
        <v>89605158.712475568</v>
      </c>
      <c r="Z126" s="79">
        <f>'Core Loads'!Z126</f>
        <v>89605158.712475568</v>
      </c>
      <c r="AA126" s="79">
        <f>'Core Loads'!AA126</f>
        <v>89605158.712475568</v>
      </c>
      <c r="AB126" s="79">
        <f>'Core Loads'!AB126</f>
        <v>89605158.712475568</v>
      </c>
      <c r="AC126" s="79">
        <f>'Core Loads'!AC126</f>
        <v>89605158.712475568</v>
      </c>
      <c r="AD126" s="79">
        <f>'Core Loads'!AD126</f>
        <v>89605158.712475568</v>
      </c>
      <c r="AE126" s="79">
        <f>'Core Loads'!AE126</f>
        <v>89605158.712475568</v>
      </c>
      <c r="AF126" s="79">
        <f>'Core Loads'!AF126</f>
        <v>89605158.712475568</v>
      </c>
      <c r="AG126"/>
      <c r="AH126" s="17" t="s">
        <v>279</v>
      </c>
    </row>
    <row r="127" spans="2:34" hidden="1" outlineLevel="1" x14ac:dyDescent="0.25">
      <c r="B127" s="31" t="s">
        <v>145</v>
      </c>
      <c r="C127" s="79">
        <f>'Core Loads'!C127</f>
        <v>0</v>
      </c>
      <c r="D127" s="79">
        <f>'Core Loads'!D127</f>
        <v>0</v>
      </c>
      <c r="E127" s="79">
        <f>'Core Loads'!E127</f>
        <v>0</v>
      </c>
      <c r="F127" s="79">
        <f>'Core Loads'!F127</f>
        <v>0</v>
      </c>
      <c r="G127" s="79">
        <f>'Core Loads'!G127</f>
        <v>0</v>
      </c>
      <c r="H127" s="79">
        <f>'Core Loads'!H127</f>
        <v>0</v>
      </c>
      <c r="I127" s="79">
        <f>'Core Loads'!I127</f>
        <v>0</v>
      </c>
      <c r="J127" s="79">
        <f>'Core Loads'!J127</f>
        <v>0</v>
      </c>
      <c r="K127" s="79">
        <f>'Core Loads'!K127</f>
        <v>0</v>
      </c>
      <c r="L127" s="79">
        <f>'Core Loads'!L127</f>
        <v>0</v>
      </c>
      <c r="M127" s="79">
        <f>'Core Loads'!M127</f>
        <v>9232035.2372504156</v>
      </c>
      <c r="N127" s="79">
        <f>'Core Loads'!N127</f>
        <v>9232035.2372504156</v>
      </c>
      <c r="O127" s="79">
        <f>'Core Loads'!O127</f>
        <v>9232035.2372504156</v>
      </c>
      <c r="P127" s="79">
        <f>'Core Loads'!P127</f>
        <v>9232035.2372504156</v>
      </c>
      <c r="Q127" s="79">
        <f>'Core Loads'!Q127</f>
        <v>11884388.380107559</v>
      </c>
      <c r="R127" s="79">
        <f>'Core Loads'!R127</f>
        <v>11884388.380107559</v>
      </c>
      <c r="S127" s="79">
        <f>'Core Loads'!S127</f>
        <v>11884388.380107559</v>
      </c>
      <c r="T127" s="79">
        <f>'Core Loads'!T127</f>
        <v>11525540.601956299</v>
      </c>
      <c r="U127" s="79">
        <f>'Core Loads'!U127</f>
        <v>11525540.601956299</v>
      </c>
      <c r="V127" s="79">
        <f>'Core Loads'!V127</f>
        <v>11525540.601956299</v>
      </c>
      <c r="W127" s="79">
        <f>'Core Loads'!W127</f>
        <v>11525540.601956299</v>
      </c>
      <c r="X127" s="79">
        <f>'Core Loads'!X127</f>
        <v>11525540.601956299</v>
      </c>
      <c r="Y127" s="79">
        <f>'Core Loads'!Y127</f>
        <v>11525540.601956299</v>
      </c>
      <c r="Z127" s="79">
        <f>'Core Loads'!Z127</f>
        <v>11525540.601956299</v>
      </c>
      <c r="AA127" s="79">
        <f>'Core Loads'!AA127</f>
        <v>11525540.601956299</v>
      </c>
      <c r="AB127" s="79">
        <f>'Core Loads'!AB127</f>
        <v>11525540.601956299</v>
      </c>
      <c r="AC127" s="79">
        <f>'Core Loads'!AC127</f>
        <v>11525540.601956299</v>
      </c>
      <c r="AD127" s="79">
        <f>'Core Loads'!AD127</f>
        <v>11525540.601956299</v>
      </c>
      <c r="AE127" s="79">
        <f>'Core Loads'!AE127</f>
        <v>11525540.601956299</v>
      </c>
      <c r="AF127" s="79">
        <f>'Core Loads'!AF127</f>
        <v>11525540.601956299</v>
      </c>
      <c r="AG127"/>
      <c r="AH127" s="17" t="s">
        <v>279</v>
      </c>
    </row>
    <row r="128" spans="2:34" customFormat="1" hidden="1" outlineLevel="1" x14ac:dyDescent="0.25">
      <c r="B128" s="31" t="s">
        <v>244</v>
      </c>
      <c r="C128" s="79">
        <f>'Core Loads'!C128</f>
        <v>0</v>
      </c>
      <c r="D128" s="79">
        <f>'Core Loads'!D128</f>
        <v>0</v>
      </c>
      <c r="E128" s="79">
        <f>'Core Loads'!E128</f>
        <v>0</v>
      </c>
      <c r="F128" s="79">
        <f>'Core Loads'!F128</f>
        <v>0</v>
      </c>
      <c r="G128" s="79">
        <f>'Core Loads'!G128</f>
        <v>0</v>
      </c>
      <c r="H128" s="79">
        <f>'Core Loads'!H128</f>
        <v>4717161.5</v>
      </c>
      <c r="I128" s="79">
        <f>'Core Loads'!I128</f>
        <v>4717161.5</v>
      </c>
      <c r="J128" s="79">
        <f>'Core Loads'!J128</f>
        <v>4717161.5</v>
      </c>
      <c r="K128" s="79">
        <f>'Core Loads'!K128</f>
        <v>4717161.5</v>
      </c>
      <c r="L128" s="79">
        <f>'Core Loads'!L128</f>
        <v>4717161.5</v>
      </c>
      <c r="M128" s="79">
        <f>'Core Loads'!M128</f>
        <v>4717161.5</v>
      </c>
      <c r="N128" s="79">
        <f>'Core Loads'!N128</f>
        <v>4398059.3985294122</v>
      </c>
      <c r="O128" s="79">
        <f>'Core Loads'!O128</f>
        <v>4398059.3985294122</v>
      </c>
      <c r="P128" s="79">
        <f>'Core Loads'!P128</f>
        <v>4398059.3985294122</v>
      </c>
      <c r="Q128" s="79">
        <f>'Core Loads'!Q128</f>
        <v>28875000.884313725</v>
      </c>
      <c r="R128" s="79">
        <f>'Core Loads'!R128</f>
        <v>28875000.884313725</v>
      </c>
      <c r="S128" s="79">
        <f>'Core Loads'!S128</f>
        <v>28875000.884313725</v>
      </c>
      <c r="T128" s="79">
        <f>'Core Loads'!T128</f>
        <v>28875000.884313725</v>
      </c>
      <c r="U128" s="79">
        <f>'Core Loads'!U128</f>
        <v>28875000.884313725</v>
      </c>
      <c r="V128" s="79">
        <f>'Core Loads'!V128</f>
        <v>28875000.884313725</v>
      </c>
      <c r="W128" s="79">
        <f>'Core Loads'!W128</f>
        <v>28875000.884313725</v>
      </c>
      <c r="X128" s="79">
        <f>'Core Loads'!X128</f>
        <v>28875000.884313725</v>
      </c>
      <c r="Y128" s="79">
        <f>'Core Loads'!Y128</f>
        <v>28875000.884313725</v>
      </c>
      <c r="Z128" s="79">
        <f>'Core Loads'!Z128</f>
        <v>28875000.884313725</v>
      </c>
      <c r="AA128" s="79">
        <f>'Core Loads'!AA128</f>
        <v>28875000.884313725</v>
      </c>
      <c r="AB128" s="79">
        <f>'Core Loads'!AB128</f>
        <v>28875000.884313725</v>
      </c>
      <c r="AC128" s="79">
        <f>'Core Loads'!AC128</f>
        <v>28875000.884313725</v>
      </c>
      <c r="AD128" s="79">
        <f>'Core Loads'!AD128</f>
        <v>28875000.884313725</v>
      </c>
      <c r="AE128" s="79">
        <f>'Core Loads'!AE128</f>
        <v>28875000.884313725</v>
      </c>
      <c r="AF128" s="79">
        <f>'Core Loads'!AF128</f>
        <v>28875000.884313725</v>
      </c>
      <c r="AH128" s="17" t="s">
        <v>279</v>
      </c>
    </row>
    <row r="129" spans="2:35" hidden="1" outlineLevel="1" x14ac:dyDescent="0.25">
      <c r="B129" s="31" t="s">
        <v>147</v>
      </c>
      <c r="C129" s="79">
        <f>'Core Loads'!C129</f>
        <v>0</v>
      </c>
      <c r="D129" s="79">
        <f>'Core Loads'!D129</f>
        <v>0</v>
      </c>
      <c r="E129" s="79">
        <f>'Core Loads'!E129</f>
        <v>0</v>
      </c>
      <c r="F129" s="79">
        <f>'Core Loads'!F129</f>
        <v>0</v>
      </c>
      <c r="G129" s="79">
        <f>'Core Loads'!G129</f>
        <v>0</v>
      </c>
      <c r="H129" s="79">
        <f>'Core Loads'!H129</f>
        <v>0</v>
      </c>
      <c r="I129" s="79">
        <f>'Core Loads'!I129</f>
        <v>0</v>
      </c>
      <c r="J129" s="79">
        <f>'Core Loads'!J129</f>
        <v>0</v>
      </c>
      <c r="K129" s="79">
        <f>'Core Loads'!K129</f>
        <v>0</v>
      </c>
      <c r="L129" s="79">
        <f>'Core Loads'!L129</f>
        <v>0</v>
      </c>
      <c r="M129" s="79">
        <f>'Core Loads'!M129</f>
        <v>0</v>
      </c>
      <c r="N129" s="79">
        <f>'Core Loads'!N129</f>
        <v>0</v>
      </c>
      <c r="O129" s="79">
        <f>'Core Loads'!O129</f>
        <v>0</v>
      </c>
      <c r="P129" s="79">
        <f>'Core Loads'!P129</f>
        <v>0</v>
      </c>
      <c r="Q129" s="79">
        <f>'Core Loads'!Q129</f>
        <v>0</v>
      </c>
      <c r="R129" s="79">
        <f>'Core Loads'!R129</f>
        <v>0</v>
      </c>
      <c r="S129" s="79">
        <f>'Core Loads'!S129</f>
        <v>0</v>
      </c>
      <c r="T129" s="79">
        <f>'Core Loads'!T129</f>
        <v>0</v>
      </c>
      <c r="U129" s="79">
        <f>'Core Loads'!U129</f>
        <v>0</v>
      </c>
      <c r="V129" s="79">
        <f>'Core Loads'!V129</f>
        <v>0</v>
      </c>
      <c r="W129" s="79">
        <f>'Core Loads'!W129</f>
        <v>0</v>
      </c>
      <c r="X129" s="79">
        <f>'Core Loads'!X129</f>
        <v>0</v>
      </c>
      <c r="Y129" s="79">
        <f>'Core Loads'!Y129</f>
        <v>0</v>
      </c>
      <c r="Z129" s="79">
        <f>'Core Loads'!Z129</f>
        <v>0</v>
      </c>
      <c r="AA129" s="79">
        <f>'Core Loads'!AA129</f>
        <v>0</v>
      </c>
      <c r="AB129" s="79">
        <f>'Core Loads'!AB129</f>
        <v>0</v>
      </c>
      <c r="AC129" s="79">
        <f>'Core Loads'!AC129</f>
        <v>0</v>
      </c>
      <c r="AD129" s="79">
        <f>'Core Loads'!AD129</f>
        <v>0</v>
      </c>
      <c r="AE129" s="79">
        <f>'Core Loads'!AE129</f>
        <v>0</v>
      </c>
      <c r="AF129" s="79">
        <f>'Core Loads'!AF129</f>
        <v>0</v>
      </c>
      <c r="AG129"/>
      <c r="AH129" s="17" t="s">
        <v>279</v>
      </c>
    </row>
    <row r="130" spans="2:35" hidden="1" outlineLevel="1" x14ac:dyDescent="0.25">
      <c r="B130" s="31" t="s">
        <v>245</v>
      </c>
      <c r="C130" s="79">
        <f>'Core Loads'!C130</f>
        <v>0</v>
      </c>
      <c r="D130" s="79">
        <f>'Core Loads'!D130</f>
        <v>0</v>
      </c>
      <c r="E130" s="79">
        <f>'Core Loads'!E130</f>
        <v>0</v>
      </c>
      <c r="F130" s="79">
        <f>'Core Loads'!F130</f>
        <v>0</v>
      </c>
      <c r="G130" s="79">
        <f>'Core Loads'!G130</f>
        <v>0</v>
      </c>
      <c r="H130" s="79">
        <f>'Core Loads'!H130</f>
        <v>0</v>
      </c>
      <c r="I130" s="79">
        <f>'Core Loads'!I130</f>
        <v>0</v>
      </c>
      <c r="J130" s="79">
        <f>'Core Loads'!J130</f>
        <v>0</v>
      </c>
      <c r="K130" s="79">
        <f>'Core Loads'!K130</f>
        <v>0</v>
      </c>
      <c r="L130" s="79">
        <f>'Core Loads'!L130</f>
        <v>0</v>
      </c>
      <c r="M130" s="79">
        <f>'Core Loads'!M130</f>
        <v>0</v>
      </c>
      <c r="N130" s="79">
        <f>'Core Loads'!N130</f>
        <v>0</v>
      </c>
      <c r="O130" s="79">
        <f>'Core Loads'!O130</f>
        <v>0</v>
      </c>
      <c r="P130" s="79">
        <f>'Core Loads'!P130</f>
        <v>0</v>
      </c>
      <c r="Q130" s="79">
        <f>'Core Loads'!Q130</f>
        <v>0</v>
      </c>
      <c r="R130" s="79">
        <f>'Core Loads'!R130</f>
        <v>4623100.2231905619</v>
      </c>
      <c r="S130" s="79">
        <f>'Core Loads'!S130</f>
        <v>4623100.2231905619</v>
      </c>
      <c r="T130" s="79">
        <f>'Core Loads'!T130</f>
        <v>4623100.2231905619</v>
      </c>
      <c r="U130" s="79">
        <f>'Core Loads'!U130</f>
        <v>4623100.2231905619</v>
      </c>
      <c r="V130" s="79">
        <f>'Core Loads'!V130</f>
        <v>4623100.2231905619</v>
      </c>
      <c r="W130" s="79">
        <f>'Core Loads'!W130</f>
        <v>4623100.2231905619</v>
      </c>
      <c r="X130" s="79">
        <f>'Core Loads'!X130</f>
        <v>4623100.2231905619</v>
      </c>
      <c r="Y130" s="79">
        <f>'Core Loads'!Y130</f>
        <v>4623100.2231905619</v>
      </c>
      <c r="Z130" s="79">
        <f>'Core Loads'!Z130</f>
        <v>4623100.2231905619</v>
      </c>
      <c r="AA130" s="79">
        <f>'Core Loads'!AA130</f>
        <v>4623100.2231905619</v>
      </c>
      <c r="AB130" s="79">
        <f>'Core Loads'!AB130</f>
        <v>4623100.2231905619</v>
      </c>
      <c r="AC130" s="79">
        <f>'Core Loads'!AC130</f>
        <v>4623100.2231905619</v>
      </c>
      <c r="AD130" s="79">
        <f>'Core Loads'!AD130</f>
        <v>4623100.2231905619</v>
      </c>
      <c r="AE130" s="79">
        <f>'Core Loads'!AE130</f>
        <v>4623100.2231905619</v>
      </c>
      <c r="AF130" s="79">
        <f>'Core Loads'!AF130</f>
        <v>4623100.2231905619</v>
      </c>
      <c r="AG130"/>
      <c r="AH130" s="17" t="s">
        <v>279</v>
      </c>
    </row>
    <row r="131" spans="2:35" hidden="1" outlineLevel="1" x14ac:dyDescent="0.25">
      <c r="B131" s="31" t="s">
        <v>149</v>
      </c>
      <c r="C131" s="79">
        <f>'Core Loads'!C131</f>
        <v>17398088.411448572</v>
      </c>
      <c r="D131" s="79">
        <f>'Core Loads'!D131</f>
        <v>17398088.411448572</v>
      </c>
      <c r="E131" s="79">
        <f>'Core Loads'!E131</f>
        <v>17398088.411448572</v>
      </c>
      <c r="F131" s="79">
        <f>'Core Loads'!F131</f>
        <v>17398088.411448572</v>
      </c>
      <c r="G131" s="79">
        <f>'Core Loads'!G131</f>
        <v>17398088.411448572</v>
      </c>
      <c r="H131" s="79">
        <f>'Core Loads'!H131</f>
        <v>55751309.879142225</v>
      </c>
      <c r="I131" s="79">
        <f>'Core Loads'!I131</f>
        <v>55751309.879142225</v>
      </c>
      <c r="J131" s="79">
        <f>'Core Loads'!J131</f>
        <v>55751309.879142225</v>
      </c>
      <c r="K131" s="79">
        <f>'Core Loads'!K131</f>
        <v>55751309.879142225</v>
      </c>
      <c r="L131" s="79">
        <f>'Core Loads'!L131</f>
        <v>55751309.879142225</v>
      </c>
      <c r="M131" s="79">
        <f>'Core Loads'!M131</f>
        <v>64983345.116392642</v>
      </c>
      <c r="N131" s="79">
        <f>'Core Loads'!N131</f>
        <v>64664243.014922053</v>
      </c>
      <c r="O131" s="79">
        <f>'Core Loads'!O131</f>
        <v>64664243.014922053</v>
      </c>
      <c r="P131" s="79">
        <f>'Core Loads'!P131</f>
        <v>64664243.014922053</v>
      </c>
      <c r="Q131" s="79">
        <f>'Core Loads'!Q131</f>
        <v>130364547.97689685</v>
      </c>
      <c r="R131" s="79">
        <f>'Core Loads'!R131</f>
        <v>134987648.20008743</v>
      </c>
      <c r="S131" s="79">
        <f>'Core Loads'!S131</f>
        <v>134987648.20008743</v>
      </c>
      <c r="T131" s="79">
        <f>'Core Loads'!T131</f>
        <v>134628800.42193615</v>
      </c>
      <c r="U131" s="79">
        <f>'Core Loads'!U131</f>
        <v>134628800.42193615</v>
      </c>
      <c r="V131" s="79">
        <f>'Core Loads'!V131</f>
        <v>134628800.42193615</v>
      </c>
      <c r="W131" s="79">
        <f>'Core Loads'!W131</f>
        <v>134628800.42193615</v>
      </c>
      <c r="X131" s="79">
        <f>'Core Loads'!X131</f>
        <v>134628800.42193615</v>
      </c>
      <c r="Y131" s="79">
        <f>'Core Loads'!Y131</f>
        <v>134628800.42193615</v>
      </c>
      <c r="Z131" s="79">
        <f>'Core Loads'!Z131</f>
        <v>134628800.42193615</v>
      </c>
      <c r="AA131" s="79">
        <f>'Core Loads'!AA131</f>
        <v>134628800.42193615</v>
      </c>
      <c r="AB131" s="79">
        <f>'Core Loads'!AB131</f>
        <v>134628800.42193615</v>
      </c>
      <c r="AC131" s="79">
        <f>'Core Loads'!AC131</f>
        <v>134628800.42193615</v>
      </c>
      <c r="AD131" s="79">
        <f>'Core Loads'!AD131</f>
        <v>134628800.42193615</v>
      </c>
      <c r="AE131" s="79">
        <f>'Core Loads'!AE131</f>
        <v>134628800.42193615</v>
      </c>
      <c r="AF131" s="79">
        <f>'Core Loads'!AF131</f>
        <v>134628800.42193615</v>
      </c>
      <c r="AG131"/>
      <c r="AH131" s="17" t="s">
        <v>279</v>
      </c>
    </row>
    <row r="132" spans="2:35" hidden="1" outlineLevel="1" x14ac:dyDescent="0.25">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c r="AH132"/>
    </row>
    <row r="133" spans="2:35" hidden="1" outlineLevel="1" x14ac:dyDescent="0.25">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c r="AH133"/>
    </row>
    <row r="134" spans="2:35" ht="17.25" hidden="1" outlineLevel="1" thickBot="1" x14ac:dyDescent="0.3">
      <c r="B134" s="26" t="s">
        <v>282</v>
      </c>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row>
    <row r="135" spans="2:35" ht="16.5" hidden="1" outlineLevel="1" thickTop="1" thickBot="1" x14ac:dyDescent="0.3">
      <c r="B135" s="28" t="s">
        <v>278</v>
      </c>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0"/>
      <c r="AH135" s="20" t="s">
        <v>15</v>
      </c>
    </row>
    <row r="136" spans="2:35" customFormat="1" hidden="1" outlineLevel="1" x14ac:dyDescent="0.25">
      <c r="B136" s="30"/>
      <c r="C136" s="17">
        <v>2025</v>
      </c>
      <c r="D136" s="44">
        <v>2026</v>
      </c>
      <c r="E136" s="44">
        <v>2027</v>
      </c>
      <c r="F136" s="44">
        <v>2028</v>
      </c>
      <c r="G136" s="44">
        <v>2029</v>
      </c>
      <c r="H136" s="44">
        <v>2030</v>
      </c>
      <c r="I136" s="44">
        <v>2031</v>
      </c>
      <c r="J136" s="44">
        <v>2032</v>
      </c>
      <c r="K136" s="44">
        <v>2033</v>
      </c>
      <c r="L136" s="44">
        <v>2034</v>
      </c>
      <c r="M136" s="44">
        <v>2035</v>
      </c>
      <c r="N136" s="44">
        <v>2036</v>
      </c>
      <c r="O136" s="44">
        <v>2037</v>
      </c>
      <c r="P136" s="44">
        <v>2038</v>
      </c>
      <c r="Q136" s="44">
        <v>2039</v>
      </c>
      <c r="R136" s="44">
        <v>2040</v>
      </c>
      <c r="S136" s="44">
        <v>2041</v>
      </c>
      <c r="T136" s="44">
        <v>2042</v>
      </c>
      <c r="U136" s="44">
        <v>2043</v>
      </c>
      <c r="V136" s="44">
        <v>2044</v>
      </c>
      <c r="W136" s="44">
        <v>2045</v>
      </c>
      <c r="X136" s="44">
        <v>2046</v>
      </c>
      <c r="Y136" s="44">
        <v>2047</v>
      </c>
      <c r="Z136" s="44">
        <v>2048</v>
      </c>
      <c r="AA136" s="44">
        <v>2049</v>
      </c>
      <c r="AB136" s="44">
        <v>2050</v>
      </c>
      <c r="AC136" s="44">
        <v>2051</v>
      </c>
      <c r="AD136" s="44">
        <v>2052</v>
      </c>
      <c r="AE136" s="44">
        <v>2053</v>
      </c>
      <c r="AF136" s="44">
        <v>2054</v>
      </c>
      <c r="AH136" s="1"/>
      <c r="AI136" s="1"/>
    </row>
    <row r="137" spans="2:35" hidden="1" outlineLevel="1" x14ac:dyDescent="0.25">
      <c r="B137" s="31" t="s">
        <v>144</v>
      </c>
      <c r="C137" s="79">
        <f>'Core Loads'!C137</f>
        <v>275637.6793395307</v>
      </c>
      <c r="D137" s="79">
        <f>'Core Loads'!D137</f>
        <v>275637.6793395307</v>
      </c>
      <c r="E137" s="79">
        <f>'Core Loads'!E137</f>
        <v>275637.6793395307</v>
      </c>
      <c r="F137" s="79">
        <f>'Core Loads'!F137</f>
        <v>246000.56255573398</v>
      </c>
      <c r="G137" s="79">
        <f>'Core Loads'!G137</f>
        <v>246000.56255573398</v>
      </c>
      <c r="H137" s="79">
        <f>'Core Loads'!H137</f>
        <v>123860.82894439333</v>
      </c>
      <c r="I137" s="79">
        <f>'Core Loads'!I137</f>
        <v>123860.82894439333</v>
      </c>
      <c r="J137" s="79">
        <f>'Core Loads'!J137</f>
        <v>117292.51387315</v>
      </c>
      <c r="K137" s="79">
        <f>'Core Loads'!K137</f>
        <v>117292.51387315</v>
      </c>
      <c r="L137" s="79">
        <f>'Core Loads'!L137</f>
        <v>117292.51387315</v>
      </c>
      <c r="M137" s="79">
        <f>'Core Loads'!M137</f>
        <v>117292.51387315</v>
      </c>
      <c r="N137" s="79">
        <f>'Core Loads'!N137</f>
        <v>117292.51387315</v>
      </c>
      <c r="O137" s="79">
        <f>'Core Loads'!O137</f>
        <v>117292.51387315</v>
      </c>
      <c r="P137" s="79">
        <f>'Core Loads'!P137</f>
        <v>117292.51387315</v>
      </c>
      <c r="Q137" s="79">
        <f>'Core Loads'!Q137</f>
        <v>0</v>
      </c>
      <c r="R137" s="79">
        <f>'Core Loads'!R137</f>
        <v>0</v>
      </c>
      <c r="S137" s="79">
        <f>'Core Loads'!S137</f>
        <v>0</v>
      </c>
      <c r="T137" s="79">
        <f>'Core Loads'!T137</f>
        <v>0</v>
      </c>
      <c r="U137" s="79">
        <f>'Core Loads'!U137</f>
        <v>0</v>
      </c>
      <c r="V137" s="79">
        <f>'Core Loads'!V137</f>
        <v>0</v>
      </c>
      <c r="W137" s="79">
        <f>'Core Loads'!W137</f>
        <v>0</v>
      </c>
      <c r="X137" s="79">
        <f>'Core Loads'!X137</f>
        <v>0</v>
      </c>
      <c r="Y137" s="79">
        <f>'Core Loads'!Y137</f>
        <v>0</v>
      </c>
      <c r="Z137" s="79">
        <f>'Core Loads'!Z137</f>
        <v>0</v>
      </c>
      <c r="AA137" s="79">
        <f>'Core Loads'!AA137</f>
        <v>0</v>
      </c>
      <c r="AB137" s="79">
        <f>'Core Loads'!AB137</f>
        <v>0</v>
      </c>
      <c r="AC137" s="79">
        <f>'Core Loads'!AC137</f>
        <v>0</v>
      </c>
      <c r="AD137" s="79">
        <f>'Core Loads'!AD137</f>
        <v>0</v>
      </c>
      <c r="AE137" s="79">
        <f>'Core Loads'!AE137</f>
        <v>0</v>
      </c>
      <c r="AF137" s="79">
        <f>'Core Loads'!AF137</f>
        <v>0</v>
      </c>
      <c r="AG137"/>
      <c r="AH137" s="17" t="s">
        <v>279</v>
      </c>
    </row>
    <row r="138" spans="2:35" customFormat="1" hidden="1" outlineLevel="1" x14ac:dyDescent="0.25">
      <c r="B138" s="31" t="s">
        <v>145</v>
      </c>
      <c r="C138" s="79">
        <f>'Core Loads'!C138</f>
        <v>98109.353104549853</v>
      </c>
      <c r="D138" s="79">
        <f>'Core Loads'!D138</f>
        <v>98109.353104549853</v>
      </c>
      <c r="E138" s="79">
        <f>'Core Loads'!E138</f>
        <v>98109.353104549853</v>
      </c>
      <c r="F138" s="79">
        <f>'Core Loads'!F138</f>
        <v>98109.353104549853</v>
      </c>
      <c r="G138" s="79">
        <f>'Core Loads'!G138</f>
        <v>98109.353104549853</v>
      </c>
      <c r="H138" s="79">
        <f>'Core Loads'!H138</f>
        <v>98109.353104549853</v>
      </c>
      <c r="I138" s="79">
        <f>'Core Loads'!I138</f>
        <v>98109.353104549853</v>
      </c>
      <c r="J138" s="79">
        <f>'Core Loads'!J138</f>
        <v>98109.353104549853</v>
      </c>
      <c r="K138" s="79">
        <f>'Core Loads'!K138</f>
        <v>98109.353104549853</v>
      </c>
      <c r="L138" s="79">
        <f>'Core Loads'!L138</f>
        <v>87477.430959262143</v>
      </c>
      <c r="M138" s="79">
        <f>'Core Loads'!M138</f>
        <v>27483.61568437548</v>
      </c>
      <c r="N138" s="79">
        <f>'Core Loads'!N138</f>
        <v>27483.61568437548</v>
      </c>
      <c r="O138" s="79">
        <f>'Core Loads'!O138</f>
        <v>27483.61568437548</v>
      </c>
      <c r="P138" s="79">
        <f>'Core Loads'!P138</f>
        <v>27483.61568437548</v>
      </c>
      <c r="Q138" s="79">
        <f>'Core Loads'!Q138</f>
        <v>0</v>
      </c>
      <c r="R138" s="79">
        <f>'Core Loads'!R138</f>
        <v>0</v>
      </c>
      <c r="S138" s="79">
        <f>'Core Loads'!S138</f>
        <v>0</v>
      </c>
      <c r="T138" s="79">
        <f>'Core Loads'!T138</f>
        <v>0</v>
      </c>
      <c r="U138" s="79">
        <f>'Core Loads'!U138</f>
        <v>0</v>
      </c>
      <c r="V138" s="79">
        <f>'Core Loads'!V138</f>
        <v>0</v>
      </c>
      <c r="W138" s="79">
        <f>'Core Loads'!W138</f>
        <v>0</v>
      </c>
      <c r="X138" s="79">
        <f>'Core Loads'!X138</f>
        <v>0</v>
      </c>
      <c r="Y138" s="79">
        <f>'Core Loads'!Y138</f>
        <v>0</v>
      </c>
      <c r="Z138" s="79">
        <f>'Core Loads'!Z138</f>
        <v>0</v>
      </c>
      <c r="AA138" s="79">
        <f>'Core Loads'!AA138</f>
        <v>0</v>
      </c>
      <c r="AB138" s="79">
        <f>'Core Loads'!AB138</f>
        <v>0</v>
      </c>
      <c r="AC138" s="79">
        <f>'Core Loads'!AC138</f>
        <v>0</v>
      </c>
      <c r="AD138" s="79">
        <f>'Core Loads'!AD138</f>
        <v>0</v>
      </c>
      <c r="AE138" s="79">
        <f>'Core Loads'!AE138</f>
        <v>0</v>
      </c>
      <c r="AF138" s="79">
        <f>'Core Loads'!AF138</f>
        <v>0</v>
      </c>
      <c r="AH138" s="17" t="s">
        <v>279</v>
      </c>
    </row>
    <row r="139" spans="2:35" hidden="1" outlineLevel="1" x14ac:dyDescent="0.25">
      <c r="B139" s="31" t="s">
        <v>244</v>
      </c>
      <c r="C139" s="79">
        <f>'Core Loads'!C139</f>
        <v>249408.4642786741</v>
      </c>
      <c r="D139" s="79">
        <f>'Core Loads'!D139</f>
        <v>249408.4642786741</v>
      </c>
      <c r="E139" s="79">
        <f>'Core Loads'!E139</f>
        <v>249408.4642786741</v>
      </c>
      <c r="F139" s="79">
        <f>'Core Loads'!F139</f>
        <v>271089.76978868787</v>
      </c>
      <c r="G139" s="79">
        <f>'Core Loads'!G139</f>
        <v>271089.76978868787</v>
      </c>
      <c r="H139" s="79">
        <f>'Core Loads'!H139</f>
        <v>187952.94349475898</v>
      </c>
      <c r="I139" s="79">
        <f>'Core Loads'!I139</f>
        <v>187952.94349475898</v>
      </c>
      <c r="J139" s="79">
        <f>'Core Loads'!J139</f>
        <v>171672.21498687367</v>
      </c>
      <c r="K139" s="79">
        <f>'Core Loads'!K139</f>
        <v>171672.21498687367</v>
      </c>
      <c r="L139" s="79">
        <f>'Core Loads'!L139</f>
        <v>171672.21498687367</v>
      </c>
      <c r="M139" s="79">
        <f>'Core Loads'!M139</f>
        <v>113062.31570500447</v>
      </c>
      <c r="N139" s="79">
        <f>'Core Loads'!N139</f>
        <v>104812.76242806211</v>
      </c>
      <c r="O139" s="79">
        <f>'Core Loads'!O139</f>
        <v>104812.76242806211</v>
      </c>
      <c r="P139" s="79">
        <f>'Core Loads'!P139</f>
        <v>102917.31749667216</v>
      </c>
      <c r="Q139" s="79">
        <f>'Core Loads'!Q139</f>
        <v>0</v>
      </c>
      <c r="R139" s="79">
        <f>'Core Loads'!R139</f>
        <v>0</v>
      </c>
      <c r="S139" s="79">
        <f>'Core Loads'!S139</f>
        <v>0</v>
      </c>
      <c r="T139" s="79">
        <f>'Core Loads'!T139</f>
        <v>0</v>
      </c>
      <c r="U139" s="79">
        <f>'Core Loads'!U139</f>
        <v>0</v>
      </c>
      <c r="V139" s="79">
        <f>'Core Loads'!V139</f>
        <v>0</v>
      </c>
      <c r="W139" s="79">
        <f>'Core Loads'!W139</f>
        <v>0</v>
      </c>
      <c r="X139" s="79">
        <f>'Core Loads'!X139</f>
        <v>0</v>
      </c>
      <c r="Y139" s="79">
        <f>'Core Loads'!Y139</f>
        <v>0</v>
      </c>
      <c r="Z139" s="79">
        <f>'Core Loads'!Z139</f>
        <v>0</v>
      </c>
      <c r="AA139" s="79">
        <f>'Core Loads'!AA139</f>
        <v>0</v>
      </c>
      <c r="AB139" s="79">
        <f>'Core Loads'!AB139</f>
        <v>0</v>
      </c>
      <c r="AC139" s="79">
        <f>'Core Loads'!AC139</f>
        <v>0</v>
      </c>
      <c r="AD139" s="79">
        <f>'Core Loads'!AD139</f>
        <v>0</v>
      </c>
      <c r="AE139" s="79">
        <f>'Core Loads'!AE139</f>
        <v>0</v>
      </c>
      <c r="AF139" s="79">
        <f>'Core Loads'!AF139</f>
        <v>0</v>
      </c>
      <c r="AG139"/>
      <c r="AH139" s="17" t="s">
        <v>279</v>
      </c>
    </row>
    <row r="140" spans="2:35" hidden="1" outlineLevel="1" x14ac:dyDescent="0.25">
      <c r="B140" s="31" t="s">
        <v>147</v>
      </c>
      <c r="C140" s="79">
        <f>'Core Loads'!C140</f>
        <v>0</v>
      </c>
      <c r="D140" s="79">
        <f>'Core Loads'!D140</f>
        <v>0</v>
      </c>
      <c r="E140" s="79">
        <f>'Core Loads'!E140</f>
        <v>0</v>
      </c>
      <c r="F140" s="79">
        <f>'Core Loads'!F140</f>
        <v>0</v>
      </c>
      <c r="G140" s="79">
        <f>'Core Loads'!G140</f>
        <v>0</v>
      </c>
      <c r="H140" s="79">
        <f>'Core Loads'!H140</f>
        <v>0</v>
      </c>
      <c r="I140" s="79">
        <f>'Core Loads'!I140</f>
        <v>0</v>
      </c>
      <c r="J140" s="79">
        <f>'Core Loads'!J140</f>
        <v>0</v>
      </c>
      <c r="K140" s="79">
        <f>'Core Loads'!K140</f>
        <v>0</v>
      </c>
      <c r="L140" s="79">
        <f>'Core Loads'!L140</f>
        <v>0</v>
      </c>
      <c r="M140" s="79">
        <f>'Core Loads'!M140</f>
        <v>0</v>
      </c>
      <c r="N140" s="79">
        <f>'Core Loads'!N140</f>
        <v>0</v>
      </c>
      <c r="O140" s="79">
        <f>'Core Loads'!O140</f>
        <v>0</v>
      </c>
      <c r="P140" s="79">
        <f>'Core Loads'!P140</f>
        <v>0</v>
      </c>
      <c r="Q140" s="79">
        <f>'Core Loads'!Q140</f>
        <v>0</v>
      </c>
      <c r="R140" s="79">
        <f>'Core Loads'!R140</f>
        <v>0</v>
      </c>
      <c r="S140" s="79">
        <f>'Core Loads'!S140</f>
        <v>0</v>
      </c>
      <c r="T140" s="79">
        <f>'Core Loads'!T140</f>
        <v>0</v>
      </c>
      <c r="U140" s="79">
        <f>'Core Loads'!U140</f>
        <v>0</v>
      </c>
      <c r="V140" s="79">
        <f>'Core Loads'!V140</f>
        <v>0</v>
      </c>
      <c r="W140" s="79">
        <f>'Core Loads'!W140</f>
        <v>0</v>
      </c>
      <c r="X140" s="79">
        <f>'Core Loads'!X140</f>
        <v>0</v>
      </c>
      <c r="Y140" s="79">
        <f>'Core Loads'!Y140</f>
        <v>0</v>
      </c>
      <c r="Z140" s="79">
        <f>'Core Loads'!Z140</f>
        <v>0</v>
      </c>
      <c r="AA140" s="79">
        <f>'Core Loads'!AA140</f>
        <v>0</v>
      </c>
      <c r="AB140" s="79">
        <f>'Core Loads'!AB140</f>
        <v>0</v>
      </c>
      <c r="AC140" s="79">
        <f>'Core Loads'!AC140</f>
        <v>0</v>
      </c>
      <c r="AD140" s="79">
        <f>'Core Loads'!AD140</f>
        <v>0</v>
      </c>
      <c r="AE140" s="79">
        <f>'Core Loads'!AE140</f>
        <v>0</v>
      </c>
      <c r="AF140" s="79">
        <f>'Core Loads'!AF140</f>
        <v>0</v>
      </c>
      <c r="AG140"/>
      <c r="AH140" s="17" t="s">
        <v>279</v>
      </c>
    </row>
    <row r="141" spans="2:35" hidden="1" outlineLevel="1" x14ac:dyDescent="0.25">
      <c r="B141" s="31" t="s">
        <v>245</v>
      </c>
      <c r="C141" s="79">
        <f>'Core Loads'!C141</f>
        <v>15010.998282483361</v>
      </c>
      <c r="D141" s="79">
        <f>'Core Loads'!D141</f>
        <v>15010.998282483361</v>
      </c>
      <c r="E141" s="79">
        <f>'Core Loads'!E141</f>
        <v>15010.998282483361</v>
      </c>
      <c r="F141" s="79">
        <f>'Core Loads'!F141</f>
        <v>15010.998282483361</v>
      </c>
      <c r="G141" s="79">
        <f>'Core Loads'!G141</f>
        <v>15010.998282483361</v>
      </c>
      <c r="H141" s="79">
        <f>'Core Loads'!H141</f>
        <v>15010.998282483361</v>
      </c>
      <c r="I141" s="79">
        <f>'Core Loads'!I141</f>
        <v>15010.998282483361</v>
      </c>
      <c r="J141" s="79">
        <f>'Core Loads'!J141</f>
        <v>15010.998282483361</v>
      </c>
      <c r="K141" s="79">
        <f>'Core Loads'!K141</f>
        <v>15010.998282483361</v>
      </c>
      <c r="L141" s="79">
        <f>'Core Loads'!L141</f>
        <v>15010.998282483361</v>
      </c>
      <c r="M141" s="79">
        <f>'Core Loads'!M141</f>
        <v>15010.998282483361</v>
      </c>
      <c r="N141" s="79">
        <f>'Core Loads'!N141</f>
        <v>13436.692112233934</v>
      </c>
      <c r="O141" s="79">
        <f>'Core Loads'!O141</f>
        <v>13436.692112233934</v>
      </c>
      <c r="P141" s="79">
        <f>'Core Loads'!P141</f>
        <v>13436.692112233934</v>
      </c>
      <c r="Q141" s="79">
        <f>'Core Loads'!Q141</f>
        <v>0</v>
      </c>
      <c r="R141" s="79">
        <f>'Core Loads'!R141</f>
        <v>0</v>
      </c>
      <c r="S141" s="79">
        <f>'Core Loads'!S141</f>
        <v>0</v>
      </c>
      <c r="T141" s="79">
        <f>'Core Loads'!T141</f>
        <v>0</v>
      </c>
      <c r="U141" s="79">
        <f>'Core Loads'!U141</f>
        <v>0</v>
      </c>
      <c r="V141" s="79">
        <f>'Core Loads'!V141</f>
        <v>0</v>
      </c>
      <c r="W141" s="79">
        <f>'Core Loads'!W141</f>
        <v>0</v>
      </c>
      <c r="X141" s="79">
        <f>'Core Loads'!X141</f>
        <v>0</v>
      </c>
      <c r="Y141" s="79">
        <f>'Core Loads'!Y141</f>
        <v>0</v>
      </c>
      <c r="Z141" s="79">
        <f>'Core Loads'!Z141</f>
        <v>0</v>
      </c>
      <c r="AA141" s="79">
        <f>'Core Loads'!AA141</f>
        <v>0</v>
      </c>
      <c r="AB141" s="79">
        <f>'Core Loads'!AB141</f>
        <v>0</v>
      </c>
      <c r="AC141" s="79">
        <f>'Core Loads'!AC141</f>
        <v>0</v>
      </c>
      <c r="AD141" s="79">
        <f>'Core Loads'!AD141</f>
        <v>0</v>
      </c>
      <c r="AE141" s="79">
        <f>'Core Loads'!AE141</f>
        <v>0</v>
      </c>
      <c r="AF141" s="79">
        <f>'Core Loads'!AF141</f>
        <v>0</v>
      </c>
      <c r="AG141"/>
      <c r="AH141" s="17" t="s">
        <v>279</v>
      </c>
    </row>
    <row r="142" spans="2:35" hidden="1" outlineLevel="1" x14ac:dyDescent="0.25">
      <c r="B142" s="31" t="s">
        <v>149</v>
      </c>
      <c r="C142" s="79">
        <f>'Core Loads'!C142</f>
        <v>638166.49500523799</v>
      </c>
      <c r="D142" s="79">
        <f>'Core Loads'!D142</f>
        <v>638166.49500523799</v>
      </c>
      <c r="E142" s="79">
        <f>'Core Loads'!E142</f>
        <v>638166.49500523799</v>
      </c>
      <c r="F142" s="79">
        <f>'Core Loads'!F142</f>
        <v>630210.68373145501</v>
      </c>
      <c r="G142" s="79">
        <f>'Core Loads'!G142</f>
        <v>630210.68373145501</v>
      </c>
      <c r="H142" s="79">
        <f>'Core Loads'!H142</f>
        <v>424934.12382618553</v>
      </c>
      <c r="I142" s="79">
        <f>'Core Loads'!I142</f>
        <v>424934.12382618553</v>
      </c>
      <c r="J142" s="79">
        <f>'Core Loads'!J142</f>
        <v>402085.0802470569</v>
      </c>
      <c r="K142" s="79">
        <f>'Core Loads'!K142</f>
        <v>402085.0802470569</v>
      </c>
      <c r="L142" s="79">
        <f>'Core Loads'!L142</f>
        <v>391453.15810176922</v>
      </c>
      <c r="M142" s="79">
        <f>'Core Loads'!M142</f>
        <v>272849.44354501332</v>
      </c>
      <c r="N142" s="79">
        <f>'Core Loads'!N142</f>
        <v>263025.58409782156</v>
      </c>
      <c r="O142" s="79">
        <f>'Core Loads'!O142</f>
        <v>263025.58409782156</v>
      </c>
      <c r="P142" s="79">
        <f>'Core Loads'!P142</f>
        <v>261130.13916643156</v>
      </c>
      <c r="Q142" s="79">
        <f>'Core Loads'!Q142</f>
        <v>0</v>
      </c>
      <c r="R142" s="79">
        <f>'Core Loads'!R142</f>
        <v>0</v>
      </c>
      <c r="S142" s="79">
        <f>'Core Loads'!S142</f>
        <v>0</v>
      </c>
      <c r="T142" s="79">
        <f>'Core Loads'!T142</f>
        <v>0</v>
      </c>
      <c r="U142" s="79">
        <f>'Core Loads'!U142</f>
        <v>0</v>
      </c>
      <c r="V142" s="79">
        <f>'Core Loads'!V142</f>
        <v>0</v>
      </c>
      <c r="W142" s="79">
        <f>'Core Loads'!W142</f>
        <v>0</v>
      </c>
      <c r="X142" s="79">
        <f>'Core Loads'!X142</f>
        <v>0</v>
      </c>
      <c r="Y142" s="79">
        <f>'Core Loads'!Y142</f>
        <v>0</v>
      </c>
      <c r="Z142" s="79">
        <f>'Core Loads'!Z142</f>
        <v>0</v>
      </c>
      <c r="AA142" s="79">
        <f>'Core Loads'!AA142</f>
        <v>0</v>
      </c>
      <c r="AB142" s="79">
        <f>'Core Loads'!AB142</f>
        <v>0</v>
      </c>
      <c r="AC142" s="79">
        <f>'Core Loads'!AC142</f>
        <v>0</v>
      </c>
      <c r="AD142" s="79">
        <f>'Core Loads'!AD142</f>
        <v>0</v>
      </c>
      <c r="AE142" s="79">
        <f>'Core Loads'!AE142</f>
        <v>0</v>
      </c>
      <c r="AF142" s="79">
        <f>'Core Loads'!AF142</f>
        <v>0</v>
      </c>
      <c r="AG142"/>
      <c r="AH142" s="17" t="s">
        <v>279</v>
      </c>
    </row>
    <row r="143" spans="2:35" hidden="1" outlineLevel="1" x14ac:dyDescent="0.25">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row>
    <row r="144" spans="2:35" ht="15.75" hidden="1" outlineLevel="1" thickBot="1" x14ac:dyDescent="0.3">
      <c r="B144" s="28" t="s">
        <v>280</v>
      </c>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0"/>
      <c r="AH144" s="20" t="s">
        <v>15</v>
      </c>
    </row>
    <row r="145" spans="2:34" customFormat="1" hidden="1" outlineLevel="1" x14ac:dyDescent="0.25">
      <c r="B145" s="30"/>
      <c r="C145" s="17">
        <v>2025</v>
      </c>
      <c r="D145" s="44">
        <v>2026</v>
      </c>
      <c r="E145" s="44">
        <v>2027</v>
      </c>
      <c r="F145" s="44">
        <v>2028</v>
      </c>
      <c r="G145" s="44">
        <v>2029</v>
      </c>
      <c r="H145" s="44">
        <v>2030</v>
      </c>
      <c r="I145" s="44">
        <v>2031</v>
      </c>
      <c r="J145" s="44">
        <v>2032</v>
      </c>
      <c r="K145" s="44">
        <v>2033</v>
      </c>
      <c r="L145" s="44">
        <v>2034</v>
      </c>
      <c r="M145" s="44">
        <v>2035</v>
      </c>
      <c r="N145" s="44">
        <v>2036</v>
      </c>
      <c r="O145" s="44">
        <v>2037</v>
      </c>
      <c r="P145" s="44">
        <v>2038</v>
      </c>
      <c r="Q145" s="44">
        <v>2039</v>
      </c>
      <c r="R145" s="44">
        <v>2040</v>
      </c>
      <c r="S145" s="44">
        <v>2041</v>
      </c>
      <c r="T145" s="44">
        <v>2042</v>
      </c>
      <c r="U145" s="44">
        <v>2043</v>
      </c>
      <c r="V145" s="44">
        <v>2044</v>
      </c>
      <c r="W145" s="44">
        <v>2045</v>
      </c>
      <c r="X145" s="44">
        <v>2046</v>
      </c>
      <c r="Y145" s="44">
        <v>2047</v>
      </c>
      <c r="Z145" s="44">
        <v>2048</v>
      </c>
      <c r="AA145" s="44">
        <v>2049</v>
      </c>
      <c r="AB145" s="44">
        <v>2050</v>
      </c>
      <c r="AC145" s="44">
        <v>2051</v>
      </c>
      <c r="AD145" s="44">
        <v>2052</v>
      </c>
      <c r="AE145" s="44">
        <v>2053</v>
      </c>
      <c r="AF145" s="44">
        <v>2054</v>
      </c>
      <c r="AH145" s="1"/>
    </row>
    <row r="146" spans="2:34" hidden="1" outlineLevel="1" x14ac:dyDescent="0.25">
      <c r="B146" s="31" t="s">
        <v>144</v>
      </c>
      <c r="C146" s="79">
        <f>'Core Loads'!C146</f>
        <v>66604.971681256866</v>
      </c>
      <c r="D146" s="79">
        <f>'Core Loads'!D146</f>
        <v>66604.971681256866</v>
      </c>
      <c r="E146" s="79">
        <f>'Core Loads'!E146</f>
        <v>66604.971681256866</v>
      </c>
      <c r="F146" s="79">
        <f>'Core Loads'!F146</f>
        <v>59602.739540276838</v>
      </c>
      <c r="G146" s="79">
        <f>'Core Loads'!G146</f>
        <v>59602.739540276838</v>
      </c>
      <c r="H146" s="79">
        <f>'Core Loads'!H146</f>
        <v>177346.97958495078</v>
      </c>
      <c r="I146" s="79">
        <f>'Core Loads'!I146</f>
        <v>177346.97958495078</v>
      </c>
      <c r="J146" s="79">
        <f>'Core Loads'!J146</f>
        <v>174653.14817234574</v>
      </c>
      <c r="K146" s="79">
        <f>'Core Loads'!K146</f>
        <v>174653.14817234574</v>
      </c>
      <c r="L146" s="79">
        <f>'Core Loads'!L146</f>
        <v>174653.14817234574</v>
      </c>
      <c r="M146" s="79">
        <f>'Core Loads'!M146</f>
        <v>174653.14817234574</v>
      </c>
      <c r="N146" s="79">
        <f>'Core Loads'!N146</f>
        <v>174653.14817234574</v>
      </c>
      <c r="O146" s="79">
        <f>'Core Loads'!O146</f>
        <v>174653.14817234574</v>
      </c>
      <c r="P146" s="79">
        <f>'Core Loads'!P146</f>
        <v>174653.14817234574</v>
      </c>
      <c r="Q146" s="79">
        <f>'Core Loads'!Q146</f>
        <v>291945.6620454957</v>
      </c>
      <c r="R146" s="79">
        <f>'Core Loads'!R146</f>
        <v>291945.6620454957</v>
      </c>
      <c r="S146" s="79">
        <f>'Core Loads'!S146</f>
        <v>291945.6620454957</v>
      </c>
      <c r="T146" s="79">
        <f>'Core Loads'!T146</f>
        <v>291945.6620454957</v>
      </c>
      <c r="U146" s="79">
        <f>'Core Loads'!U146</f>
        <v>291945.6620454957</v>
      </c>
      <c r="V146" s="79">
        <f>'Core Loads'!V146</f>
        <v>291945.6620454957</v>
      </c>
      <c r="W146" s="79">
        <f>'Core Loads'!W146</f>
        <v>291945.6620454957</v>
      </c>
      <c r="X146" s="79">
        <f>'Core Loads'!X146</f>
        <v>291945.6620454957</v>
      </c>
      <c r="Y146" s="79">
        <f>'Core Loads'!Y146</f>
        <v>291945.6620454957</v>
      </c>
      <c r="Z146" s="79">
        <f>'Core Loads'!Z146</f>
        <v>291945.6620454957</v>
      </c>
      <c r="AA146" s="79">
        <f>'Core Loads'!AA146</f>
        <v>291945.6620454957</v>
      </c>
      <c r="AB146" s="79">
        <f>'Core Loads'!AB146</f>
        <v>291945.6620454957</v>
      </c>
      <c r="AC146" s="79">
        <f>'Core Loads'!AC146</f>
        <v>291945.6620454957</v>
      </c>
      <c r="AD146" s="79">
        <f>'Core Loads'!AD146</f>
        <v>291945.6620454957</v>
      </c>
      <c r="AE146" s="79">
        <f>'Core Loads'!AE146</f>
        <v>291945.6620454957</v>
      </c>
      <c r="AF146" s="79">
        <f>'Core Loads'!AF146</f>
        <v>291945.6620454957</v>
      </c>
      <c r="AG146"/>
      <c r="AH146" s="17" t="s">
        <v>279</v>
      </c>
    </row>
    <row r="147" spans="2:34" hidden="1" outlineLevel="1" x14ac:dyDescent="0.25">
      <c r="B147" s="31" t="s">
        <v>145</v>
      </c>
      <c r="C147" s="79">
        <f>'Core Loads'!C147</f>
        <v>0</v>
      </c>
      <c r="D147" s="79">
        <f>'Core Loads'!D147</f>
        <v>0</v>
      </c>
      <c r="E147" s="79">
        <f>'Core Loads'!E147</f>
        <v>0</v>
      </c>
      <c r="F147" s="79">
        <f>'Core Loads'!F147</f>
        <v>0</v>
      </c>
      <c r="G147" s="79">
        <f>'Core Loads'!G147</f>
        <v>0</v>
      </c>
      <c r="H147" s="79">
        <f>'Core Loads'!H147</f>
        <v>0</v>
      </c>
      <c r="I147" s="79">
        <f>'Core Loads'!I147</f>
        <v>0</v>
      </c>
      <c r="J147" s="79">
        <f>'Core Loads'!J147</f>
        <v>0</v>
      </c>
      <c r="K147" s="79">
        <f>'Core Loads'!K147</f>
        <v>0</v>
      </c>
      <c r="L147" s="79">
        <f>'Core Loads'!L147</f>
        <v>0</v>
      </c>
      <c r="M147" s="79">
        <f>'Core Loads'!M147</f>
        <v>59993.815274886685</v>
      </c>
      <c r="N147" s="79">
        <f>'Core Loads'!N147</f>
        <v>59993.815274886685</v>
      </c>
      <c r="O147" s="79">
        <f>'Core Loads'!O147</f>
        <v>59993.815274886685</v>
      </c>
      <c r="P147" s="79">
        <f>'Core Loads'!P147</f>
        <v>59803.901914851333</v>
      </c>
      <c r="Q147" s="79">
        <f>'Core Loads'!Q147</f>
        <v>87287.517599226805</v>
      </c>
      <c r="R147" s="79">
        <f>'Core Loads'!R147</f>
        <v>86872.013217632499</v>
      </c>
      <c r="S147" s="79">
        <f>'Core Loads'!S147</f>
        <v>86872.013217632499</v>
      </c>
      <c r="T147" s="79">
        <f>'Core Loads'!T147</f>
        <v>85195.012122318236</v>
      </c>
      <c r="U147" s="79">
        <f>'Core Loads'!U147</f>
        <v>85195.012122318236</v>
      </c>
      <c r="V147" s="79">
        <f>'Core Loads'!V147</f>
        <v>85195.012122318236</v>
      </c>
      <c r="W147" s="79">
        <f>'Core Loads'!W147</f>
        <v>85195.012122318236</v>
      </c>
      <c r="X147" s="79">
        <f>'Core Loads'!X147</f>
        <v>85195.012122318236</v>
      </c>
      <c r="Y147" s="79">
        <f>'Core Loads'!Y147</f>
        <v>85195.012122318236</v>
      </c>
      <c r="Z147" s="79">
        <f>'Core Loads'!Z147</f>
        <v>85195.012122318236</v>
      </c>
      <c r="AA147" s="79">
        <f>'Core Loads'!AA147</f>
        <v>85195.012122318236</v>
      </c>
      <c r="AB147" s="79">
        <f>'Core Loads'!AB147</f>
        <v>83077.009532805183</v>
      </c>
      <c r="AC147" s="79">
        <f>'Core Loads'!AC147</f>
        <v>83077.009532805183</v>
      </c>
      <c r="AD147" s="79">
        <f>'Core Loads'!AD147</f>
        <v>83077.009532805183</v>
      </c>
      <c r="AE147" s="79">
        <f>'Core Loads'!AE147</f>
        <v>83077.009532805183</v>
      </c>
      <c r="AF147" s="79">
        <f>'Core Loads'!AF147</f>
        <v>83077.009532805183</v>
      </c>
      <c r="AG147"/>
      <c r="AH147" s="17" t="s">
        <v>279</v>
      </c>
    </row>
    <row r="148" spans="2:34" hidden="1" outlineLevel="1" x14ac:dyDescent="0.25">
      <c r="B148" s="31" t="s">
        <v>244</v>
      </c>
      <c r="C148" s="79">
        <f>'Core Loads'!C148</f>
        <v>0</v>
      </c>
      <c r="D148" s="79">
        <f>'Core Loads'!D148</f>
        <v>0</v>
      </c>
      <c r="E148" s="79">
        <f>'Core Loads'!E148</f>
        <v>0</v>
      </c>
      <c r="F148" s="79">
        <f>'Core Loads'!F148</f>
        <v>0</v>
      </c>
      <c r="G148" s="79">
        <f>'Core Loads'!G148</f>
        <v>0</v>
      </c>
      <c r="H148" s="79">
        <f>'Core Loads'!H148</f>
        <v>76610.496577850339</v>
      </c>
      <c r="I148" s="79">
        <f>'Core Loads'!I148</f>
        <v>76610.496577850339</v>
      </c>
      <c r="J148" s="79">
        <f>'Core Loads'!J148</f>
        <v>69797.309779475749</v>
      </c>
      <c r="K148" s="79">
        <f>'Core Loads'!K148</f>
        <v>69797.309779475749</v>
      </c>
      <c r="L148" s="79">
        <f>'Core Loads'!L148</f>
        <v>69797.309779475749</v>
      </c>
      <c r="M148" s="79">
        <f>'Core Loads'!M148</f>
        <v>128407.20906134494</v>
      </c>
      <c r="N148" s="79">
        <f>'Core Loads'!N148</f>
        <v>123348.12789020545</v>
      </c>
      <c r="O148" s="79">
        <f>'Core Loads'!O148</f>
        <v>123348.12789020545</v>
      </c>
      <c r="P148" s="79">
        <f>'Core Loads'!P148</f>
        <v>122177.33848223498</v>
      </c>
      <c r="Q148" s="79">
        <f>'Core Loads'!Q148</f>
        <v>225094.6559789071</v>
      </c>
      <c r="R148" s="79">
        <f>'Core Loads'!R148</f>
        <v>231209.69947117515</v>
      </c>
      <c r="S148" s="79">
        <f>'Core Loads'!S148</f>
        <v>231209.69947117515</v>
      </c>
      <c r="T148" s="79">
        <f>'Core Loads'!T148</f>
        <v>231209.69947117515</v>
      </c>
      <c r="U148" s="79">
        <f>'Core Loads'!U148</f>
        <v>231209.69947117515</v>
      </c>
      <c r="V148" s="79">
        <f>'Core Loads'!V148</f>
        <v>229096.82281032932</v>
      </c>
      <c r="W148" s="79">
        <f>'Core Loads'!W148</f>
        <v>229096.82281032932</v>
      </c>
      <c r="X148" s="79">
        <f>'Core Loads'!X148</f>
        <v>229096.82281032932</v>
      </c>
      <c r="Y148" s="79">
        <f>'Core Loads'!Y148</f>
        <v>229096.82281032932</v>
      </c>
      <c r="Z148" s="79">
        <f>'Core Loads'!Z148</f>
        <v>229096.82281032932</v>
      </c>
      <c r="AA148" s="79">
        <f>'Core Loads'!AA148</f>
        <v>229096.82281032932</v>
      </c>
      <c r="AB148" s="79">
        <f>'Core Loads'!AB148</f>
        <v>229096.82281032932</v>
      </c>
      <c r="AC148" s="79">
        <f>'Core Loads'!AC148</f>
        <v>229096.82281032932</v>
      </c>
      <c r="AD148" s="79">
        <f>'Core Loads'!AD148</f>
        <v>229096.82281032932</v>
      </c>
      <c r="AE148" s="79">
        <f>'Core Loads'!AE148</f>
        <v>229096.82281032932</v>
      </c>
      <c r="AF148" s="79">
        <f>'Core Loads'!AF148</f>
        <v>229096.82281032932</v>
      </c>
      <c r="AG148"/>
      <c r="AH148" s="17" t="s">
        <v>279</v>
      </c>
    </row>
    <row r="149" spans="2:34" hidden="1" outlineLevel="1" x14ac:dyDescent="0.25">
      <c r="B149" s="31" t="s">
        <v>147</v>
      </c>
      <c r="C149" s="79">
        <f>'Core Loads'!C149</f>
        <v>0</v>
      </c>
      <c r="D149" s="79">
        <f>'Core Loads'!D149</f>
        <v>0</v>
      </c>
      <c r="E149" s="79">
        <f>'Core Loads'!E149</f>
        <v>0</v>
      </c>
      <c r="F149" s="79">
        <f>'Core Loads'!F149</f>
        <v>0</v>
      </c>
      <c r="G149" s="79">
        <f>'Core Loads'!G149</f>
        <v>0</v>
      </c>
      <c r="H149" s="79">
        <f>'Core Loads'!H149</f>
        <v>0</v>
      </c>
      <c r="I149" s="79">
        <f>'Core Loads'!I149</f>
        <v>0</v>
      </c>
      <c r="J149" s="79">
        <f>'Core Loads'!J149</f>
        <v>0</v>
      </c>
      <c r="K149" s="79">
        <f>'Core Loads'!K149</f>
        <v>0</v>
      </c>
      <c r="L149" s="79">
        <f>'Core Loads'!L149</f>
        <v>0</v>
      </c>
      <c r="M149" s="79">
        <f>'Core Loads'!M149</f>
        <v>0</v>
      </c>
      <c r="N149" s="79">
        <f>'Core Loads'!N149</f>
        <v>0</v>
      </c>
      <c r="O149" s="79">
        <f>'Core Loads'!O149</f>
        <v>0</v>
      </c>
      <c r="P149" s="79">
        <f>'Core Loads'!P149</f>
        <v>0</v>
      </c>
      <c r="Q149" s="79">
        <f>'Core Loads'!Q149</f>
        <v>0</v>
      </c>
      <c r="R149" s="79">
        <f>'Core Loads'!R149</f>
        <v>0</v>
      </c>
      <c r="S149" s="79">
        <f>'Core Loads'!S149</f>
        <v>0</v>
      </c>
      <c r="T149" s="79">
        <f>'Core Loads'!T149</f>
        <v>0</v>
      </c>
      <c r="U149" s="79">
        <f>'Core Loads'!U149</f>
        <v>0</v>
      </c>
      <c r="V149" s="79">
        <f>'Core Loads'!V149</f>
        <v>0</v>
      </c>
      <c r="W149" s="79">
        <f>'Core Loads'!W149</f>
        <v>0</v>
      </c>
      <c r="X149" s="79">
        <f>'Core Loads'!X149</f>
        <v>0</v>
      </c>
      <c r="Y149" s="79">
        <f>'Core Loads'!Y149</f>
        <v>0</v>
      </c>
      <c r="Z149" s="79">
        <f>'Core Loads'!Z149</f>
        <v>0</v>
      </c>
      <c r="AA149" s="79">
        <f>'Core Loads'!AA149</f>
        <v>0</v>
      </c>
      <c r="AB149" s="79">
        <f>'Core Loads'!AB149</f>
        <v>0</v>
      </c>
      <c r="AC149" s="79">
        <f>'Core Loads'!AC149</f>
        <v>0</v>
      </c>
      <c r="AD149" s="79">
        <f>'Core Loads'!AD149</f>
        <v>0</v>
      </c>
      <c r="AE149" s="79">
        <f>'Core Loads'!AE149</f>
        <v>0</v>
      </c>
      <c r="AF149" s="79">
        <f>'Core Loads'!AF149</f>
        <v>0</v>
      </c>
      <c r="AG149"/>
      <c r="AH149" s="17" t="s">
        <v>279</v>
      </c>
    </row>
    <row r="150" spans="2:34" hidden="1" outlineLevel="1" x14ac:dyDescent="0.25">
      <c r="B150" s="31" t="s">
        <v>245</v>
      </c>
      <c r="C150" s="79">
        <f>'Core Loads'!C150</f>
        <v>0</v>
      </c>
      <c r="D150" s="79">
        <f>'Core Loads'!D150</f>
        <v>0</v>
      </c>
      <c r="E150" s="79">
        <f>'Core Loads'!E150</f>
        <v>0</v>
      </c>
      <c r="F150" s="79">
        <f>'Core Loads'!F150</f>
        <v>0</v>
      </c>
      <c r="G150" s="79">
        <f>'Core Loads'!G150</f>
        <v>0</v>
      </c>
      <c r="H150" s="79">
        <f>'Core Loads'!H150</f>
        <v>0</v>
      </c>
      <c r="I150" s="79">
        <f>'Core Loads'!I150</f>
        <v>0</v>
      </c>
      <c r="J150" s="79">
        <f>'Core Loads'!J150</f>
        <v>0</v>
      </c>
      <c r="K150" s="79">
        <f>'Core Loads'!K150</f>
        <v>0</v>
      </c>
      <c r="L150" s="79">
        <f>'Core Loads'!L150</f>
        <v>0</v>
      </c>
      <c r="M150" s="79">
        <f>'Core Loads'!M150</f>
        <v>0</v>
      </c>
      <c r="N150" s="79">
        <f>'Core Loads'!N150</f>
        <v>0</v>
      </c>
      <c r="O150" s="79">
        <f>'Core Loads'!O150</f>
        <v>0</v>
      </c>
      <c r="P150" s="79">
        <f>'Core Loads'!P150</f>
        <v>0</v>
      </c>
      <c r="Q150" s="79">
        <f>'Core Loads'!Q150</f>
        <v>13436.692112233934</v>
      </c>
      <c r="R150" s="79">
        <f>'Core Loads'!R150</f>
        <v>51778.373813264858</v>
      </c>
      <c r="S150" s="79">
        <f>'Core Loads'!S150</f>
        <v>51778.373813264858</v>
      </c>
      <c r="T150" s="79">
        <f>'Core Loads'!T150</f>
        <v>51778.373813264858</v>
      </c>
      <c r="U150" s="79">
        <f>'Core Loads'!U150</f>
        <v>51778.373813264858</v>
      </c>
      <c r="V150" s="79">
        <f>'Core Loads'!V150</f>
        <v>51778.373813264858</v>
      </c>
      <c r="W150" s="79">
        <f>'Core Loads'!W150</f>
        <v>51778.373813264858</v>
      </c>
      <c r="X150" s="79">
        <f>'Core Loads'!X150</f>
        <v>51778.373813264858</v>
      </c>
      <c r="Y150" s="79">
        <f>'Core Loads'!Y150</f>
        <v>51778.373813264858</v>
      </c>
      <c r="Z150" s="79">
        <f>'Core Loads'!Z150</f>
        <v>51778.373813264858</v>
      </c>
      <c r="AA150" s="79">
        <f>'Core Loads'!AA150</f>
        <v>51778.373813264858</v>
      </c>
      <c r="AB150" s="79">
        <f>'Core Loads'!AB150</f>
        <v>51778.373813264858</v>
      </c>
      <c r="AC150" s="79">
        <f>'Core Loads'!AC150</f>
        <v>51778.373813264858</v>
      </c>
      <c r="AD150" s="79">
        <f>'Core Loads'!AD150</f>
        <v>51778.373813264858</v>
      </c>
      <c r="AE150" s="79">
        <f>'Core Loads'!AE150</f>
        <v>51778.373813264858</v>
      </c>
      <c r="AF150" s="79">
        <f>'Core Loads'!AF150</f>
        <v>51778.373813264858</v>
      </c>
      <c r="AG150"/>
      <c r="AH150" s="17" t="s">
        <v>279</v>
      </c>
    </row>
    <row r="151" spans="2:34" hidden="1" outlineLevel="1" x14ac:dyDescent="0.25">
      <c r="B151" s="31" t="s">
        <v>149</v>
      </c>
      <c r="C151" s="79">
        <f>'Core Loads'!C151</f>
        <v>66604.971681256866</v>
      </c>
      <c r="D151" s="79">
        <f>'Core Loads'!D151</f>
        <v>66604.971681256866</v>
      </c>
      <c r="E151" s="79">
        <f>'Core Loads'!E151</f>
        <v>66604.971681256866</v>
      </c>
      <c r="F151" s="79">
        <f>'Core Loads'!F151</f>
        <v>59602.739540276838</v>
      </c>
      <c r="G151" s="79">
        <f>'Core Loads'!G151</f>
        <v>59602.739540276838</v>
      </c>
      <c r="H151" s="79">
        <f>'Core Loads'!H151</f>
        <v>253957.47616280112</v>
      </c>
      <c r="I151" s="79">
        <f>'Core Loads'!I151</f>
        <v>253957.47616280112</v>
      </c>
      <c r="J151" s="79">
        <f>'Core Loads'!J151</f>
        <v>244450.4579518215</v>
      </c>
      <c r="K151" s="79">
        <f>'Core Loads'!K151</f>
        <v>244450.4579518215</v>
      </c>
      <c r="L151" s="79">
        <f>'Core Loads'!L151</f>
        <v>244450.4579518215</v>
      </c>
      <c r="M151" s="79">
        <f>'Core Loads'!M151</f>
        <v>363054.17250857735</v>
      </c>
      <c r="N151" s="79">
        <f>'Core Loads'!N151</f>
        <v>357995.09133743786</v>
      </c>
      <c r="O151" s="79">
        <f>'Core Loads'!O151</f>
        <v>357995.09133743786</v>
      </c>
      <c r="P151" s="79">
        <f>'Core Loads'!P151</f>
        <v>356634.38856943208</v>
      </c>
      <c r="Q151" s="79">
        <f>'Core Loads'!Q151</f>
        <v>617764.52773586358</v>
      </c>
      <c r="R151" s="79">
        <f>'Core Loads'!R151</f>
        <v>661805.74854756822</v>
      </c>
      <c r="S151" s="79">
        <f>'Core Loads'!S151</f>
        <v>661805.74854756822</v>
      </c>
      <c r="T151" s="79">
        <f>'Core Loads'!T151</f>
        <v>660128.74745225406</v>
      </c>
      <c r="U151" s="79">
        <f>'Core Loads'!U151</f>
        <v>660128.74745225406</v>
      </c>
      <c r="V151" s="79">
        <f>'Core Loads'!V151</f>
        <v>658015.87079140812</v>
      </c>
      <c r="W151" s="79">
        <f>'Core Loads'!W151</f>
        <v>658015.87079140812</v>
      </c>
      <c r="X151" s="79">
        <f>'Core Loads'!X151</f>
        <v>658015.87079140812</v>
      </c>
      <c r="Y151" s="79">
        <f>'Core Loads'!Y151</f>
        <v>658015.87079140812</v>
      </c>
      <c r="Z151" s="79">
        <f>'Core Loads'!Z151</f>
        <v>658015.87079140812</v>
      </c>
      <c r="AA151" s="79">
        <f>'Core Loads'!AA151</f>
        <v>658015.87079140812</v>
      </c>
      <c r="AB151" s="79">
        <f>'Core Loads'!AB151</f>
        <v>655897.86820189503</v>
      </c>
      <c r="AC151" s="79">
        <f>'Core Loads'!AC151</f>
        <v>655897.86820189503</v>
      </c>
      <c r="AD151" s="79">
        <f>'Core Loads'!AD151</f>
        <v>655897.86820189503</v>
      </c>
      <c r="AE151" s="79">
        <f>'Core Loads'!AE151</f>
        <v>655897.86820189503</v>
      </c>
      <c r="AF151" s="79">
        <f>'Core Loads'!AF151</f>
        <v>655897.86820189503</v>
      </c>
      <c r="AG151"/>
      <c r="AH151" s="17" t="s">
        <v>279</v>
      </c>
    </row>
    <row r="152" spans="2:34" hidden="1" outlineLevel="1" x14ac:dyDescent="0.25">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row>
    <row r="153" spans="2:34" hidden="1" outlineLevel="1" x14ac:dyDescent="0.25">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row>
    <row r="154" spans="2:34" ht="17.25" hidden="1" outlineLevel="1" thickBot="1" x14ac:dyDescent="0.3">
      <c r="B154" s="26" t="s">
        <v>283</v>
      </c>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row>
    <row r="155" spans="2:34" ht="16.5" hidden="1" outlineLevel="1" thickTop="1" thickBot="1" x14ac:dyDescent="0.3">
      <c r="B155" s="28" t="s">
        <v>278</v>
      </c>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0"/>
      <c r="AH155" s="20" t="s">
        <v>15</v>
      </c>
    </row>
    <row r="156" spans="2:34" customFormat="1" hidden="1" outlineLevel="1" x14ac:dyDescent="0.25">
      <c r="B156" s="30"/>
      <c r="C156" s="17">
        <v>2025</v>
      </c>
      <c r="D156" s="44">
        <v>2026</v>
      </c>
      <c r="E156" s="44">
        <v>2027</v>
      </c>
      <c r="F156" s="44">
        <v>2028</v>
      </c>
      <c r="G156" s="44">
        <v>2029</v>
      </c>
      <c r="H156" s="44">
        <v>2030</v>
      </c>
      <c r="I156" s="44">
        <v>2031</v>
      </c>
      <c r="J156" s="44">
        <v>2032</v>
      </c>
      <c r="K156" s="44">
        <v>2033</v>
      </c>
      <c r="L156" s="44">
        <v>2034</v>
      </c>
      <c r="M156" s="44">
        <v>2035</v>
      </c>
      <c r="N156" s="44">
        <v>2036</v>
      </c>
      <c r="O156" s="44">
        <v>2037</v>
      </c>
      <c r="P156" s="44">
        <v>2038</v>
      </c>
      <c r="Q156" s="44">
        <v>2039</v>
      </c>
      <c r="R156" s="44">
        <v>2040</v>
      </c>
      <c r="S156" s="44">
        <v>2041</v>
      </c>
      <c r="T156" s="44">
        <v>2042</v>
      </c>
      <c r="U156" s="44">
        <v>2043</v>
      </c>
      <c r="V156" s="44">
        <v>2044</v>
      </c>
      <c r="W156" s="44">
        <v>2045</v>
      </c>
      <c r="X156" s="44">
        <v>2046</v>
      </c>
      <c r="Y156" s="44">
        <v>2047</v>
      </c>
      <c r="Z156" s="44">
        <v>2048</v>
      </c>
      <c r="AA156" s="44">
        <v>2049</v>
      </c>
      <c r="AB156" s="44">
        <v>2050</v>
      </c>
      <c r="AC156" s="44">
        <v>2051</v>
      </c>
      <c r="AD156" s="44">
        <v>2052</v>
      </c>
      <c r="AE156" s="44">
        <v>2053</v>
      </c>
      <c r="AF156" s="44">
        <v>2054</v>
      </c>
      <c r="AH156" s="1"/>
    </row>
    <row r="157" spans="2:34" hidden="1" outlineLevel="1" x14ac:dyDescent="0.25">
      <c r="B157" s="31" t="s">
        <v>144</v>
      </c>
      <c r="C157" s="79">
        <f>'Core Loads'!C157</f>
        <v>5955361.6783548798</v>
      </c>
      <c r="D157" s="79">
        <f>'Core Loads'!D157</f>
        <v>5955361.6783548798</v>
      </c>
      <c r="E157" s="79">
        <f>'Core Loads'!E157</f>
        <v>5955361.6783548798</v>
      </c>
      <c r="F157" s="79">
        <f>'Core Loads'!F157</f>
        <v>5650188.717437136</v>
      </c>
      <c r="G157" s="79">
        <f>'Core Loads'!G157</f>
        <v>5650188.717437136</v>
      </c>
      <c r="H157" s="79">
        <f>'Core Loads'!H157</f>
        <v>2894303.6799999997</v>
      </c>
      <c r="I157" s="79">
        <f>'Core Loads'!I157</f>
        <v>2894303.6799999997</v>
      </c>
      <c r="J157" s="79">
        <f>'Core Loads'!J157</f>
        <v>2562022.0799999996</v>
      </c>
      <c r="K157" s="79">
        <f>'Core Loads'!K157</f>
        <v>2562022.0799999996</v>
      </c>
      <c r="L157" s="79">
        <f>'Core Loads'!L157</f>
        <v>2562022.0799999996</v>
      </c>
      <c r="M157" s="79">
        <f>'Core Loads'!M157</f>
        <v>2562022.0799999996</v>
      </c>
      <c r="N157" s="79">
        <f>'Core Loads'!N157</f>
        <v>2562022.0799999996</v>
      </c>
      <c r="O157" s="79">
        <f>'Core Loads'!O157</f>
        <v>2562022.0799999996</v>
      </c>
      <c r="P157" s="79">
        <f>'Core Loads'!P157</f>
        <v>2562022.0799999996</v>
      </c>
      <c r="Q157" s="79">
        <f>'Core Loads'!Q157</f>
        <v>0</v>
      </c>
      <c r="R157" s="79">
        <f>'Core Loads'!R157</f>
        <v>0</v>
      </c>
      <c r="S157" s="79">
        <f>'Core Loads'!S157</f>
        <v>0</v>
      </c>
      <c r="T157" s="79">
        <f>'Core Loads'!T157</f>
        <v>0</v>
      </c>
      <c r="U157" s="79">
        <f>'Core Loads'!U157</f>
        <v>0</v>
      </c>
      <c r="V157" s="79">
        <f>'Core Loads'!V157</f>
        <v>0</v>
      </c>
      <c r="W157" s="79">
        <f>'Core Loads'!W157</f>
        <v>0</v>
      </c>
      <c r="X157" s="79">
        <f>'Core Loads'!X157</f>
        <v>0</v>
      </c>
      <c r="Y157" s="79">
        <f>'Core Loads'!Y157</f>
        <v>0</v>
      </c>
      <c r="Z157" s="79">
        <f>'Core Loads'!Z157</f>
        <v>0</v>
      </c>
      <c r="AA157" s="79">
        <f>'Core Loads'!AA157</f>
        <v>0</v>
      </c>
      <c r="AB157" s="79">
        <f>'Core Loads'!AB157</f>
        <v>0</v>
      </c>
      <c r="AC157" s="79">
        <f>'Core Loads'!AC157</f>
        <v>0</v>
      </c>
      <c r="AD157" s="79">
        <f>'Core Loads'!AD157</f>
        <v>0</v>
      </c>
      <c r="AE157" s="79">
        <f>'Core Loads'!AE157</f>
        <v>0</v>
      </c>
      <c r="AF157" s="79">
        <f>'Core Loads'!AF157</f>
        <v>0</v>
      </c>
      <c r="AG157"/>
      <c r="AH157" s="17" t="s">
        <v>279</v>
      </c>
    </row>
    <row r="158" spans="2:34" hidden="1" outlineLevel="1" x14ac:dyDescent="0.25">
      <c r="B158" s="31" t="s">
        <v>145</v>
      </c>
      <c r="C158" s="79">
        <f>'Core Loads'!C158</f>
        <v>3544817.3883669907</v>
      </c>
      <c r="D158" s="79">
        <f>'Core Loads'!D158</f>
        <v>7148037.0083669899</v>
      </c>
      <c r="E158" s="79">
        <f>'Core Loads'!E158</f>
        <v>7148037.0083669899</v>
      </c>
      <c r="F158" s="79">
        <f>'Core Loads'!F158</f>
        <v>7148037.0083669899</v>
      </c>
      <c r="G158" s="79">
        <f>'Core Loads'!G158</f>
        <v>7148037.0083669899</v>
      </c>
      <c r="H158" s="79">
        <f>'Core Loads'!H158</f>
        <v>7234294.6083669895</v>
      </c>
      <c r="I158" s="79">
        <f>'Core Loads'!I158</f>
        <v>7234294.6083669895</v>
      </c>
      <c r="J158" s="79">
        <f>'Core Loads'!J158</f>
        <v>7234294.6083669895</v>
      </c>
      <c r="K158" s="79">
        <f>'Core Loads'!K158</f>
        <v>7234294.6083669895</v>
      </c>
      <c r="L158" s="79">
        <f>'Core Loads'!L158</f>
        <v>7082106.2166567408</v>
      </c>
      <c r="M158" s="79">
        <f>'Core Loads'!M158</f>
        <v>3093628.5364103382</v>
      </c>
      <c r="N158" s="79">
        <f>'Core Loads'!N158</f>
        <v>3093628.5364103382</v>
      </c>
      <c r="O158" s="79">
        <f>'Core Loads'!O158</f>
        <v>3093628.5364103382</v>
      </c>
      <c r="P158" s="79">
        <f>'Core Loads'!P158</f>
        <v>3093628.5364103382</v>
      </c>
      <c r="Q158" s="79">
        <f>'Core Loads'!Q158</f>
        <v>0</v>
      </c>
      <c r="R158" s="79">
        <f>'Core Loads'!R158</f>
        <v>0</v>
      </c>
      <c r="S158" s="79">
        <f>'Core Loads'!S158</f>
        <v>0</v>
      </c>
      <c r="T158" s="79">
        <f>'Core Loads'!T158</f>
        <v>0</v>
      </c>
      <c r="U158" s="79">
        <f>'Core Loads'!U158</f>
        <v>0</v>
      </c>
      <c r="V158" s="79">
        <f>'Core Loads'!V158</f>
        <v>0</v>
      </c>
      <c r="W158" s="79">
        <f>'Core Loads'!W158</f>
        <v>0</v>
      </c>
      <c r="X158" s="79">
        <f>'Core Loads'!X158</f>
        <v>0</v>
      </c>
      <c r="Y158" s="79">
        <f>'Core Loads'!Y158</f>
        <v>0</v>
      </c>
      <c r="Z158" s="79">
        <f>'Core Loads'!Z158</f>
        <v>0</v>
      </c>
      <c r="AA158" s="79">
        <f>'Core Loads'!AA158</f>
        <v>0</v>
      </c>
      <c r="AB158" s="79">
        <f>'Core Loads'!AB158</f>
        <v>0</v>
      </c>
      <c r="AC158" s="79">
        <f>'Core Loads'!AC158</f>
        <v>0</v>
      </c>
      <c r="AD158" s="79">
        <f>'Core Loads'!AD158</f>
        <v>0</v>
      </c>
      <c r="AE158" s="79">
        <f>'Core Loads'!AE158</f>
        <v>0</v>
      </c>
      <c r="AF158" s="79">
        <f>'Core Loads'!AF158</f>
        <v>0</v>
      </c>
      <c r="AG158"/>
      <c r="AH158" s="17" t="s">
        <v>279</v>
      </c>
    </row>
    <row r="159" spans="2:34" hidden="1" outlineLevel="1" x14ac:dyDescent="0.25">
      <c r="B159" s="31" t="s">
        <v>244</v>
      </c>
      <c r="C159" s="79">
        <f>'Core Loads'!C159</f>
        <v>10424562.72955735</v>
      </c>
      <c r="D159" s="79">
        <f>'Core Loads'!D159</f>
        <v>10424562.72955735</v>
      </c>
      <c r="E159" s="79">
        <f>'Core Loads'!E159</f>
        <v>10424562.72955735</v>
      </c>
      <c r="F159" s="79">
        <f>'Core Loads'!F159</f>
        <v>14928448.609557347</v>
      </c>
      <c r="G159" s="79">
        <f>'Core Loads'!G159</f>
        <v>14928448.609557347</v>
      </c>
      <c r="H159" s="79">
        <f>'Core Loads'!H159</f>
        <v>10989101.553480238</v>
      </c>
      <c r="I159" s="79">
        <f>'Core Loads'!I159</f>
        <v>10989101.553480238</v>
      </c>
      <c r="J159" s="79">
        <f>'Core Loads'!J159</f>
        <v>10513209.242070081</v>
      </c>
      <c r="K159" s="79">
        <f>'Core Loads'!K159</f>
        <v>10513209.242070081</v>
      </c>
      <c r="L159" s="79">
        <f>'Core Loads'!L159</f>
        <v>10513209.242070081</v>
      </c>
      <c r="M159" s="79">
        <f>'Core Loads'!M159</f>
        <v>5578510.6349019874</v>
      </c>
      <c r="N159" s="79">
        <f>'Core Loads'!N159</f>
        <v>5445696.5658694422</v>
      </c>
      <c r="O159" s="79">
        <f>'Core Loads'!O159</f>
        <v>5445696.5658694422</v>
      </c>
      <c r="P159" s="79">
        <f>'Core Loads'!P159</f>
        <v>5417057.1077236086</v>
      </c>
      <c r="Q159" s="79">
        <f>'Core Loads'!Q159</f>
        <v>0</v>
      </c>
      <c r="R159" s="79">
        <f>'Core Loads'!R159</f>
        <v>0</v>
      </c>
      <c r="S159" s="79">
        <f>'Core Loads'!S159</f>
        <v>0</v>
      </c>
      <c r="T159" s="79">
        <f>'Core Loads'!T159</f>
        <v>0</v>
      </c>
      <c r="U159" s="79">
        <f>'Core Loads'!U159</f>
        <v>0</v>
      </c>
      <c r="V159" s="79">
        <f>'Core Loads'!V159</f>
        <v>0</v>
      </c>
      <c r="W159" s="79">
        <f>'Core Loads'!W159</f>
        <v>0</v>
      </c>
      <c r="X159" s="79">
        <f>'Core Loads'!X159</f>
        <v>0</v>
      </c>
      <c r="Y159" s="79">
        <f>'Core Loads'!Y159</f>
        <v>0</v>
      </c>
      <c r="Z159" s="79">
        <f>'Core Loads'!Z159</f>
        <v>0</v>
      </c>
      <c r="AA159" s="79">
        <f>'Core Loads'!AA159</f>
        <v>0</v>
      </c>
      <c r="AB159" s="79">
        <f>'Core Loads'!AB159</f>
        <v>0</v>
      </c>
      <c r="AC159" s="79">
        <f>'Core Loads'!AC159</f>
        <v>0</v>
      </c>
      <c r="AD159" s="79">
        <f>'Core Loads'!AD159</f>
        <v>0</v>
      </c>
      <c r="AE159" s="79">
        <f>'Core Loads'!AE159</f>
        <v>0</v>
      </c>
      <c r="AF159" s="79">
        <f>'Core Loads'!AF159</f>
        <v>0</v>
      </c>
      <c r="AG159"/>
      <c r="AH159" s="17" t="s">
        <v>279</v>
      </c>
    </row>
    <row r="160" spans="2:34" hidden="1" outlineLevel="1" x14ac:dyDescent="0.25">
      <c r="B160" s="31" t="s">
        <v>147</v>
      </c>
      <c r="C160" s="79">
        <f>'Core Loads'!C160</f>
        <v>0</v>
      </c>
      <c r="D160" s="79">
        <f>'Core Loads'!D160</f>
        <v>0</v>
      </c>
      <c r="E160" s="79">
        <f>'Core Loads'!E160</f>
        <v>0</v>
      </c>
      <c r="F160" s="79">
        <f>'Core Loads'!F160</f>
        <v>0</v>
      </c>
      <c r="G160" s="79">
        <f>'Core Loads'!G160</f>
        <v>0</v>
      </c>
      <c r="H160" s="79">
        <f>'Core Loads'!H160</f>
        <v>0</v>
      </c>
      <c r="I160" s="79">
        <f>'Core Loads'!I160</f>
        <v>0</v>
      </c>
      <c r="J160" s="79">
        <f>'Core Loads'!J160</f>
        <v>0</v>
      </c>
      <c r="K160" s="79">
        <f>'Core Loads'!K160</f>
        <v>0</v>
      </c>
      <c r="L160" s="79">
        <f>'Core Loads'!L160</f>
        <v>0</v>
      </c>
      <c r="M160" s="79">
        <f>'Core Loads'!M160</f>
        <v>0</v>
      </c>
      <c r="N160" s="79">
        <f>'Core Loads'!N160</f>
        <v>0</v>
      </c>
      <c r="O160" s="79">
        <f>'Core Loads'!O160</f>
        <v>0</v>
      </c>
      <c r="P160" s="79">
        <f>'Core Loads'!P160</f>
        <v>0</v>
      </c>
      <c r="Q160" s="79">
        <f>'Core Loads'!Q160</f>
        <v>0</v>
      </c>
      <c r="R160" s="79">
        <f>'Core Loads'!R160</f>
        <v>0</v>
      </c>
      <c r="S160" s="79">
        <f>'Core Loads'!S160</f>
        <v>0</v>
      </c>
      <c r="T160" s="79">
        <f>'Core Loads'!T160</f>
        <v>0</v>
      </c>
      <c r="U160" s="79">
        <f>'Core Loads'!U160</f>
        <v>0</v>
      </c>
      <c r="V160" s="79">
        <f>'Core Loads'!V160</f>
        <v>0</v>
      </c>
      <c r="W160" s="79">
        <f>'Core Loads'!W160</f>
        <v>0</v>
      </c>
      <c r="X160" s="79">
        <f>'Core Loads'!X160</f>
        <v>0</v>
      </c>
      <c r="Y160" s="79">
        <f>'Core Loads'!Y160</f>
        <v>0</v>
      </c>
      <c r="Z160" s="79">
        <f>'Core Loads'!Z160</f>
        <v>0</v>
      </c>
      <c r="AA160" s="79">
        <f>'Core Loads'!AA160</f>
        <v>0</v>
      </c>
      <c r="AB160" s="79">
        <f>'Core Loads'!AB160</f>
        <v>0</v>
      </c>
      <c r="AC160" s="79">
        <f>'Core Loads'!AC160</f>
        <v>0</v>
      </c>
      <c r="AD160" s="79">
        <f>'Core Loads'!AD160</f>
        <v>0</v>
      </c>
      <c r="AE160" s="79">
        <f>'Core Loads'!AE160</f>
        <v>0</v>
      </c>
      <c r="AF160" s="79">
        <f>'Core Loads'!AF160</f>
        <v>0</v>
      </c>
      <c r="AG160"/>
      <c r="AH160" s="17" t="s">
        <v>279</v>
      </c>
    </row>
    <row r="161" spans="2:34" hidden="1" outlineLevel="1" x14ac:dyDescent="0.25">
      <c r="B161" s="31" t="s">
        <v>245</v>
      </c>
      <c r="C161" s="79">
        <f>'Core Loads'!C161</f>
        <v>1207501.7119999998</v>
      </c>
      <c r="D161" s="79">
        <f>'Core Loads'!D161</f>
        <v>1207501.7119999998</v>
      </c>
      <c r="E161" s="79">
        <f>'Core Loads'!E161</f>
        <v>1207501.7119999998</v>
      </c>
      <c r="F161" s="79">
        <f>'Core Loads'!F161</f>
        <v>1207501.7119999998</v>
      </c>
      <c r="G161" s="79">
        <f>'Core Loads'!G161</f>
        <v>1207501.7119999998</v>
      </c>
      <c r="H161" s="79">
        <f>'Core Loads'!H161</f>
        <v>3455696.2320000003</v>
      </c>
      <c r="I161" s="79">
        <f>'Core Loads'!I161</f>
        <v>3455696.2320000003</v>
      </c>
      <c r="J161" s="79">
        <f>'Core Loads'!J161</f>
        <v>3455696.2320000003</v>
      </c>
      <c r="K161" s="79">
        <f>'Core Loads'!K161</f>
        <v>3455696.2320000003</v>
      </c>
      <c r="L161" s="79">
        <f>'Core Loads'!L161</f>
        <v>3455696.2320000003</v>
      </c>
      <c r="M161" s="79">
        <f>'Core Loads'!M161</f>
        <v>3455696.2320000003</v>
      </c>
      <c r="N161" s="79">
        <f>'Core Loads'!N161</f>
        <v>3395321.1464</v>
      </c>
      <c r="O161" s="79">
        <f>'Core Loads'!O161</f>
        <v>3395321.1464</v>
      </c>
      <c r="P161" s="79">
        <f>'Core Loads'!P161</f>
        <v>3395321.1464</v>
      </c>
      <c r="Q161" s="79">
        <f>'Core Loads'!Q161</f>
        <v>0</v>
      </c>
      <c r="R161" s="79">
        <f>'Core Loads'!R161</f>
        <v>0</v>
      </c>
      <c r="S161" s="79">
        <f>'Core Loads'!S161</f>
        <v>0</v>
      </c>
      <c r="T161" s="79">
        <f>'Core Loads'!T161</f>
        <v>0</v>
      </c>
      <c r="U161" s="79">
        <f>'Core Loads'!U161</f>
        <v>0</v>
      </c>
      <c r="V161" s="79">
        <f>'Core Loads'!V161</f>
        <v>0</v>
      </c>
      <c r="W161" s="79">
        <f>'Core Loads'!W161</f>
        <v>0</v>
      </c>
      <c r="X161" s="79">
        <f>'Core Loads'!X161</f>
        <v>0</v>
      </c>
      <c r="Y161" s="79">
        <f>'Core Loads'!Y161</f>
        <v>0</v>
      </c>
      <c r="Z161" s="79">
        <f>'Core Loads'!Z161</f>
        <v>0</v>
      </c>
      <c r="AA161" s="79">
        <f>'Core Loads'!AA161</f>
        <v>0</v>
      </c>
      <c r="AB161" s="79">
        <f>'Core Loads'!AB161</f>
        <v>0</v>
      </c>
      <c r="AC161" s="79">
        <f>'Core Loads'!AC161</f>
        <v>0</v>
      </c>
      <c r="AD161" s="79">
        <f>'Core Loads'!AD161</f>
        <v>0</v>
      </c>
      <c r="AE161" s="79">
        <f>'Core Loads'!AE161</f>
        <v>0</v>
      </c>
      <c r="AF161" s="79">
        <f>'Core Loads'!AF161</f>
        <v>0</v>
      </c>
      <c r="AG161"/>
      <c r="AH161" s="17" t="s">
        <v>279</v>
      </c>
    </row>
    <row r="162" spans="2:34" hidden="1" outlineLevel="1" x14ac:dyDescent="0.25">
      <c r="B162" s="31" t="s">
        <v>149</v>
      </c>
      <c r="C162" s="79">
        <f>'Core Loads'!C162</f>
        <v>21132243.508279223</v>
      </c>
      <c r="D162" s="79">
        <f>'Core Loads'!D162</f>
        <v>24735463.12827922</v>
      </c>
      <c r="E162" s="79">
        <f>'Core Loads'!E162</f>
        <v>24735463.12827922</v>
      </c>
      <c r="F162" s="79">
        <f>'Core Loads'!F162</f>
        <v>28934176.047361474</v>
      </c>
      <c r="G162" s="79">
        <f>'Core Loads'!G162</f>
        <v>28934176.047361474</v>
      </c>
      <c r="H162" s="79">
        <f>'Core Loads'!H162</f>
        <v>24573396.073847227</v>
      </c>
      <c r="I162" s="79">
        <f>'Core Loads'!I162</f>
        <v>24573396.073847227</v>
      </c>
      <c r="J162" s="79">
        <f>'Core Loads'!J162</f>
        <v>23765222.16243707</v>
      </c>
      <c r="K162" s="79">
        <f>'Core Loads'!K162</f>
        <v>23765222.16243707</v>
      </c>
      <c r="L162" s="79">
        <f>'Core Loads'!L162</f>
        <v>23613033.770726822</v>
      </c>
      <c r="M162" s="79">
        <f>'Core Loads'!M162</f>
        <v>14689857.483312326</v>
      </c>
      <c r="N162" s="79">
        <f>'Core Loads'!N162</f>
        <v>14496668.328679781</v>
      </c>
      <c r="O162" s="79">
        <f>'Core Loads'!O162</f>
        <v>14496668.328679781</v>
      </c>
      <c r="P162" s="79">
        <f>'Core Loads'!P162</f>
        <v>14468028.870533947</v>
      </c>
      <c r="Q162" s="79">
        <f>'Core Loads'!Q162</f>
        <v>0</v>
      </c>
      <c r="R162" s="79">
        <f>'Core Loads'!R162</f>
        <v>0</v>
      </c>
      <c r="S162" s="79">
        <f>'Core Loads'!S162</f>
        <v>0</v>
      </c>
      <c r="T162" s="79">
        <f>'Core Loads'!T162</f>
        <v>0</v>
      </c>
      <c r="U162" s="79">
        <f>'Core Loads'!U162</f>
        <v>0</v>
      </c>
      <c r="V162" s="79">
        <f>'Core Loads'!V162</f>
        <v>0</v>
      </c>
      <c r="W162" s="79">
        <f>'Core Loads'!W162</f>
        <v>0</v>
      </c>
      <c r="X162" s="79">
        <f>'Core Loads'!X162</f>
        <v>0</v>
      </c>
      <c r="Y162" s="79">
        <f>'Core Loads'!Y162</f>
        <v>0</v>
      </c>
      <c r="Z162" s="79">
        <f>'Core Loads'!Z162</f>
        <v>0</v>
      </c>
      <c r="AA162" s="79">
        <f>'Core Loads'!AA162</f>
        <v>0</v>
      </c>
      <c r="AB162" s="79">
        <f>'Core Loads'!AB162</f>
        <v>0</v>
      </c>
      <c r="AC162" s="79">
        <f>'Core Loads'!AC162</f>
        <v>0</v>
      </c>
      <c r="AD162" s="79">
        <f>'Core Loads'!AD162</f>
        <v>0</v>
      </c>
      <c r="AE162" s="79">
        <f>'Core Loads'!AE162</f>
        <v>0</v>
      </c>
      <c r="AF162" s="79">
        <f>'Core Loads'!AF162</f>
        <v>0</v>
      </c>
      <c r="AG162"/>
      <c r="AH162" s="17" t="s">
        <v>279</v>
      </c>
    </row>
    <row r="163" spans="2:34" hidden="1" outlineLevel="1" x14ac:dyDescent="0.25">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row>
    <row r="164" spans="2:34" ht="15.75" hidden="1" outlineLevel="1" thickBot="1" x14ac:dyDescent="0.3">
      <c r="B164" s="28" t="s">
        <v>280</v>
      </c>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0"/>
      <c r="AH164" s="20" t="s">
        <v>15</v>
      </c>
    </row>
    <row r="165" spans="2:34" customFormat="1" hidden="1" outlineLevel="1" x14ac:dyDescent="0.25">
      <c r="B165" s="30"/>
      <c r="C165" s="17">
        <v>2025</v>
      </c>
      <c r="D165" s="44">
        <v>2026</v>
      </c>
      <c r="E165" s="44">
        <v>2027</v>
      </c>
      <c r="F165" s="44">
        <v>2028</v>
      </c>
      <c r="G165" s="44">
        <v>2029</v>
      </c>
      <c r="H165" s="44">
        <v>2030</v>
      </c>
      <c r="I165" s="44">
        <v>2031</v>
      </c>
      <c r="J165" s="44">
        <v>2032</v>
      </c>
      <c r="K165" s="44">
        <v>2033</v>
      </c>
      <c r="L165" s="44">
        <v>2034</v>
      </c>
      <c r="M165" s="44">
        <v>2035</v>
      </c>
      <c r="N165" s="44">
        <v>2036</v>
      </c>
      <c r="O165" s="44">
        <v>2037</v>
      </c>
      <c r="P165" s="44">
        <v>2038</v>
      </c>
      <c r="Q165" s="44">
        <v>2039</v>
      </c>
      <c r="R165" s="44">
        <v>2040</v>
      </c>
      <c r="S165" s="44">
        <v>2041</v>
      </c>
      <c r="T165" s="44">
        <v>2042</v>
      </c>
      <c r="U165" s="44">
        <v>2043</v>
      </c>
      <c r="V165" s="44">
        <v>2044</v>
      </c>
      <c r="W165" s="44">
        <v>2045</v>
      </c>
      <c r="X165" s="44">
        <v>2046</v>
      </c>
      <c r="Y165" s="44">
        <v>2047</v>
      </c>
      <c r="Z165" s="44">
        <v>2048</v>
      </c>
      <c r="AA165" s="44">
        <v>2049</v>
      </c>
      <c r="AB165" s="44">
        <v>2050</v>
      </c>
      <c r="AC165" s="44">
        <v>2051</v>
      </c>
      <c r="AD165" s="44">
        <v>2052</v>
      </c>
      <c r="AE165" s="44">
        <v>2053</v>
      </c>
      <c r="AF165" s="44">
        <v>2054</v>
      </c>
      <c r="AH165" s="1"/>
    </row>
    <row r="166" spans="2:34" hidden="1" outlineLevel="1" x14ac:dyDescent="0.25">
      <c r="B166" s="31" t="s">
        <v>144</v>
      </c>
      <c r="C166" s="79">
        <f>'Core Loads'!C166</f>
        <v>2722778.4479999994</v>
      </c>
      <c r="D166" s="79">
        <f>'Core Loads'!D166</f>
        <v>2722778.4479999994</v>
      </c>
      <c r="E166" s="79">
        <f>'Core Loads'!E166</f>
        <v>2722778.4479999994</v>
      </c>
      <c r="F166" s="79">
        <f>'Core Loads'!F166</f>
        <v>2587422.6519999998</v>
      </c>
      <c r="G166" s="79">
        <f>'Core Loads'!G166</f>
        <v>2587422.6519999998</v>
      </c>
      <c r="H166" s="79">
        <f>'Core Loads'!H166</f>
        <v>6118430.609437136</v>
      </c>
      <c r="I166" s="79">
        <f>'Core Loads'!I166</f>
        <v>6118430.609437136</v>
      </c>
      <c r="J166" s="79">
        <f>'Core Loads'!J166</f>
        <v>5990595.6162371365</v>
      </c>
      <c r="K166" s="79">
        <f>'Core Loads'!K166</f>
        <v>5990595.6162371365</v>
      </c>
      <c r="L166" s="79">
        <f>'Core Loads'!L166</f>
        <v>6618617.2962371362</v>
      </c>
      <c r="M166" s="79">
        <f>'Core Loads'!M166</f>
        <v>6618617.2962371362</v>
      </c>
      <c r="N166" s="79">
        <f>'Core Loads'!N166</f>
        <v>6618617.2962371362</v>
      </c>
      <c r="O166" s="79">
        <f>'Core Loads'!O166</f>
        <v>6618617.2962371362</v>
      </c>
      <c r="P166" s="79">
        <f>'Core Loads'!P166</f>
        <v>6618617.2962371362</v>
      </c>
      <c r="Q166" s="79">
        <f>'Core Loads'!Q166</f>
        <v>9180639.3762371354</v>
      </c>
      <c r="R166" s="79">
        <f>'Core Loads'!R166</f>
        <v>9180639.3762371354</v>
      </c>
      <c r="S166" s="79">
        <f>'Core Loads'!S166</f>
        <v>9180639.3762371354</v>
      </c>
      <c r="T166" s="79">
        <f>'Core Loads'!T166</f>
        <v>9180639.3762371354</v>
      </c>
      <c r="U166" s="79">
        <f>'Core Loads'!U166</f>
        <v>9180639.3762371354</v>
      </c>
      <c r="V166" s="79">
        <f>'Core Loads'!V166</f>
        <v>9180639.3762371354</v>
      </c>
      <c r="W166" s="79">
        <f>'Core Loads'!W166</f>
        <v>9180639.3762371354</v>
      </c>
      <c r="X166" s="79">
        <f>'Core Loads'!X166</f>
        <v>9180639.3762371354</v>
      </c>
      <c r="Y166" s="79">
        <f>'Core Loads'!Y166</f>
        <v>9180639.3762371354</v>
      </c>
      <c r="Z166" s="79">
        <f>'Core Loads'!Z166</f>
        <v>9180639.3762371354</v>
      </c>
      <c r="AA166" s="79">
        <f>'Core Loads'!AA166</f>
        <v>9180639.3762371354</v>
      </c>
      <c r="AB166" s="79">
        <f>'Core Loads'!AB166</f>
        <v>9180639.3762371354</v>
      </c>
      <c r="AC166" s="79">
        <f>'Core Loads'!AC166</f>
        <v>9180639.3762371354</v>
      </c>
      <c r="AD166" s="79">
        <f>'Core Loads'!AD166</f>
        <v>9180639.3762371354</v>
      </c>
      <c r="AE166" s="79">
        <f>'Core Loads'!AE166</f>
        <v>9180639.3762371354</v>
      </c>
      <c r="AF166" s="79">
        <f>'Core Loads'!AF166</f>
        <v>9180639.3762371354</v>
      </c>
      <c r="AG166"/>
      <c r="AH166" s="17" t="s">
        <v>279</v>
      </c>
    </row>
    <row r="167" spans="2:34" hidden="1" outlineLevel="1" x14ac:dyDescent="0.25">
      <c r="B167" s="31" t="s">
        <v>145</v>
      </c>
      <c r="C167" s="79">
        <f>'Core Loads'!C167</f>
        <v>0</v>
      </c>
      <c r="D167" s="79">
        <f>'Core Loads'!D167</f>
        <v>0</v>
      </c>
      <c r="E167" s="79">
        <f>'Core Loads'!E167</f>
        <v>0</v>
      </c>
      <c r="F167" s="79">
        <f>'Core Loads'!F167</f>
        <v>0</v>
      </c>
      <c r="G167" s="79">
        <f>'Core Loads'!G167</f>
        <v>0</v>
      </c>
      <c r="H167" s="79">
        <f>'Core Loads'!H167</f>
        <v>0</v>
      </c>
      <c r="I167" s="79">
        <f>'Core Loads'!I167</f>
        <v>0</v>
      </c>
      <c r="J167" s="79">
        <f>'Core Loads'!J167</f>
        <v>0</v>
      </c>
      <c r="K167" s="79">
        <f>'Core Loads'!K167</f>
        <v>0</v>
      </c>
      <c r="L167" s="79">
        <f>'Core Loads'!L167</f>
        <v>0</v>
      </c>
      <c r="M167" s="79">
        <f>'Core Loads'!M167</f>
        <v>3988477.6802464039</v>
      </c>
      <c r="N167" s="79">
        <f>'Core Loads'!N167</f>
        <v>3988477.6802464039</v>
      </c>
      <c r="O167" s="79">
        <f>'Core Loads'!O167</f>
        <v>3988477.6802464039</v>
      </c>
      <c r="P167" s="79">
        <f>'Core Loads'!P167</f>
        <v>3977367.4502464039</v>
      </c>
      <c r="Q167" s="79">
        <f>'Core Loads'!Q167</f>
        <v>7070995.9866567403</v>
      </c>
      <c r="R167" s="79">
        <f>'Core Loads'!R167</f>
        <v>7414629.3906567395</v>
      </c>
      <c r="S167" s="79">
        <f>'Core Loads'!S167</f>
        <v>7414629.3906567395</v>
      </c>
      <c r="T167" s="79">
        <f>'Core Loads'!T167</f>
        <v>7414629.3906567395</v>
      </c>
      <c r="U167" s="79">
        <f>'Core Loads'!U167</f>
        <v>7414629.3906567395</v>
      </c>
      <c r="V167" s="79">
        <f>'Core Loads'!V167</f>
        <v>7414629.3906567395</v>
      </c>
      <c r="W167" s="79">
        <f>'Core Loads'!W167</f>
        <v>7414629.3906567395</v>
      </c>
      <c r="X167" s="79">
        <f>'Core Loads'!X167</f>
        <v>7414629.3906567395</v>
      </c>
      <c r="Y167" s="79">
        <f>'Core Loads'!Y167</f>
        <v>7414629.3906567395</v>
      </c>
      <c r="Z167" s="79">
        <f>'Core Loads'!Z167</f>
        <v>7414629.3906567395</v>
      </c>
      <c r="AA167" s="79">
        <f>'Core Loads'!AA167</f>
        <v>7414629.3906567395</v>
      </c>
      <c r="AB167" s="79">
        <f>'Core Loads'!AB167</f>
        <v>7275034.2137464946</v>
      </c>
      <c r="AC167" s="79">
        <f>'Core Loads'!AC167</f>
        <v>7275034.2137464946</v>
      </c>
      <c r="AD167" s="79">
        <f>'Core Loads'!AD167</f>
        <v>7275034.2137464946</v>
      </c>
      <c r="AE167" s="79">
        <f>'Core Loads'!AE167</f>
        <v>7275034.2137464946</v>
      </c>
      <c r="AF167" s="79">
        <f>'Core Loads'!AF167</f>
        <v>7275034.2137464946</v>
      </c>
      <c r="AG167"/>
      <c r="AH167" s="17" t="s">
        <v>279</v>
      </c>
    </row>
    <row r="168" spans="2:34" hidden="1" outlineLevel="1" x14ac:dyDescent="0.25">
      <c r="B168" s="31" t="s">
        <v>244</v>
      </c>
      <c r="C168" s="79">
        <f>'Core Loads'!C168</f>
        <v>0</v>
      </c>
      <c r="D168" s="79">
        <f>'Core Loads'!D168</f>
        <v>0</v>
      </c>
      <c r="E168" s="79">
        <f>'Core Loads'!E168</f>
        <v>0</v>
      </c>
      <c r="F168" s="79">
        <f>'Core Loads'!F168</f>
        <v>0</v>
      </c>
      <c r="G168" s="79">
        <f>'Core Loads'!G168</f>
        <v>0</v>
      </c>
      <c r="H168" s="79">
        <f>'Core Loads'!H168</f>
        <v>5014603.7141419491</v>
      </c>
      <c r="I168" s="79">
        <f>'Core Loads'!I168</f>
        <v>5014603.7141419491</v>
      </c>
      <c r="J168" s="79">
        <f>'Core Loads'!J168</f>
        <v>4734745.5423240056</v>
      </c>
      <c r="K168" s="79">
        <f>'Core Loads'!K168</f>
        <v>4734745.5423240056</v>
      </c>
      <c r="L168" s="79">
        <f>'Core Loads'!L168</f>
        <v>4734745.5423240056</v>
      </c>
      <c r="M168" s="79">
        <f>'Core Loads'!M168</f>
        <v>9669444.149492098</v>
      </c>
      <c r="N168" s="79">
        <f>'Core Loads'!N168</f>
        <v>9587920.6716735698</v>
      </c>
      <c r="O168" s="79">
        <f>'Core Loads'!O168</f>
        <v>9587920.6716735698</v>
      </c>
      <c r="P168" s="79">
        <f>'Core Loads'!P168</f>
        <v>9580137.905149078</v>
      </c>
      <c r="Q168" s="79">
        <f>'Core Loads'!Q168</f>
        <v>14997195.012872687</v>
      </c>
      <c r="R168" s="79">
        <f>'Core Loads'!R168</f>
        <v>15766985.012872687</v>
      </c>
      <c r="S168" s="79">
        <f>'Core Loads'!S168</f>
        <v>15766985.012872687</v>
      </c>
      <c r="T168" s="79">
        <f>'Core Loads'!T168</f>
        <v>15766985.012872687</v>
      </c>
      <c r="U168" s="79">
        <f>'Core Loads'!U168</f>
        <v>15766985.012872687</v>
      </c>
      <c r="V168" s="79">
        <f>'Core Loads'!V168</f>
        <v>15661982.603749251</v>
      </c>
      <c r="W168" s="79">
        <f>'Core Loads'!W168</f>
        <v>15661982.603749251</v>
      </c>
      <c r="X168" s="79">
        <f>'Core Loads'!X168</f>
        <v>15661982.603749251</v>
      </c>
      <c r="Y168" s="79">
        <f>'Core Loads'!Y168</f>
        <v>15661982.603749251</v>
      </c>
      <c r="Z168" s="79">
        <f>'Core Loads'!Z168</f>
        <v>15661982.603749251</v>
      </c>
      <c r="AA168" s="79">
        <f>'Core Loads'!AA168</f>
        <v>15661982.603749251</v>
      </c>
      <c r="AB168" s="79">
        <f>'Core Loads'!AB168</f>
        <v>15661982.603749251</v>
      </c>
      <c r="AC168" s="79">
        <f>'Core Loads'!AC168</f>
        <v>15661982.603749251</v>
      </c>
      <c r="AD168" s="79">
        <f>'Core Loads'!AD168</f>
        <v>15661982.603749251</v>
      </c>
      <c r="AE168" s="79">
        <f>'Core Loads'!AE168</f>
        <v>15661982.603749251</v>
      </c>
      <c r="AF168" s="79">
        <f>'Core Loads'!AF168</f>
        <v>15661982.603749251</v>
      </c>
      <c r="AG168"/>
      <c r="AH168" s="17" t="s">
        <v>279</v>
      </c>
    </row>
    <row r="169" spans="2:34" hidden="1" outlineLevel="1" x14ac:dyDescent="0.25">
      <c r="B169" s="31" t="s">
        <v>147</v>
      </c>
      <c r="C169" s="79">
        <f>'Core Loads'!C169</f>
        <v>0</v>
      </c>
      <c r="D169" s="79">
        <f>'Core Loads'!D169</f>
        <v>0</v>
      </c>
      <c r="E169" s="79">
        <f>'Core Loads'!E169</f>
        <v>0</v>
      </c>
      <c r="F169" s="79">
        <f>'Core Loads'!F169</f>
        <v>0</v>
      </c>
      <c r="G169" s="79">
        <f>'Core Loads'!G169</f>
        <v>0</v>
      </c>
      <c r="H169" s="79">
        <f>'Core Loads'!H169</f>
        <v>0</v>
      </c>
      <c r="I169" s="79">
        <f>'Core Loads'!I169</f>
        <v>0</v>
      </c>
      <c r="J169" s="79">
        <f>'Core Loads'!J169</f>
        <v>0</v>
      </c>
      <c r="K169" s="79">
        <f>'Core Loads'!K169</f>
        <v>0</v>
      </c>
      <c r="L169" s="79">
        <f>'Core Loads'!L169</f>
        <v>0</v>
      </c>
      <c r="M169" s="79">
        <f>'Core Loads'!M169</f>
        <v>0</v>
      </c>
      <c r="N169" s="79">
        <f>'Core Loads'!N169</f>
        <v>0</v>
      </c>
      <c r="O169" s="79">
        <f>'Core Loads'!O169</f>
        <v>0</v>
      </c>
      <c r="P169" s="79">
        <f>'Core Loads'!P169</f>
        <v>0</v>
      </c>
      <c r="Q169" s="79">
        <f>'Core Loads'!Q169</f>
        <v>0</v>
      </c>
      <c r="R169" s="79">
        <f>'Core Loads'!R169</f>
        <v>0</v>
      </c>
      <c r="S169" s="79">
        <f>'Core Loads'!S169</f>
        <v>0</v>
      </c>
      <c r="T169" s="79">
        <f>'Core Loads'!T169</f>
        <v>0</v>
      </c>
      <c r="U169" s="79">
        <f>'Core Loads'!U169</f>
        <v>0</v>
      </c>
      <c r="V169" s="79">
        <f>'Core Loads'!V169</f>
        <v>0</v>
      </c>
      <c r="W169" s="79">
        <f>'Core Loads'!W169</f>
        <v>0</v>
      </c>
      <c r="X169" s="79">
        <f>'Core Loads'!X169</f>
        <v>0</v>
      </c>
      <c r="Y169" s="79">
        <f>'Core Loads'!Y169</f>
        <v>0</v>
      </c>
      <c r="Z169" s="79">
        <f>'Core Loads'!Z169</f>
        <v>0</v>
      </c>
      <c r="AA169" s="79">
        <f>'Core Loads'!AA169</f>
        <v>0</v>
      </c>
      <c r="AB169" s="79">
        <f>'Core Loads'!AB169</f>
        <v>0</v>
      </c>
      <c r="AC169" s="79">
        <f>'Core Loads'!AC169</f>
        <v>0</v>
      </c>
      <c r="AD169" s="79">
        <f>'Core Loads'!AD169</f>
        <v>0</v>
      </c>
      <c r="AE169" s="79">
        <f>'Core Loads'!AE169</f>
        <v>0</v>
      </c>
      <c r="AF169" s="79">
        <f>'Core Loads'!AF169</f>
        <v>0</v>
      </c>
      <c r="AG169"/>
      <c r="AH169" s="17" t="s">
        <v>279</v>
      </c>
    </row>
    <row r="170" spans="2:34" hidden="1" outlineLevel="1" x14ac:dyDescent="0.25">
      <c r="B170" s="31" t="s">
        <v>245</v>
      </c>
      <c r="C170" s="79">
        <f>'Core Loads'!C170</f>
        <v>0</v>
      </c>
      <c r="D170" s="79">
        <f>'Core Loads'!D170</f>
        <v>0</v>
      </c>
      <c r="E170" s="79">
        <f>'Core Loads'!E170</f>
        <v>0</v>
      </c>
      <c r="F170" s="79">
        <f>'Core Loads'!F170</f>
        <v>0</v>
      </c>
      <c r="G170" s="79">
        <f>'Core Loads'!G170</f>
        <v>0</v>
      </c>
      <c r="H170" s="79">
        <f>'Core Loads'!H170</f>
        <v>0</v>
      </c>
      <c r="I170" s="79">
        <f>'Core Loads'!I170</f>
        <v>0</v>
      </c>
      <c r="J170" s="79">
        <f>'Core Loads'!J170</f>
        <v>0</v>
      </c>
      <c r="K170" s="79">
        <f>'Core Loads'!K170</f>
        <v>0</v>
      </c>
      <c r="L170" s="79">
        <f>'Core Loads'!L170</f>
        <v>0</v>
      </c>
      <c r="M170" s="79">
        <f>'Core Loads'!M170</f>
        <v>0</v>
      </c>
      <c r="N170" s="79">
        <f>'Core Loads'!N170</f>
        <v>0</v>
      </c>
      <c r="O170" s="79">
        <f>'Core Loads'!O170</f>
        <v>0</v>
      </c>
      <c r="P170" s="79">
        <f>'Core Loads'!P170</f>
        <v>0</v>
      </c>
      <c r="Q170" s="79">
        <f>'Core Loads'!Q170</f>
        <v>3395321.1464</v>
      </c>
      <c r="R170" s="79">
        <f>'Core Loads'!R170</f>
        <v>8011631.8983999994</v>
      </c>
      <c r="S170" s="79">
        <f>'Core Loads'!S170</f>
        <v>8011631.8983999994</v>
      </c>
      <c r="T170" s="79">
        <f>'Core Loads'!T170</f>
        <v>8011631.8983999994</v>
      </c>
      <c r="U170" s="79">
        <f>'Core Loads'!U170</f>
        <v>8011631.8983999994</v>
      </c>
      <c r="V170" s="79">
        <f>'Core Loads'!V170</f>
        <v>8011631.8983999994</v>
      </c>
      <c r="W170" s="79">
        <f>'Core Loads'!W170</f>
        <v>8011631.8983999994</v>
      </c>
      <c r="X170" s="79">
        <f>'Core Loads'!X170</f>
        <v>8011631.8983999994</v>
      </c>
      <c r="Y170" s="79">
        <f>'Core Loads'!Y170</f>
        <v>8011631.8983999994</v>
      </c>
      <c r="Z170" s="79">
        <f>'Core Loads'!Z170</f>
        <v>8011631.8983999994</v>
      </c>
      <c r="AA170" s="79">
        <f>'Core Loads'!AA170</f>
        <v>8011631.8983999994</v>
      </c>
      <c r="AB170" s="79">
        <f>'Core Loads'!AB170</f>
        <v>8011631.8983999994</v>
      </c>
      <c r="AC170" s="79">
        <f>'Core Loads'!AC170</f>
        <v>8011631.8983999994</v>
      </c>
      <c r="AD170" s="79">
        <f>'Core Loads'!AD170</f>
        <v>8011631.8983999994</v>
      </c>
      <c r="AE170" s="79">
        <f>'Core Loads'!AE170</f>
        <v>8011631.8983999994</v>
      </c>
      <c r="AF170" s="79">
        <f>'Core Loads'!AF170</f>
        <v>8011631.8983999994</v>
      </c>
      <c r="AG170"/>
      <c r="AH170" s="17" t="s">
        <v>279</v>
      </c>
    </row>
    <row r="171" spans="2:34" hidden="1" outlineLevel="1" x14ac:dyDescent="0.25">
      <c r="B171" s="31" t="s">
        <v>149</v>
      </c>
      <c r="C171" s="79">
        <f>'Core Loads'!C171</f>
        <v>2722778.4479999994</v>
      </c>
      <c r="D171" s="79">
        <f>'Core Loads'!D171</f>
        <v>2722778.4479999994</v>
      </c>
      <c r="E171" s="79">
        <f>'Core Loads'!E171</f>
        <v>2722778.4479999994</v>
      </c>
      <c r="F171" s="79">
        <f>'Core Loads'!F171</f>
        <v>2587422.6519999998</v>
      </c>
      <c r="G171" s="79">
        <f>'Core Loads'!G171</f>
        <v>2587422.6519999998</v>
      </c>
      <c r="H171" s="79">
        <f>'Core Loads'!H171</f>
        <v>11133034.323579084</v>
      </c>
      <c r="I171" s="79">
        <f>'Core Loads'!I171</f>
        <v>11133034.323579084</v>
      </c>
      <c r="J171" s="79">
        <f>'Core Loads'!J171</f>
        <v>10725341.158561142</v>
      </c>
      <c r="K171" s="79">
        <f>'Core Loads'!K171</f>
        <v>10725341.158561142</v>
      </c>
      <c r="L171" s="79">
        <f>'Core Loads'!L171</f>
        <v>11353362.838561142</v>
      </c>
      <c r="M171" s="79">
        <f>'Core Loads'!M171</f>
        <v>20276539.125975639</v>
      </c>
      <c r="N171" s="79">
        <f>'Core Loads'!N171</f>
        <v>20195015.648157112</v>
      </c>
      <c r="O171" s="79">
        <f>'Core Loads'!O171</f>
        <v>20195015.648157112</v>
      </c>
      <c r="P171" s="79">
        <f>'Core Loads'!P171</f>
        <v>20176122.651632618</v>
      </c>
      <c r="Q171" s="79">
        <f>'Core Loads'!Q171</f>
        <v>34644151.522166558</v>
      </c>
      <c r="R171" s="79">
        <f>'Core Loads'!R171</f>
        <v>40373885.678166561</v>
      </c>
      <c r="S171" s="79">
        <f>'Core Loads'!S171</f>
        <v>40373885.678166561</v>
      </c>
      <c r="T171" s="79">
        <f>'Core Loads'!T171</f>
        <v>40373885.678166561</v>
      </c>
      <c r="U171" s="79">
        <f>'Core Loads'!U171</f>
        <v>40373885.678166561</v>
      </c>
      <c r="V171" s="79">
        <f>'Core Loads'!V171</f>
        <v>40268883.269043125</v>
      </c>
      <c r="W171" s="79">
        <f>'Core Loads'!W171</f>
        <v>40268883.269043125</v>
      </c>
      <c r="X171" s="79">
        <f>'Core Loads'!X171</f>
        <v>40268883.269043125</v>
      </c>
      <c r="Y171" s="79">
        <f>'Core Loads'!Y171</f>
        <v>40268883.269043125</v>
      </c>
      <c r="Z171" s="79">
        <f>'Core Loads'!Z171</f>
        <v>40268883.269043125</v>
      </c>
      <c r="AA171" s="79">
        <f>'Core Loads'!AA171</f>
        <v>40268883.269043125</v>
      </c>
      <c r="AB171" s="79">
        <f>'Core Loads'!AB171</f>
        <v>40129288.092132881</v>
      </c>
      <c r="AC171" s="79">
        <f>'Core Loads'!AC171</f>
        <v>40129288.092132881</v>
      </c>
      <c r="AD171" s="79">
        <f>'Core Loads'!AD171</f>
        <v>40129288.092132881</v>
      </c>
      <c r="AE171" s="79">
        <f>'Core Loads'!AE171</f>
        <v>40129288.092132881</v>
      </c>
      <c r="AF171" s="79">
        <f>'Core Loads'!AF171</f>
        <v>40129288.092132881</v>
      </c>
      <c r="AG171"/>
      <c r="AH171" s="17" t="s">
        <v>279</v>
      </c>
    </row>
    <row r="172" spans="2:34" hidden="1" outlineLevel="1" x14ac:dyDescent="0.25"/>
    <row r="173" spans="2:34" hidden="1" outlineLevel="1" x14ac:dyDescent="0.25"/>
    <row r="174" spans="2:34" ht="15.75" collapsed="1" thickTop="1" x14ac:dyDescent="0.25"/>
    <row r="175" spans="2:34" ht="20.25" thickBot="1" x14ac:dyDescent="0.35">
      <c r="B175" s="18" t="s">
        <v>285</v>
      </c>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row>
    <row r="176" spans="2:34" ht="18" hidden="1" outlineLevel="1" thickTop="1" thickBot="1" x14ac:dyDescent="0.3">
      <c r="B176" s="26" t="s">
        <v>277</v>
      </c>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19"/>
      <c r="AH176" s="19"/>
    </row>
    <row r="177" spans="2:35" ht="16.5" hidden="1" outlineLevel="1" thickTop="1" thickBot="1" x14ac:dyDescent="0.3">
      <c r="B177" s="28" t="s">
        <v>278</v>
      </c>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0"/>
      <c r="AH177" s="20" t="s">
        <v>15</v>
      </c>
    </row>
    <row r="178" spans="2:35" customFormat="1" hidden="1" outlineLevel="1" x14ac:dyDescent="0.25">
      <c r="B178" s="30"/>
      <c r="C178" s="17">
        <v>2025</v>
      </c>
      <c r="D178" s="44">
        <v>2026</v>
      </c>
      <c r="E178" s="44">
        <v>2027</v>
      </c>
      <c r="F178" s="44">
        <v>2028</v>
      </c>
      <c r="G178" s="44">
        <v>2029</v>
      </c>
      <c r="H178" s="44">
        <v>2030</v>
      </c>
      <c r="I178" s="44">
        <v>2031</v>
      </c>
      <c r="J178" s="44">
        <v>2032</v>
      </c>
      <c r="K178" s="44">
        <v>2033</v>
      </c>
      <c r="L178" s="44">
        <v>2034</v>
      </c>
      <c r="M178" s="44">
        <v>2035</v>
      </c>
      <c r="N178" s="44">
        <v>2036</v>
      </c>
      <c r="O178" s="44">
        <v>2037</v>
      </c>
      <c r="P178" s="44">
        <v>2038</v>
      </c>
      <c r="Q178" s="44">
        <v>2039</v>
      </c>
      <c r="R178" s="44">
        <v>2040</v>
      </c>
      <c r="S178" s="44">
        <v>2041</v>
      </c>
      <c r="T178" s="44">
        <v>2042</v>
      </c>
      <c r="U178" s="44">
        <v>2043</v>
      </c>
      <c r="V178" s="44">
        <v>2044</v>
      </c>
      <c r="W178" s="44">
        <v>2045</v>
      </c>
      <c r="X178" s="44">
        <v>2046</v>
      </c>
      <c r="Y178" s="44">
        <v>2047</v>
      </c>
      <c r="Z178" s="44">
        <v>2048</v>
      </c>
      <c r="AA178" s="44">
        <v>2049</v>
      </c>
      <c r="AB178" s="44">
        <v>2050</v>
      </c>
      <c r="AC178" s="44">
        <v>2051</v>
      </c>
      <c r="AD178" s="44">
        <v>2052</v>
      </c>
      <c r="AE178" s="44">
        <v>2053</v>
      </c>
      <c r="AF178" s="44">
        <v>2054</v>
      </c>
    </row>
    <row r="179" spans="2:35" hidden="1" outlineLevel="1" x14ac:dyDescent="0.25">
      <c r="B179" s="31" t="s">
        <v>144</v>
      </c>
      <c r="C179" s="79">
        <f>'Core Loads'!C179</f>
        <v>41100367.759866863</v>
      </c>
      <c r="D179" s="79">
        <f>'Core Loads'!D179</f>
        <v>41100367.759866863</v>
      </c>
      <c r="E179" s="79">
        <f>'Core Loads'!E179</f>
        <v>0</v>
      </c>
      <c r="F179" s="79">
        <f>'Core Loads'!F179</f>
        <v>0</v>
      </c>
      <c r="G179" s="79">
        <f>'Core Loads'!G179</f>
        <v>0</v>
      </c>
      <c r="H179" s="79">
        <f>'Core Loads'!H179</f>
        <v>0</v>
      </c>
      <c r="I179" s="79">
        <f>'Core Loads'!I179</f>
        <v>0</v>
      </c>
      <c r="J179" s="79">
        <f>'Core Loads'!J179</f>
        <v>0</v>
      </c>
      <c r="K179" s="79">
        <f>'Core Loads'!K179</f>
        <v>0</v>
      </c>
      <c r="L179" s="79">
        <f>'Core Loads'!L179</f>
        <v>0</v>
      </c>
      <c r="M179" s="79">
        <f>'Core Loads'!M179</f>
        <v>0</v>
      </c>
      <c r="N179" s="79">
        <f>'Core Loads'!N179</f>
        <v>0</v>
      </c>
      <c r="O179" s="79">
        <f>'Core Loads'!O179</f>
        <v>0</v>
      </c>
      <c r="P179" s="79">
        <f>'Core Loads'!P179</f>
        <v>0</v>
      </c>
      <c r="Q179" s="79">
        <f>'Core Loads'!Q179</f>
        <v>0</v>
      </c>
      <c r="R179" s="79">
        <f>'Core Loads'!R179</f>
        <v>0</v>
      </c>
      <c r="S179" s="79">
        <f>'Core Loads'!S179</f>
        <v>0</v>
      </c>
      <c r="T179" s="79">
        <f>'Core Loads'!T179</f>
        <v>0</v>
      </c>
      <c r="U179" s="79">
        <f>'Core Loads'!U179</f>
        <v>0</v>
      </c>
      <c r="V179" s="79">
        <f>'Core Loads'!V179</f>
        <v>0</v>
      </c>
      <c r="W179" s="79">
        <f>'Core Loads'!W179</f>
        <v>0</v>
      </c>
      <c r="X179" s="79">
        <f>'Core Loads'!X179</f>
        <v>0</v>
      </c>
      <c r="Y179" s="79">
        <f>'Core Loads'!Y179</f>
        <v>0</v>
      </c>
      <c r="Z179" s="79">
        <f>'Core Loads'!Z179</f>
        <v>0</v>
      </c>
      <c r="AA179" s="79">
        <f>'Core Loads'!AA179</f>
        <v>0</v>
      </c>
      <c r="AB179" s="79">
        <f>'Core Loads'!AB179</f>
        <v>0</v>
      </c>
      <c r="AC179" s="79">
        <f>'Core Loads'!AC179</f>
        <v>0</v>
      </c>
      <c r="AD179" s="79">
        <f>'Core Loads'!AD179</f>
        <v>0</v>
      </c>
      <c r="AE179" s="79">
        <f>'Core Loads'!AE179</f>
        <v>0</v>
      </c>
      <c r="AF179" s="79">
        <f>'Core Loads'!AF179</f>
        <v>0</v>
      </c>
      <c r="AG179"/>
      <c r="AH179" s="17" t="s">
        <v>279</v>
      </c>
    </row>
    <row r="180" spans="2:35" hidden="1" outlineLevel="1" x14ac:dyDescent="0.25">
      <c r="B180" s="31" t="s">
        <v>145</v>
      </c>
      <c r="C180" s="79">
        <f>'Core Loads'!C180</f>
        <v>15277743.907373067</v>
      </c>
      <c r="D180" s="79">
        <f>'Core Loads'!D180</f>
        <v>15770486.74488374</v>
      </c>
      <c r="E180" s="79">
        <f>'Core Loads'!E180</f>
        <v>0</v>
      </c>
      <c r="F180" s="79">
        <f>'Core Loads'!F180</f>
        <v>0</v>
      </c>
      <c r="G180" s="79">
        <f>'Core Loads'!G180</f>
        <v>0</v>
      </c>
      <c r="H180" s="79">
        <f>'Core Loads'!H180</f>
        <v>0</v>
      </c>
      <c r="I180" s="79">
        <f>'Core Loads'!I180</f>
        <v>0</v>
      </c>
      <c r="J180" s="79">
        <f>'Core Loads'!J180</f>
        <v>0</v>
      </c>
      <c r="K180" s="79">
        <f>'Core Loads'!K180</f>
        <v>0</v>
      </c>
      <c r="L180" s="79">
        <f>'Core Loads'!L180</f>
        <v>0</v>
      </c>
      <c r="M180" s="79">
        <f>'Core Loads'!M180</f>
        <v>0</v>
      </c>
      <c r="N180" s="79">
        <f>'Core Loads'!N180</f>
        <v>0</v>
      </c>
      <c r="O180" s="79">
        <f>'Core Loads'!O180</f>
        <v>0</v>
      </c>
      <c r="P180" s="79">
        <f>'Core Loads'!P180</f>
        <v>0</v>
      </c>
      <c r="Q180" s="79">
        <f>'Core Loads'!Q180</f>
        <v>0</v>
      </c>
      <c r="R180" s="79">
        <f>'Core Loads'!R180</f>
        <v>0</v>
      </c>
      <c r="S180" s="79">
        <f>'Core Loads'!S180</f>
        <v>0</v>
      </c>
      <c r="T180" s="79">
        <f>'Core Loads'!T180</f>
        <v>0</v>
      </c>
      <c r="U180" s="79">
        <f>'Core Loads'!U180</f>
        <v>0</v>
      </c>
      <c r="V180" s="79">
        <f>'Core Loads'!V180</f>
        <v>0</v>
      </c>
      <c r="W180" s="79">
        <f>'Core Loads'!W180</f>
        <v>0</v>
      </c>
      <c r="X180" s="79">
        <f>'Core Loads'!X180</f>
        <v>0</v>
      </c>
      <c r="Y180" s="79">
        <f>'Core Loads'!Y180</f>
        <v>0</v>
      </c>
      <c r="Z180" s="79">
        <f>'Core Loads'!Z180</f>
        <v>0</v>
      </c>
      <c r="AA180" s="79">
        <f>'Core Loads'!AA180</f>
        <v>0</v>
      </c>
      <c r="AB180" s="79">
        <f>'Core Loads'!AB180</f>
        <v>0</v>
      </c>
      <c r="AC180" s="79">
        <f>'Core Loads'!AC180</f>
        <v>0</v>
      </c>
      <c r="AD180" s="79">
        <f>'Core Loads'!AD180</f>
        <v>0</v>
      </c>
      <c r="AE180" s="79">
        <f>'Core Loads'!AE180</f>
        <v>0</v>
      </c>
      <c r="AF180" s="79">
        <f>'Core Loads'!AF180</f>
        <v>0</v>
      </c>
      <c r="AG180"/>
      <c r="AH180" s="17" t="s">
        <v>279</v>
      </c>
    </row>
    <row r="181" spans="2:35" hidden="1" outlineLevel="1" x14ac:dyDescent="0.25">
      <c r="B181" s="31" t="s">
        <v>244</v>
      </c>
      <c r="C181" s="79">
        <f>'Core Loads'!C181</f>
        <v>74467327.643795222</v>
      </c>
      <c r="D181" s="79">
        <f>'Core Loads'!D181</f>
        <v>74467327.643795222</v>
      </c>
      <c r="E181" s="79">
        <f>'Core Loads'!E181</f>
        <v>0</v>
      </c>
      <c r="F181" s="79">
        <f>'Core Loads'!F181</f>
        <v>0</v>
      </c>
      <c r="G181" s="79">
        <f>'Core Loads'!G181</f>
        <v>0</v>
      </c>
      <c r="H181" s="79">
        <f>'Core Loads'!H181</f>
        <v>0</v>
      </c>
      <c r="I181" s="79">
        <f>'Core Loads'!I181</f>
        <v>0</v>
      </c>
      <c r="J181" s="79">
        <f>'Core Loads'!J181</f>
        <v>0</v>
      </c>
      <c r="K181" s="79">
        <f>'Core Loads'!K181</f>
        <v>0</v>
      </c>
      <c r="L181" s="79">
        <f>'Core Loads'!L181</f>
        <v>0</v>
      </c>
      <c r="M181" s="79">
        <f>'Core Loads'!M181</f>
        <v>0</v>
      </c>
      <c r="N181" s="79">
        <f>'Core Loads'!N181</f>
        <v>0</v>
      </c>
      <c r="O181" s="79">
        <f>'Core Loads'!O181</f>
        <v>0</v>
      </c>
      <c r="P181" s="79">
        <f>'Core Loads'!P181</f>
        <v>0</v>
      </c>
      <c r="Q181" s="79">
        <f>'Core Loads'!Q181</f>
        <v>0</v>
      </c>
      <c r="R181" s="79">
        <f>'Core Loads'!R181</f>
        <v>0</v>
      </c>
      <c r="S181" s="79">
        <f>'Core Loads'!S181</f>
        <v>0</v>
      </c>
      <c r="T181" s="79">
        <f>'Core Loads'!T181</f>
        <v>0</v>
      </c>
      <c r="U181" s="79">
        <f>'Core Loads'!U181</f>
        <v>0</v>
      </c>
      <c r="V181" s="79">
        <f>'Core Loads'!V181</f>
        <v>0</v>
      </c>
      <c r="W181" s="79">
        <f>'Core Loads'!W181</f>
        <v>0</v>
      </c>
      <c r="X181" s="79">
        <f>'Core Loads'!X181</f>
        <v>0</v>
      </c>
      <c r="Y181" s="79">
        <f>'Core Loads'!Y181</f>
        <v>0</v>
      </c>
      <c r="Z181" s="79">
        <f>'Core Loads'!Z181</f>
        <v>0</v>
      </c>
      <c r="AA181" s="79">
        <f>'Core Loads'!AA181</f>
        <v>0</v>
      </c>
      <c r="AB181" s="79">
        <f>'Core Loads'!AB181</f>
        <v>0</v>
      </c>
      <c r="AC181" s="79">
        <f>'Core Loads'!AC181</f>
        <v>0</v>
      </c>
      <c r="AD181" s="79">
        <f>'Core Loads'!AD181</f>
        <v>0</v>
      </c>
      <c r="AE181" s="79">
        <f>'Core Loads'!AE181</f>
        <v>0</v>
      </c>
      <c r="AF181" s="79">
        <f>'Core Loads'!AF181</f>
        <v>0</v>
      </c>
      <c r="AG181"/>
      <c r="AH181" s="17" t="s">
        <v>279</v>
      </c>
    </row>
    <row r="182" spans="2:35" hidden="1" outlineLevel="1" x14ac:dyDescent="0.25">
      <c r="B182" s="31" t="s">
        <v>147</v>
      </c>
      <c r="C182" s="79">
        <f>'Core Loads'!C182</f>
        <v>0</v>
      </c>
      <c r="D182" s="79">
        <f>'Core Loads'!D182</f>
        <v>0</v>
      </c>
      <c r="E182" s="79">
        <f>'Core Loads'!E182</f>
        <v>0</v>
      </c>
      <c r="F182" s="79">
        <f>'Core Loads'!F182</f>
        <v>0</v>
      </c>
      <c r="G182" s="79">
        <f>'Core Loads'!G182</f>
        <v>0</v>
      </c>
      <c r="H182" s="79">
        <f>'Core Loads'!H182</f>
        <v>0</v>
      </c>
      <c r="I182" s="79">
        <f>'Core Loads'!I182</f>
        <v>0</v>
      </c>
      <c r="J182" s="79">
        <f>'Core Loads'!J182</f>
        <v>0</v>
      </c>
      <c r="K182" s="79">
        <f>'Core Loads'!K182</f>
        <v>0</v>
      </c>
      <c r="L182" s="79">
        <f>'Core Loads'!L182</f>
        <v>0</v>
      </c>
      <c r="M182" s="79">
        <f>'Core Loads'!M182</f>
        <v>0</v>
      </c>
      <c r="N182" s="79">
        <f>'Core Loads'!N182</f>
        <v>0</v>
      </c>
      <c r="O182" s="79">
        <f>'Core Loads'!O182</f>
        <v>0</v>
      </c>
      <c r="P182" s="79">
        <f>'Core Loads'!P182</f>
        <v>0</v>
      </c>
      <c r="Q182" s="79">
        <f>'Core Loads'!Q182</f>
        <v>0</v>
      </c>
      <c r="R182" s="79">
        <f>'Core Loads'!R182</f>
        <v>0</v>
      </c>
      <c r="S182" s="79">
        <f>'Core Loads'!S182</f>
        <v>0</v>
      </c>
      <c r="T182" s="79">
        <f>'Core Loads'!T182</f>
        <v>0</v>
      </c>
      <c r="U182" s="79">
        <f>'Core Loads'!U182</f>
        <v>0</v>
      </c>
      <c r="V182" s="79">
        <f>'Core Loads'!V182</f>
        <v>0</v>
      </c>
      <c r="W182" s="79">
        <f>'Core Loads'!W182</f>
        <v>0</v>
      </c>
      <c r="X182" s="79">
        <f>'Core Loads'!X182</f>
        <v>0</v>
      </c>
      <c r="Y182" s="79">
        <f>'Core Loads'!Y182</f>
        <v>0</v>
      </c>
      <c r="Z182" s="79">
        <f>'Core Loads'!Z182</f>
        <v>0</v>
      </c>
      <c r="AA182" s="79">
        <f>'Core Loads'!AA182</f>
        <v>0</v>
      </c>
      <c r="AB182" s="79">
        <f>'Core Loads'!AB182</f>
        <v>0</v>
      </c>
      <c r="AC182" s="79">
        <f>'Core Loads'!AC182</f>
        <v>0</v>
      </c>
      <c r="AD182" s="79">
        <f>'Core Loads'!AD182</f>
        <v>0</v>
      </c>
      <c r="AE182" s="79">
        <f>'Core Loads'!AE182</f>
        <v>0</v>
      </c>
      <c r="AF182" s="79">
        <f>'Core Loads'!AF182</f>
        <v>0</v>
      </c>
      <c r="AG182"/>
      <c r="AH182" s="17" t="s">
        <v>279</v>
      </c>
    </row>
    <row r="183" spans="2:35" hidden="1" outlineLevel="1" x14ac:dyDescent="0.25">
      <c r="B183" s="31" t="s">
        <v>245</v>
      </c>
      <c r="C183" s="79">
        <f>'Core Loads'!C183</f>
        <v>5531260.8599999994</v>
      </c>
      <c r="D183" s="79">
        <f>'Core Loads'!D183</f>
        <v>5531260.8599999994</v>
      </c>
      <c r="E183" s="79">
        <f>'Core Loads'!E183</f>
        <v>0</v>
      </c>
      <c r="F183" s="79">
        <f>'Core Loads'!F183</f>
        <v>0</v>
      </c>
      <c r="G183" s="79">
        <f>'Core Loads'!G183</f>
        <v>0</v>
      </c>
      <c r="H183" s="79">
        <f>'Core Loads'!H183</f>
        <v>0</v>
      </c>
      <c r="I183" s="79">
        <f>'Core Loads'!I183</f>
        <v>0</v>
      </c>
      <c r="J183" s="79">
        <f>'Core Loads'!J183</f>
        <v>0</v>
      </c>
      <c r="K183" s="79">
        <f>'Core Loads'!K183</f>
        <v>0</v>
      </c>
      <c r="L183" s="79">
        <f>'Core Loads'!L183</f>
        <v>0</v>
      </c>
      <c r="M183" s="79">
        <f>'Core Loads'!M183</f>
        <v>0</v>
      </c>
      <c r="N183" s="79">
        <f>'Core Loads'!N183</f>
        <v>0</v>
      </c>
      <c r="O183" s="79">
        <f>'Core Loads'!O183</f>
        <v>0</v>
      </c>
      <c r="P183" s="79">
        <f>'Core Loads'!P183</f>
        <v>0</v>
      </c>
      <c r="Q183" s="79">
        <f>'Core Loads'!Q183</f>
        <v>0</v>
      </c>
      <c r="R183" s="79">
        <f>'Core Loads'!R183</f>
        <v>0</v>
      </c>
      <c r="S183" s="79">
        <f>'Core Loads'!S183</f>
        <v>0</v>
      </c>
      <c r="T183" s="79">
        <f>'Core Loads'!T183</f>
        <v>0</v>
      </c>
      <c r="U183" s="79">
        <f>'Core Loads'!U183</f>
        <v>0</v>
      </c>
      <c r="V183" s="79">
        <f>'Core Loads'!V183</f>
        <v>0</v>
      </c>
      <c r="W183" s="79">
        <f>'Core Loads'!W183</f>
        <v>0</v>
      </c>
      <c r="X183" s="79">
        <f>'Core Loads'!X183</f>
        <v>0</v>
      </c>
      <c r="Y183" s="79">
        <f>'Core Loads'!Y183</f>
        <v>0</v>
      </c>
      <c r="Z183" s="79">
        <f>'Core Loads'!Z183</f>
        <v>0</v>
      </c>
      <c r="AA183" s="79">
        <f>'Core Loads'!AA183</f>
        <v>0</v>
      </c>
      <c r="AB183" s="79">
        <f>'Core Loads'!AB183</f>
        <v>0</v>
      </c>
      <c r="AC183" s="79">
        <f>'Core Loads'!AC183</f>
        <v>0</v>
      </c>
      <c r="AD183" s="79">
        <f>'Core Loads'!AD183</f>
        <v>0</v>
      </c>
      <c r="AE183" s="79">
        <f>'Core Loads'!AE183</f>
        <v>0</v>
      </c>
      <c r="AF183" s="79">
        <f>'Core Loads'!AF183</f>
        <v>0</v>
      </c>
      <c r="AG183"/>
      <c r="AH183" s="17" t="s">
        <v>279</v>
      </c>
    </row>
    <row r="184" spans="2:35" hidden="1" outlineLevel="1" x14ac:dyDescent="0.25">
      <c r="B184" s="31" t="s">
        <v>149</v>
      </c>
      <c r="C184" s="79">
        <f>'Core Loads'!C184</f>
        <v>136376700.17103517</v>
      </c>
      <c r="D184" s="79">
        <f>'Core Loads'!D184</f>
        <v>136869443.00854582</v>
      </c>
      <c r="E184" s="79">
        <f>'Core Loads'!E184</f>
        <v>0</v>
      </c>
      <c r="F184" s="79">
        <f>'Core Loads'!F184</f>
        <v>0</v>
      </c>
      <c r="G184" s="79">
        <f>'Core Loads'!G184</f>
        <v>0</v>
      </c>
      <c r="H184" s="79">
        <f>'Core Loads'!H184</f>
        <v>0</v>
      </c>
      <c r="I184" s="79">
        <f>'Core Loads'!I184</f>
        <v>0</v>
      </c>
      <c r="J184" s="79">
        <f>'Core Loads'!J184</f>
        <v>0</v>
      </c>
      <c r="K184" s="79">
        <f>'Core Loads'!K184</f>
        <v>0</v>
      </c>
      <c r="L184" s="79">
        <f>'Core Loads'!L184</f>
        <v>0</v>
      </c>
      <c r="M184" s="79">
        <f>'Core Loads'!M184</f>
        <v>0</v>
      </c>
      <c r="N184" s="79">
        <f>'Core Loads'!N184</f>
        <v>0</v>
      </c>
      <c r="O184" s="79">
        <f>'Core Loads'!O184</f>
        <v>0</v>
      </c>
      <c r="P184" s="79">
        <f>'Core Loads'!P184</f>
        <v>0</v>
      </c>
      <c r="Q184" s="79">
        <f>'Core Loads'!Q184</f>
        <v>0</v>
      </c>
      <c r="R184" s="79">
        <f>'Core Loads'!R184</f>
        <v>0</v>
      </c>
      <c r="S184" s="79">
        <f>'Core Loads'!S184</f>
        <v>0</v>
      </c>
      <c r="T184" s="79">
        <f>'Core Loads'!T184</f>
        <v>0</v>
      </c>
      <c r="U184" s="79">
        <f>'Core Loads'!U184</f>
        <v>0</v>
      </c>
      <c r="V184" s="79">
        <f>'Core Loads'!V184</f>
        <v>0</v>
      </c>
      <c r="W184" s="79">
        <f>'Core Loads'!W184</f>
        <v>0</v>
      </c>
      <c r="X184" s="79">
        <f>'Core Loads'!X184</f>
        <v>0</v>
      </c>
      <c r="Y184" s="79">
        <f>'Core Loads'!Y184</f>
        <v>0</v>
      </c>
      <c r="Z184" s="79">
        <f>'Core Loads'!Z184</f>
        <v>0</v>
      </c>
      <c r="AA184" s="79">
        <f>'Core Loads'!AA184</f>
        <v>0</v>
      </c>
      <c r="AB184" s="79">
        <f>'Core Loads'!AB184</f>
        <v>0</v>
      </c>
      <c r="AC184" s="79">
        <f>'Core Loads'!AC184</f>
        <v>0</v>
      </c>
      <c r="AD184" s="79">
        <f>'Core Loads'!AD184</f>
        <v>0</v>
      </c>
      <c r="AE184" s="79">
        <f>'Core Loads'!AE184</f>
        <v>0</v>
      </c>
      <c r="AF184" s="79">
        <f>'Core Loads'!AF184</f>
        <v>0</v>
      </c>
      <c r="AG184"/>
      <c r="AH184" s="17" t="s">
        <v>279</v>
      </c>
      <c r="AI184"/>
    </row>
    <row r="185" spans="2:35" hidden="1" outlineLevel="1" x14ac:dyDescent="0.25">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c r="AH185"/>
      <c r="AI185"/>
    </row>
    <row r="186" spans="2:35" customFormat="1" ht="15.75" hidden="1" outlineLevel="1" thickBot="1" x14ac:dyDescent="0.3">
      <c r="B186" s="28" t="s">
        <v>280</v>
      </c>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0"/>
      <c r="AH186" s="20" t="s">
        <v>15</v>
      </c>
    </row>
    <row r="187" spans="2:35" customFormat="1" hidden="1" outlineLevel="1" x14ac:dyDescent="0.25">
      <c r="B187" s="30"/>
      <c r="C187" s="17">
        <v>2025</v>
      </c>
      <c r="D187" s="44">
        <v>2026</v>
      </c>
      <c r="E187" s="44">
        <v>2027</v>
      </c>
      <c r="F187" s="44">
        <v>2028</v>
      </c>
      <c r="G187" s="44">
        <v>2029</v>
      </c>
      <c r="H187" s="44">
        <v>2030</v>
      </c>
      <c r="I187" s="44">
        <v>2031</v>
      </c>
      <c r="J187" s="44">
        <v>2032</v>
      </c>
      <c r="K187" s="44">
        <v>2033</v>
      </c>
      <c r="L187" s="44">
        <v>2034</v>
      </c>
      <c r="M187" s="44">
        <v>2035</v>
      </c>
      <c r="N187" s="44">
        <v>2036</v>
      </c>
      <c r="O187" s="44">
        <v>2037</v>
      </c>
      <c r="P187" s="44">
        <v>2038</v>
      </c>
      <c r="Q187" s="44">
        <v>2039</v>
      </c>
      <c r="R187" s="44">
        <v>2040</v>
      </c>
      <c r="S187" s="44">
        <v>2041</v>
      </c>
      <c r="T187" s="44">
        <v>2042</v>
      </c>
      <c r="U187" s="44">
        <v>2043</v>
      </c>
      <c r="V187" s="44">
        <v>2044</v>
      </c>
      <c r="W187" s="44">
        <v>2045</v>
      </c>
      <c r="X187" s="44">
        <v>2046</v>
      </c>
      <c r="Y187" s="44">
        <v>2047</v>
      </c>
      <c r="Z187" s="44">
        <v>2048</v>
      </c>
      <c r="AA187" s="44">
        <v>2049</v>
      </c>
      <c r="AB187" s="44">
        <v>2050</v>
      </c>
      <c r="AC187" s="44">
        <v>2051</v>
      </c>
      <c r="AD187" s="44">
        <v>2052</v>
      </c>
      <c r="AE187" s="44">
        <v>2053</v>
      </c>
      <c r="AF187" s="44">
        <v>2054</v>
      </c>
    </row>
    <row r="188" spans="2:35" hidden="1" outlineLevel="1" x14ac:dyDescent="0.25">
      <c r="B188" s="31" t="s">
        <v>144</v>
      </c>
      <c r="C188" s="79">
        <f>'Core Loads'!C188</f>
        <v>0</v>
      </c>
      <c r="D188" s="79">
        <f>'Core Loads'!D188</f>
        <v>0</v>
      </c>
      <c r="E188" s="79">
        <f>'Core Loads'!E188</f>
        <v>41100367.759866863</v>
      </c>
      <c r="F188" s="79">
        <f>'Core Loads'!F188</f>
        <v>39612639.320832737</v>
      </c>
      <c r="G188" s="79">
        <f>'Core Loads'!G188</f>
        <v>39612639.320832737</v>
      </c>
      <c r="H188" s="79">
        <f>'Core Loads'!H188</f>
        <v>39763990.663512737</v>
      </c>
      <c r="I188" s="79">
        <f>'Core Loads'!I188</f>
        <v>39763990.663512737</v>
      </c>
      <c r="J188" s="79">
        <f>'Core Loads'!J188</f>
        <v>38704492.561179683</v>
      </c>
      <c r="K188" s="79">
        <f>'Core Loads'!K188</f>
        <v>38704492.561179683</v>
      </c>
      <c r="L188" s="79">
        <f>'Core Loads'!L188</f>
        <v>38772187.839759685</v>
      </c>
      <c r="M188" s="79">
        <f>'Core Loads'!M188</f>
        <v>38772187.839759685</v>
      </c>
      <c r="N188" s="79">
        <f>'Core Loads'!N188</f>
        <v>38772187.839759685</v>
      </c>
      <c r="O188" s="79">
        <f>'Core Loads'!O188</f>
        <v>38772187.839759685</v>
      </c>
      <c r="P188" s="79">
        <f>'Core Loads'!P188</f>
        <v>38772187.839759685</v>
      </c>
      <c r="Q188" s="79">
        <f>'Core Loads'!Q188</f>
        <v>38772187.839759685</v>
      </c>
      <c r="R188" s="79">
        <f>'Core Loads'!R188</f>
        <v>38772187.839759685</v>
      </c>
      <c r="S188" s="79">
        <f>'Core Loads'!S188</f>
        <v>38772187.839759685</v>
      </c>
      <c r="T188" s="79">
        <f>'Core Loads'!T188</f>
        <v>38772187.839759685</v>
      </c>
      <c r="U188" s="79">
        <f>'Core Loads'!U188</f>
        <v>38772187.839759685</v>
      </c>
      <c r="V188" s="79">
        <f>'Core Loads'!V188</f>
        <v>38772187.839759685</v>
      </c>
      <c r="W188" s="79">
        <f>'Core Loads'!W188</f>
        <v>38772187.839759685</v>
      </c>
      <c r="X188" s="79">
        <f>'Core Loads'!X188</f>
        <v>38772187.839759685</v>
      </c>
      <c r="Y188" s="79">
        <f>'Core Loads'!Y188</f>
        <v>38772187.839759685</v>
      </c>
      <c r="Z188" s="79">
        <f>'Core Loads'!Z188</f>
        <v>38772187.839759685</v>
      </c>
      <c r="AA188" s="79">
        <f>'Core Loads'!AA188</f>
        <v>38772187.839759685</v>
      </c>
      <c r="AB188" s="79">
        <f>'Core Loads'!AB188</f>
        <v>38772187.839759685</v>
      </c>
      <c r="AC188" s="79">
        <f>'Core Loads'!AC188</f>
        <v>38772187.839759685</v>
      </c>
      <c r="AD188" s="79">
        <f>'Core Loads'!AD188</f>
        <v>38772187.839759685</v>
      </c>
      <c r="AE188" s="79">
        <f>'Core Loads'!AE188</f>
        <v>38772187.839759685</v>
      </c>
      <c r="AF188" s="79">
        <f>'Core Loads'!AF188</f>
        <v>38772187.839759685</v>
      </c>
      <c r="AG188"/>
      <c r="AH188" s="17" t="s">
        <v>279</v>
      </c>
    </row>
    <row r="189" spans="2:35" hidden="1" outlineLevel="1" x14ac:dyDescent="0.25">
      <c r="B189" s="31" t="s">
        <v>145</v>
      </c>
      <c r="C189" s="79">
        <f>'Core Loads'!C189</f>
        <v>0</v>
      </c>
      <c r="D189" s="79">
        <f>'Core Loads'!D189</f>
        <v>0</v>
      </c>
      <c r="E189" s="79">
        <f>'Core Loads'!E189</f>
        <v>15770486.74488374</v>
      </c>
      <c r="F189" s="79">
        <f>'Core Loads'!F189</f>
        <v>15770486.74488374</v>
      </c>
      <c r="G189" s="79">
        <f>'Core Loads'!G189</f>
        <v>15770486.74488374</v>
      </c>
      <c r="H189" s="79">
        <f>'Core Loads'!H189</f>
        <v>15787184.845623737</v>
      </c>
      <c r="I189" s="79">
        <f>'Core Loads'!I189</f>
        <v>15787184.845623737</v>
      </c>
      <c r="J189" s="79">
        <f>'Core Loads'!J189</f>
        <v>15787184.845623737</v>
      </c>
      <c r="K189" s="79">
        <f>'Core Loads'!K189</f>
        <v>15787184.845623737</v>
      </c>
      <c r="L189" s="79">
        <f>'Core Loads'!L189</f>
        <v>15390568.910004416</v>
      </c>
      <c r="M189" s="79">
        <f>'Core Loads'!M189</f>
        <v>15390568.910004416</v>
      </c>
      <c r="N189" s="79">
        <f>'Core Loads'!N189</f>
        <v>15390568.910004416</v>
      </c>
      <c r="O189" s="79">
        <f>'Core Loads'!O189</f>
        <v>15390568.910004416</v>
      </c>
      <c r="P189" s="79">
        <f>'Core Loads'!P189</f>
        <v>15364645.040004415</v>
      </c>
      <c r="Q189" s="79">
        <f>'Core Loads'!Q189</f>
        <v>15364645.040004415</v>
      </c>
      <c r="R189" s="79">
        <f>'Core Loads'!R189</f>
        <v>15384699.734404417</v>
      </c>
      <c r="S189" s="79">
        <f>'Core Loads'!S189</f>
        <v>15384699.734404417</v>
      </c>
      <c r="T189" s="79">
        <f>'Core Loads'!T189</f>
        <v>15384699.734404417</v>
      </c>
      <c r="U189" s="79">
        <f>'Core Loads'!U189</f>
        <v>15384699.734404417</v>
      </c>
      <c r="V189" s="79">
        <f>'Core Loads'!V189</f>
        <v>15384699.734404417</v>
      </c>
      <c r="W189" s="79">
        <f>'Core Loads'!W189</f>
        <v>15384699.734404417</v>
      </c>
      <c r="X189" s="79">
        <f>'Core Loads'!X189</f>
        <v>15384699.734404417</v>
      </c>
      <c r="Y189" s="79">
        <f>'Core Loads'!Y189</f>
        <v>15384699.734404417</v>
      </c>
      <c r="Z189" s="79">
        <f>'Core Loads'!Z189</f>
        <v>15384699.734404417</v>
      </c>
      <c r="AA189" s="79">
        <f>'Core Loads'!AA189</f>
        <v>15384699.734404417</v>
      </c>
      <c r="AB189" s="79">
        <f>'Core Loads'!AB189</f>
        <v>14843250.017475424</v>
      </c>
      <c r="AC189" s="79">
        <f>'Core Loads'!AC189</f>
        <v>14843250.017475424</v>
      </c>
      <c r="AD189" s="79">
        <f>'Core Loads'!AD189</f>
        <v>14843250.017475424</v>
      </c>
      <c r="AE189" s="79">
        <f>'Core Loads'!AE189</f>
        <v>14843250.017475424</v>
      </c>
      <c r="AF189" s="79">
        <f>'Core Loads'!AF189</f>
        <v>14843250.017475424</v>
      </c>
      <c r="AG189"/>
      <c r="AH189" s="17" t="s">
        <v>279</v>
      </c>
    </row>
    <row r="190" spans="2:35" hidden="1" outlineLevel="1" x14ac:dyDescent="0.25">
      <c r="B190" s="31" t="s">
        <v>244</v>
      </c>
      <c r="C190" s="79">
        <f>'Core Loads'!C190</f>
        <v>0</v>
      </c>
      <c r="D190" s="79">
        <f>'Core Loads'!D190</f>
        <v>0</v>
      </c>
      <c r="E190" s="79">
        <f>'Core Loads'!E190</f>
        <v>74467327.643795222</v>
      </c>
      <c r="F190" s="79">
        <f>'Core Loads'!F190</f>
        <v>87649721.664786637</v>
      </c>
      <c r="G190" s="79">
        <f>'Core Loads'!G190</f>
        <v>87649721.664786637</v>
      </c>
      <c r="H190" s="79">
        <f>'Core Loads'!H190</f>
        <v>88236897.776487172</v>
      </c>
      <c r="I190" s="79">
        <f>'Core Loads'!I190</f>
        <v>88236897.776487172</v>
      </c>
      <c r="J190" s="79">
        <f>'Core Loads'!J190</f>
        <v>80002966.613187522</v>
      </c>
      <c r="K190" s="79">
        <f>'Core Loads'!K190</f>
        <v>80002966.613187522</v>
      </c>
      <c r="L190" s="79">
        <f>'Core Loads'!L190</f>
        <v>80002966.613187522</v>
      </c>
      <c r="M190" s="79">
        <f>'Core Loads'!M190</f>
        <v>80002966.613187522</v>
      </c>
      <c r="N190" s="79">
        <f>'Core Loads'!N190</f>
        <v>79425262.459042355</v>
      </c>
      <c r="O190" s="79">
        <f>'Core Loads'!O190</f>
        <v>79425262.459042355</v>
      </c>
      <c r="P190" s="79">
        <f>'Core Loads'!P190</f>
        <v>79425262.459042355</v>
      </c>
      <c r="Q190" s="79">
        <f>'Core Loads'!Q190</f>
        <v>79425262.459042355</v>
      </c>
      <c r="R190" s="79">
        <f>'Core Loads'!R190</f>
        <v>82311974.959042355</v>
      </c>
      <c r="S190" s="79">
        <f>'Core Loads'!S190</f>
        <v>82311974.959042355</v>
      </c>
      <c r="T190" s="79">
        <f>'Core Loads'!T190</f>
        <v>82311974.959042355</v>
      </c>
      <c r="U190" s="79">
        <f>'Core Loads'!U190</f>
        <v>82311974.959042355</v>
      </c>
      <c r="V190" s="79">
        <f>'Core Loads'!V190</f>
        <v>81863454.238701224</v>
      </c>
      <c r="W190" s="79">
        <f>'Core Loads'!W190</f>
        <v>81863454.238701224</v>
      </c>
      <c r="X190" s="79">
        <f>'Core Loads'!X190</f>
        <v>81863454.238701224</v>
      </c>
      <c r="Y190" s="79">
        <f>'Core Loads'!Y190</f>
        <v>81863454.238701224</v>
      </c>
      <c r="Z190" s="79">
        <f>'Core Loads'!Z190</f>
        <v>81863454.238701224</v>
      </c>
      <c r="AA190" s="79">
        <f>'Core Loads'!AA190</f>
        <v>81863454.238701224</v>
      </c>
      <c r="AB190" s="79">
        <f>'Core Loads'!AB190</f>
        <v>81863454.238701224</v>
      </c>
      <c r="AC190" s="79">
        <f>'Core Loads'!AC190</f>
        <v>81863454.238701224</v>
      </c>
      <c r="AD190" s="79">
        <f>'Core Loads'!AD190</f>
        <v>81863454.238701224</v>
      </c>
      <c r="AE190" s="79">
        <f>'Core Loads'!AE190</f>
        <v>81863454.238701224</v>
      </c>
      <c r="AF190" s="79">
        <f>'Core Loads'!AF190</f>
        <v>81863454.238701224</v>
      </c>
      <c r="AG190"/>
      <c r="AH190" s="17" t="s">
        <v>279</v>
      </c>
    </row>
    <row r="191" spans="2:35" hidden="1" outlineLevel="1" x14ac:dyDescent="0.25">
      <c r="B191" s="31" t="s">
        <v>147</v>
      </c>
      <c r="C191" s="79">
        <f>'Core Loads'!C191</f>
        <v>0</v>
      </c>
      <c r="D191" s="79">
        <f>'Core Loads'!D191</f>
        <v>0</v>
      </c>
      <c r="E191" s="79">
        <f>'Core Loads'!E191</f>
        <v>0</v>
      </c>
      <c r="F191" s="79">
        <f>'Core Loads'!F191</f>
        <v>0</v>
      </c>
      <c r="G191" s="79">
        <f>'Core Loads'!G191</f>
        <v>0</v>
      </c>
      <c r="H191" s="79">
        <f>'Core Loads'!H191</f>
        <v>0</v>
      </c>
      <c r="I191" s="79">
        <f>'Core Loads'!I191</f>
        <v>0</v>
      </c>
      <c r="J191" s="79">
        <f>'Core Loads'!J191</f>
        <v>0</v>
      </c>
      <c r="K191" s="79">
        <f>'Core Loads'!K191</f>
        <v>0</v>
      </c>
      <c r="L191" s="79">
        <f>'Core Loads'!L191</f>
        <v>0</v>
      </c>
      <c r="M191" s="79">
        <f>'Core Loads'!M191</f>
        <v>0</v>
      </c>
      <c r="N191" s="79">
        <f>'Core Loads'!N191</f>
        <v>0</v>
      </c>
      <c r="O191" s="79">
        <f>'Core Loads'!O191</f>
        <v>0</v>
      </c>
      <c r="P191" s="79">
        <f>'Core Loads'!P191</f>
        <v>0</v>
      </c>
      <c r="Q191" s="79">
        <f>'Core Loads'!Q191</f>
        <v>0</v>
      </c>
      <c r="R191" s="79">
        <f>'Core Loads'!R191</f>
        <v>0</v>
      </c>
      <c r="S191" s="79">
        <f>'Core Loads'!S191</f>
        <v>0</v>
      </c>
      <c r="T191" s="79">
        <f>'Core Loads'!T191</f>
        <v>0</v>
      </c>
      <c r="U191" s="79">
        <f>'Core Loads'!U191</f>
        <v>0</v>
      </c>
      <c r="V191" s="79">
        <f>'Core Loads'!V191</f>
        <v>0</v>
      </c>
      <c r="W191" s="79">
        <f>'Core Loads'!W191</f>
        <v>0</v>
      </c>
      <c r="X191" s="79">
        <f>'Core Loads'!X191</f>
        <v>0</v>
      </c>
      <c r="Y191" s="79">
        <f>'Core Loads'!Y191</f>
        <v>0</v>
      </c>
      <c r="Z191" s="79">
        <f>'Core Loads'!Z191</f>
        <v>0</v>
      </c>
      <c r="AA191" s="79">
        <f>'Core Loads'!AA191</f>
        <v>0</v>
      </c>
      <c r="AB191" s="79">
        <f>'Core Loads'!AB191</f>
        <v>0</v>
      </c>
      <c r="AC191" s="79">
        <f>'Core Loads'!AC191</f>
        <v>0</v>
      </c>
      <c r="AD191" s="79">
        <f>'Core Loads'!AD191</f>
        <v>0</v>
      </c>
      <c r="AE191" s="79">
        <f>'Core Loads'!AE191</f>
        <v>0</v>
      </c>
      <c r="AF191" s="79">
        <f>'Core Loads'!AF191</f>
        <v>0</v>
      </c>
      <c r="AG191"/>
      <c r="AH191" s="17" t="s">
        <v>279</v>
      </c>
    </row>
    <row r="192" spans="2:35" hidden="1" outlineLevel="1" x14ac:dyDescent="0.25">
      <c r="B192" s="31" t="s">
        <v>245</v>
      </c>
      <c r="C192" s="79">
        <f>'Core Loads'!C192</f>
        <v>0</v>
      </c>
      <c r="D192" s="79">
        <f>'Core Loads'!D192</f>
        <v>0</v>
      </c>
      <c r="E192" s="79">
        <f>'Core Loads'!E192</f>
        <v>5531260.8599999994</v>
      </c>
      <c r="F192" s="79">
        <f>'Core Loads'!F192</f>
        <v>5531260.8599999994</v>
      </c>
      <c r="G192" s="79">
        <f>'Core Loads'!G192</f>
        <v>5531260.8599999994</v>
      </c>
      <c r="H192" s="79">
        <f>'Core Loads'!H192</f>
        <v>5911722.2974800002</v>
      </c>
      <c r="I192" s="79">
        <f>'Core Loads'!I192</f>
        <v>5911722.2974800002</v>
      </c>
      <c r="J192" s="79">
        <f>'Core Loads'!J192</f>
        <v>5911722.2974800002</v>
      </c>
      <c r="K192" s="79">
        <f>'Core Loads'!K192</f>
        <v>5911722.2974800002</v>
      </c>
      <c r="L192" s="79">
        <f>'Core Loads'!L192</f>
        <v>5911722.2974800002</v>
      </c>
      <c r="M192" s="79">
        <f>'Core Loads'!M192</f>
        <v>5911722.2974800002</v>
      </c>
      <c r="N192" s="79">
        <f>'Core Loads'!N192</f>
        <v>5743970.637480001</v>
      </c>
      <c r="O192" s="79">
        <f>'Core Loads'!O192</f>
        <v>5743970.637480001</v>
      </c>
      <c r="P192" s="79">
        <f>'Core Loads'!P192</f>
        <v>5743970.637480001</v>
      </c>
      <c r="Q192" s="79">
        <f>'Core Loads'!Q192</f>
        <v>5743970.637480001</v>
      </c>
      <c r="R192" s="79">
        <f>'Core Loads'!R192</f>
        <v>36060627.457479998</v>
      </c>
      <c r="S192" s="79">
        <f>'Core Loads'!S192</f>
        <v>36060627.457479998</v>
      </c>
      <c r="T192" s="79">
        <f>'Core Loads'!T192</f>
        <v>36060627.457479998</v>
      </c>
      <c r="U192" s="79">
        <f>'Core Loads'!U192</f>
        <v>36060627.457479998</v>
      </c>
      <c r="V192" s="79">
        <f>'Core Loads'!V192</f>
        <v>36060627.457479998</v>
      </c>
      <c r="W192" s="79">
        <f>'Core Loads'!W192</f>
        <v>36060627.457479998</v>
      </c>
      <c r="X192" s="79">
        <f>'Core Loads'!X192</f>
        <v>36060627.457479998</v>
      </c>
      <c r="Y192" s="79">
        <f>'Core Loads'!Y192</f>
        <v>36060627.457479998</v>
      </c>
      <c r="Z192" s="79">
        <f>'Core Loads'!Z192</f>
        <v>36060627.457479998</v>
      </c>
      <c r="AA192" s="79">
        <f>'Core Loads'!AA192</f>
        <v>36060627.457479998</v>
      </c>
      <c r="AB192" s="79">
        <f>'Core Loads'!AB192</f>
        <v>36060627.457479998</v>
      </c>
      <c r="AC192" s="79">
        <f>'Core Loads'!AC192</f>
        <v>36060627.457479998</v>
      </c>
      <c r="AD192" s="79">
        <f>'Core Loads'!AD192</f>
        <v>36060627.457479998</v>
      </c>
      <c r="AE192" s="79">
        <f>'Core Loads'!AE192</f>
        <v>36060627.457479998</v>
      </c>
      <c r="AF192" s="79">
        <f>'Core Loads'!AF192</f>
        <v>36060627.457479998</v>
      </c>
      <c r="AG192"/>
      <c r="AH192" s="17" t="s">
        <v>279</v>
      </c>
    </row>
    <row r="193" spans="2:34" hidden="1" outlineLevel="1" x14ac:dyDescent="0.25">
      <c r="B193" s="31" t="s">
        <v>149</v>
      </c>
      <c r="C193" s="79">
        <f>'Core Loads'!C193</f>
        <v>0</v>
      </c>
      <c r="D193" s="79">
        <f>'Core Loads'!D193</f>
        <v>0</v>
      </c>
      <c r="E193" s="79">
        <f>'Core Loads'!E193</f>
        <v>136869443.00854582</v>
      </c>
      <c r="F193" s="79">
        <f>'Core Loads'!F193</f>
        <v>148564108.5905031</v>
      </c>
      <c r="G193" s="79">
        <f>'Core Loads'!G193</f>
        <v>148564108.5905031</v>
      </c>
      <c r="H193" s="79">
        <f>'Core Loads'!H193</f>
        <v>149699795.58310363</v>
      </c>
      <c r="I193" s="79">
        <f>'Core Loads'!I193</f>
        <v>149699795.58310363</v>
      </c>
      <c r="J193" s="79">
        <f>'Core Loads'!J193</f>
        <v>140406366.31747094</v>
      </c>
      <c r="K193" s="79">
        <f>'Core Loads'!K193</f>
        <v>140406366.31747094</v>
      </c>
      <c r="L193" s="79">
        <f>'Core Loads'!L193</f>
        <v>140077445.66043162</v>
      </c>
      <c r="M193" s="79">
        <f>'Core Loads'!M193</f>
        <v>140077445.66043162</v>
      </c>
      <c r="N193" s="79">
        <f>'Core Loads'!N193</f>
        <v>139331989.84628645</v>
      </c>
      <c r="O193" s="79">
        <f>'Core Loads'!O193</f>
        <v>139331989.84628645</v>
      </c>
      <c r="P193" s="79">
        <f>'Core Loads'!P193</f>
        <v>139306065.97628644</v>
      </c>
      <c r="Q193" s="79">
        <f>'Core Loads'!Q193</f>
        <v>139306065.97628644</v>
      </c>
      <c r="R193" s="79">
        <f>'Core Loads'!R193</f>
        <v>172529489.99068648</v>
      </c>
      <c r="S193" s="79">
        <f>'Core Loads'!S193</f>
        <v>172529489.99068648</v>
      </c>
      <c r="T193" s="79">
        <f>'Core Loads'!T193</f>
        <v>172529489.99068648</v>
      </c>
      <c r="U193" s="79">
        <f>'Core Loads'!U193</f>
        <v>172529489.99068648</v>
      </c>
      <c r="V193" s="79">
        <f>'Core Loads'!V193</f>
        <v>172080969.27034533</v>
      </c>
      <c r="W193" s="79">
        <f>'Core Loads'!W193</f>
        <v>172080969.27034533</v>
      </c>
      <c r="X193" s="79">
        <f>'Core Loads'!X193</f>
        <v>172080969.27034533</v>
      </c>
      <c r="Y193" s="79">
        <f>'Core Loads'!Y193</f>
        <v>172080969.27034533</v>
      </c>
      <c r="Z193" s="79">
        <f>'Core Loads'!Z193</f>
        <v>172080969.27034533</v>
      </c>
      <c r="AA193" s="79">
        <f>'Core Loads'!AA193</f>
        <v>172080969.27034533</v>
      </c>
      <c r="AB193" s="79">
        <f>'Core Loads'!AB193</f>
        <v>171539519.55341631</v>
      </c>
      <c r="AC193" s="79">
        <f>'Core Loads'!AC193</f>
        <v>171539519.55341631</v>
      </c>
      <c r="AD193" s="79">
        <f>'Core Loads'!AD193</f>
        <v>171539519.55341631</v>
      </c>
      <c r="AE193" s="79">
        <f>'Core Loads'!AE193</f>
        <v>171539519.55341631</v>
      </c>
      <c r="AF193" s="79">
        <f>'Core Loads'!AF193</f>
        <v>171539519.55341631</v>
      </c>
      <c r="AG193"/>
      <c r="AH193" s="17" t="s">
        <v>279</v>
      </c>
    </row>
    <row r="194" spans="2:34" customFormat="1" hidden="1" outlineLevel="1" x14ac:dyDescent="0.25">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row>
    <row r="195" spans="2:34" hidden="1" outlineLevel="1" x14ac:dyDescent="0.25">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c r="AH195"/>
    </row>
    <row r="196" spans="2:34" ht="17.25" hidden="1" outlineLevel="1" thickBot="1" x14ac:dyDescent="0.3">
      <c r="B196" s="26" t="s">
        <v>281</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row>
    <row r="197" spans="2:34" ht="16.5" hidden="1" outlineLevel="1" thickTop="1" thickBot="1" x14ac:dyDescent="0.3">
      <c r="B197" s="28" t="s">
        <v>278</v>
      </c>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0"/>
      <c r="AH197" s="20" t="s">
        <v>15</v>
      </c>
    </row>
    <row r="198" spans="2:34" customFormat="1" hidden="1" outlineLevel="1" x14ac:dyDescent="0.25">
      <c r="B198" s="30"/>
      <c r="C198" s="17">
        <v>2025</v>
      </c>
      <c r="D198" s="44">
        <v>2026</v>
      </c>
      <c r="E198" s="44">
        <v>2027</v>
      </c>
      <c r="F198" s="44">
        <v>2028</v>
      </c>
      <c r="G198" s="44">
        <v>2029</v>
      </c>
      <c r="H198" s="44">
        <v>2030</v>
      </c>
      <c r="I198" s="44">
        <v>2031</v>
      </c>
      <c r="J198" s="44">
        <v>2032</v>
      </c>
      <c r="K198" s="44">
        <v>2033</v>
      </c>
      <c r="L198" s="44">
        <v>2034</v>
      </c>
      <c r="M198" s="44">
        <v>2035</v>
      </c>
      <c r="N198" s="44">
        <v>2036</v>
      </c>
      <c r="O198" s="44">
        <v>2037</v>
      </c>
      <c r="P198" s="44">
        <v>2038</v>
      </c>
      <c r="Q198" s="44">
        <v>2039</v>
      </c>
      <c r="R198" s="44">
        <v>2040</v>
      </c>
      <c r="S198" s="44">
        <v>2041</v>
      </c>
      <c r="T198" s="44">
        <v>2042</v>
      </c>
      <c r="U198" s="44">
        <v>2043</v>
      </c>
      <c r="V198" s="44">
        <v>2044</v>
      </c>
      <c r="W198" s="44">
        <v>2045</v>
      </c>
      <c r="X198" s="44">
        <v>2046</v>
      </c>
      <c r="Y198" s="44">
        <v>2047</v>
      </c>
      <c r="Z198" s="44">
        <v>2048</v>
      </c>
      <c r="AA198" s="44">
        <v>2049</v>
      </c>
      <c r="AB198" s="44">
        <v>2050</v>
      </c>
      <c r="AC198" s="44">
        <v>2051</v>
      </c>
      <c r="AD198" s="44">
        <v>2052</v>
      </c>
      <c r="AE198" s="44">
        <v>2053</v>
      </c>
      <c r="AF198" s="44">
        <v>2054</v>
      </c>
      <c r="AH198" s="17" t="s">
        <v>279</v>
      </c>
    </row>
    <row r="199" spans="2:34" hidden="1" outlineLevel="1" x14ac:dyDescent="0.25">
      <c r="B199" s="31" t="s">
        <v>144</v>
      </c>
      <c r="C199" s="79">
        <f>'Core Loads'!C199</f>
        <v>91218518.516397119</v>
      </c>
      <c r="D199" s="79">
        <f>'Core Loads'!D199</f>
        <v>91218518.516397119</v>
      </c>
      <c r="E199" s="79">
        <f>'Core Loads'!E199</f>
        <v>0</v>
      </c>
      <c r="F199" s="79">
        <f>'Core Loads'!F199</f>
        <v>0</v>
      </c>
      <c r="G199" s="79">
        <f>'Core Loads'!G199</f>
        <v>0</v>
      </c>
      <c r="H199" s="79">
        <f>'Core Loads'!H199</f>
        <v>0</v>
      </c>
      <c r="I199" s="79">
        <f>'Core Loads'!I199</f>
        <v>0</v>
      </c>
      <c r="J199" s="79">
        <f>'Core Loads'!J199</f>
        <v>0</v>
      </c>
      <c r="K199" s="79">
        <f>'Core Loads'!K199</f>
        <v>0</v>
      </c>
      <c r="L199" s="79">
        <f>'Core Loads'!L199</f>
        <v>0</v>
      </c>
      <c r="M199" s="79">
        <f>'Core Loads'!M199</f>
        <v>0</v>
      </c>
      <c r="N199" s="79">
        <f>'Core Loads'!N199</f>
        <v>0</v>
      </c>
      <c r="O199" s="79">
        <f>'Core Loads'!O199</f>
        <v>0</v>
      </c>
      <c r="P199" s="79">
        <f>'Core Loads'!P199</f>
        <v>0</v>
      </c>
      <c r="Q199" s="79">
        <f>'Core Loads'!Q199</f>
        <v>0</v>
      </c>
      <c r="R199" s="79">
        <f>'Core Loads'!R199</f>
        <v>0</v>
      </c>
      <c r="S199" s="79">
        <f>'Core Loads'!S199</f>
        <v>0</v>
      </c>
      <c r="T199" s="79">
        <f>'Core Loads'!T199</f>
        <v>0</v>
      </c>
      <c r="U199" s="79">
        <f>'Core Loads'!U199</f>
        <v>0</v>
      </c>
      <c r="V199" s="79">
        <f>'Core Loads'!V199</f>
        <v>0</v>
      </c>
      <c r="W199" s="79">
        <f>'Core Loads'!W199</f>
        <v>0</v>
      </c>
      <c r="X199" s="79">
        <f>'Core Loads'!X199</f>
        <v>0</v>
      </c>
      <c r="Y199" s="79">
        <f>'Core Loads'!Y199</f>
        <v>0</v>
      </c>
      <c r="Z199" s="79">
        <f>'Core Loads'!Z199</f>
        <v>0</v>
      </c>
      <c r="AA199" s="79">
        <f>'Core Loads'!AA199</f>
        <v>0</v>
      </c>
      <c r="AB199" s="79">
        <f>'Core Loads'!AB199</f>
        <v>0</v>
      </c>
      <c r="AC199" s="79">
        <f>'Core Loads'!AC199</f>
        <v>0</v>
      </c>
      <c r="AD199" s="79">
        <f>'Core Loads'!AD199</f>
        <v>0</v>
      </c>
      <c r="AE199" s="79">
        <f>'Core Loads'!AE199</f>
        <v>0</v>
      </c>
      <c r="AF199" s="79">
        <f>'Core Loads'!AF199</f>
        <v>0</v>
      </c>
      <c r="AG199"/>
      <c r="AH199" s="17" t="s">
        <v>279</v>
      </c>
    </row>
    <row r="200" spans="2:34" hidden="1" outlineLevel="1" x14ac:dyDescent="0.25">
      <c r="B200" s="31" t="s">
        <v>145</v>
      </c>
      <c r="C200" s="79">
        <f>'Core Loads'!C200</f>
        <v>11884388.380107559</v>
      </c>
      <c r="D200" s="79">
        <f>'Core Loads'!D200</f>
        <v>11884388.380107559</v>
      </c>
      <c r="E200" s="79">
        <f>'Core Loads'!E200</f>
        <v>0</v>
      </c>
      <c r="F200" s="79">
        <f>'Core Loads'!F200</f>
        <v>0</v>
      </c>
      <c r="G200" s="79">
        <f>'Core Loads'!G200</f>
        <v>0</v>
      </c>
      <c r="H200" s="79">
        <f>'Core Loads'!H200</f>
        <v>0</v>
      </c>
      <c r="I200" s="79">
        <f>'Core Loads'!I200</f>
        <v>0</v>
      </c>
      <c r="J200" s="79">
        <f>'Core Loads'!J200</f>
        <v>0</v>
      </c>
      <c r="K200" s="79">
        <f>'Core Loads'!K200</f>
        <v>0</v>
      </c>
      <c r="L200" s="79">
        <f>'Core Loads'!L200</f>
        <v>0</v>
      </c>
      <c r="M200" s="79">
        <f>'Core Loads'!M200</f>
        <v>0</v>
      </c>
      <c r="N200" s="79">
        <f>'Core Loads'!N200</f>
        <v>0</v>
      </c>
      <c r="O200" s="79">
        <f>'Core Loads'!O200</f>
        <v>0</v>
      </c>
      <c r="P200" s="79">
        <f>'Core Loads'!P200</f>
        <v>0</v>
      </c>
      <c r="Q200" s="79">
        <f>'Core Loads'!Q200</f>
        <v>0</v>
      </c>
      <c r="R200" s="79">
        <f>'Core Loads'!R200</f>
        <v>0</v>
      </c>
      <c r="S200" s="79">
        <f>'Core Loads'!S200</f>
        <v>0</v>
      </c>
      <c r="T200" s="79">
        <f>'Core Loads'!T200</f>
        <v>0</v>
      </c>
      <c r="U200" s="79">
        <f>'Core Loads'!U200</f>
        <v>0</v>
      </c>
      <c r="V200" s="79">
        <f>'Core Loads'!V200</f>
        <v>0</v>
      </c>
      <c r="W200" s="79">
        <f>'Core Loads'!W200</f>
        <v>0</v>
      </c>
      <c r="X200" s="79">
        <f>'Core Loads'!X200</f>
        <v>0</v>
      </c>
      <c r="Y200" s="79">
        <f>'Core Loads'!Y200</f>
        <v>0</v>
      </c>
      <c r="Z200" s="79">
        <f>'Core Loads'!Z200</f>
        <v>0</v>
      </c>
      <c r="AA200" s="79">
        <f>'Core Loads'!AA200</f>
        <v>0</v>
      </c>
      <c r="AB200" s="79">
        <f>'Core Loads'!AB200</f>
        <v>0</v>
      </c>
      <c r="AC200" s="79">
        <f>'Core Loads'!AC200</f>
        <v>0</v>
      </c>
      <c r="AD200" s="79">
        <f>'Core Loads'!AD200</f>
        <v>0</v>
      </c>
      <c r="AE200" s="79">
        <f>'Core Loads'!AE200</f>
        <v>0</v>
      </c>
      <c r="AF200" s="79">
        <f>'Core Loads'!AF200</f>
        <v>0</v>
      </c>
      <c r="AG200"/>
      <c r="AH200" s="17" t="s">
        <v>279</v>
      </c>
    </row>
    <row r="201" spans="2:34" hidden="1" outlineLevel="1" x14ac:dyDescent="0.25">
      <c r="B201" s="31" t="s">
        <v>244</v>
      </c>
      <c r="C201" s="79">
        <f>'Core Loads'!C201</f>
        <v>35030010.666666664</v>
      </c>
      <c r="D201" s="79">
        <f>'Core Loads'!D201</f>
        <v>35030010.666666664</v>
      </c>
      <c r="E201" s="79">
        <f>'Core Loads'!E201</f>
        <v>0</v>
      </c>
      <c r="F201" s="79">
        <f>'Core Loads'!F201</f>
        <v>0</v>
      </c>
      <c r="G201" s="79">
        <f>'Core Loads'!G201</f>
        <v>0</v>
      </c>
      <c r="H201" s="79">
        <f>'Core Loads'!H201</f>
        <v>0</v>
      </c>
      <c r="I201" s="79">
        <f>'Core Loads'!I201</f>
        <v>0</v>
      </c>
      <c r="J201" s="79">
        <f>'Core Loads'!J201</f>
        <v>0</v>
      </c>
      <c r="K201" s="79">
        <f>'Core Loads'!K201</f>
        <v>0</v>
      </c>
      <c r="L201" s="79">
        <f>'Core Loads'!L201</f>
        <v>0</v>
      </c>
      <c r="M201" s="79">
        <f>'Core Loads'!M201</f>
        <v>0</v>
      </c>
      <c r="N201" s="79">
        <f>'Core Loads'!N201</f>
        <v>0</v>
      </c>
      <c r="O201" s="79">
        <f>'Core Loads'!O201</f>
        <v>0</v>
      </c>
      <c r="P201" s="79">
        <f>'Core Loads'!P201</f>
        <v>0</v>
      </c>
      <c r="Q201" s="79">
        <f>'Core Loads'!Q201</f>
        <v>0</v>
      </c>
      <c r="R201" s="79">
        <f>'Core Loads'!R201</f>
        <v>0</v>
      </c>
      <c r="S201" s="79">
        <f>'Core Loads'!S201</f>
        <v>0</v>
      </c>
      <c r="T201" s="79">
        <f>'Core Loads'!T201</f>
        <v>0</v>
      </c>
      <c r="U201" s="79">
        <f>'Core Loads'!U201</f>
        <v>0</v>
      </c>
      <c r="V201" s="79">
        <f>'Core Loads'!V201</f>
        <v>0</v>
      </c>
      <c r="W201" s="79">
        <f>'Core Loads'!W201</f>
        <v>0</v>
      </c>
      <c r="X201" s="79">
        <f>'Core Loads'!X201</f>
        <v>0</v>
      </c>
      <c r="Y201" s="79">
        <f>'Core Loads'!Y201</f>
        <v>0</v>
      </c>
      <c r="Z201" s="79">
        <f>'Core Loads'!Z201</f>
        <v>0</v>
      </c>
      <c r="AA201" s="79">
        <f>'Core Loads'!AA201</f>
        <v>0</v>
      </c>
      <c r="AB201" s="79">
        <f>'Core Loads'!AB201</f>
        <v>0</v>
      </c>
      <c r="AC201" s="79">
        <f>'Core Loads'!AC201</f>
        <v>0</v>
      </c>
      <c r="AD201" s="79">
        <f>'Core Loads'!AD201</f>
        <v>0</v>
      </c>
      <c r="AE201" s="79">
        <f>'Core Loads'!AE201</f>
        <v>0</v>
      </c>
      <c r="AF201" s="79">
        <f>'Core Loads'!AF201</f>
        <v>0</v>
      </c>
      <c r="AG201"/>
      <c r="AH201" s="17" t="s">
        <v>279</v>
      </c>
    </row>
    <row r="202" spans="2:34" customFormat="1" hidden="1" outlineLevel="1" x14ac:dyDescent="0.25">
      <c r="B202" s="31" t="s">
        <v>147</v>
      </c>
      <c r="C202" s="79">
        <f>'Core Loads'!C202</f>
        <v>0</v>
      </c>
      <c r="D202" s="79">
        <f>'Core Loads'!D202</f>
        <v>0</v>
      </c>
      <c r="E202" s="79">
        <f>'Core Loads'!E202</f>
        <v>0</v>
      </c>
      <c r="F202" s="79">
        <f>'Core Loads'!F202</f>
        <v>0</v>
      </c>
      <c r="G202" s="79">
        <f>'Core Loads'!G202</f>
        <v>0</v>
      </c>
      <c r="H202" s="79">
        <f>'Core Loads'!H202</f>
        <v>0</v>
      </c>
      <c r="I202" s="79">
        <f>'Core Loads'!I202</f>
        <v>0</v>
      </c>
      <c r="J202" s="79">
        <f>'Core Loads'!J202</f>
        <v>0</v>
      </c>
      <c r="K202" s="79">
        <f>'Core Loads'!K202</f>
        <v>0</v>
      </c>
      <c r="L202" s="79">
        <f>'Core Loads'!L202</f>
        <v>0</v>
      </c>
      <c r="M202" s="79">
        <f>'Core Loads'!M202</f>
        <v>0</v>
      </c>
      <c r="N202" s="79">
        <f>'Core Loads'!N202</f>
        <v>0</v>
      </c>
      <c r="O202" s="79">
        <f>'Core Loads'!O202</f>
        <v>0</v>
      </c>
      <c r="P202" s="79">
        <f>'Core Loads'!P202</f>
        <v>0</v>
      </c>
      <c r="Q202" s="79">
        <f>'Core Loads'!Q202</f>
        <v>0</v>
      </c>
      <c r="R202" s="79">
        <f>'Core Loads'!R202</f>
        <v>0</v>
      </c>
      <c r="S202" s="79">
        <f>'Core Loads'!S202</f>
        <v>0</v>
      </c>
      <c r="T202" s="79">
        <f>'Core Loads'!T202</f>
        <v>0</v>
      </c>
      <c r="U202" s="79">
        <f>'Core Loads'!U202</f>
        <v>0</v>
      </c>
      <c r="V202" s="79">
        <f>'Core Loads'!V202</f>
        <v>0</v>
      </c>
      <c r="W202" s="79">
        <f>'Core Loads'!W202</f>
        <v>0</v>
      </c>
      <c r="X202" s="79">
        <f>'Core Loads'!X202</f>
        <v>0</v>
      </c>
      <c r="Y202" s="79">
        <f>'Core Loads'!Y202</f>
        <v>0</v>
      </c>
      <c r="Z202" s="79">
        <f>'Core Loads'!Z202</f>
        <v>0</v>
      </c>
      <c r="AA202" s="79">
        <f>'Core Loads'!AA202</f>
        <v>0</v>
      </c>
      <c r="AB202" s="79">
        <f>'Core Loads'!AB202</f>
        <v>0</v>
      </c>
      <c r="AC202" s="79">
        <f>'Core Loads'!AC202</f>
        <v>0</v>
      </c>
      <c r="AD202" s="79">
        <f>'Core Loads'!AD202</f>
        <v>0</v>
      </c>
      <c r="AE202" s="79">
        <f>'Core Loads'!AE202</f>
        <v>0</v>
      </c>
      <c r="AF202" s="79">
        <f>'Core Loads'!AF202</f>
        <v>0</v>
      </c>
      <c r="AH202" s="17" t="s">
        <v>279</v>
      </c>
    </row>
    <row r="203" spans="2:34" hidden="1" outlineLevel="1" x14ac:dyDescent="0.25">
      <c r="B203" s="31" t="s">
        <v>245</v>
      </c>
      <c r="C203" s="79">
        <f>'Core Loads'!C203</f>
        <v>0</v>
      </c>
      <c r="D203" s="79">
        <f>'Core Loads'!D203</f>
        <v>0</v>
      </c>
      <c r="E203" s="79">
        <f>'Core Loads'!E203</f>
        <v>0</v>
      </c>
      <c r="F203" s="79">
        <f>'Core Loads'!F203</f>
        <v>0</v>
      </c>
      <c r="G203" s="79">
        <f>'Core Loads'!G203</f>
        <v>0</v>
      </c>
      <c r="H203" s="79">
        <f>'Core Loads'!H203</f>
        <v>0</v>
      </c>
      <c r="I203" s="79">
        <f>'Core Loads'!I203</f>
        <v>0</v>
      </c>
      <c r="J203" s="79">
        <f>'Core Loads'!J203</f>
        <v>0</v>
      </c>
      <c r="K203" s="79">
        <f>'Core Loads'!K203</f>
        <v>0</v>
      </c>
      <c r="L203" s="79">
        <f>'Core Loads'!L203</f>
        <v>0</v>
      </c>
      <c r="M203" s="79">
        <f>'Core Loads'!M203</f>
        <v>0</v>
      </c>
      <c r="N203" s="79">
        <f>'Core Loads'!N203</f>
        <v>0</v>
      </c>
      <c r="O203" s="79">
        <f>'Core Loads'!O203</f>
        <v>0</v>
      </c>
      <c r="P203" s="79">
        <f>'Core Loads'!P203</f>
        <v>0</v>
      </c>
      <c r="Q203" s="79">
        <f>'Core Loads'!Q203</f>
        <v>0</v>
      </c>
      <c r="R203" s="79">
        <f>'Core Loads'!R203</f>
        <v>0</v>
      </c>
      <c r="S203" s="79">
        <f>'Core Loads'!S203</f>
        <v>0</v>
      </c>
      <c r="T203" s="79">
        <f>'Core Loads'!T203</f>
        <v>0</v>
      </c>
      <c r="U203" s="79">
        <f>'Core Loads'!U203</f>
        <v>0</v>
      </c>
      <c r="V203" s="79">
        <f>'Core Loads'!V203</f>
        <v>0</v>
      </c>
      <c r="W203" s="79">
        <f>'Core Loads'!W203</f>
        <v>0</v>
      </c>
      <c r="X203" s="79">
        <f>'Core Loads'!X203</f>
        <v>0</v>
      </c>
      <c r="Y203" s="79">
        <f>'Core Loads'!Y203</f>
        <v>0</v>
      </c>
      <c r="Z203" s="79">
        <f>'Core Loads'!Z203</f>
        <v>0</v>
      </c>
      <c r="AA203" s="79">
        <f>'Core Loads'!AA203</f>
        <v>0</v>
      </c>
      <c r="AB203" s="79">
        <f>'Core Loads'!AB203</f>
        <v>0</v>
      </c>
      <c r="AC203" s="79">
        <f>'Core Loads'!AC203</f>
        <v>0</v>
      </c>
      <c r="AD203" s="79">
        <f>'Core Loads'!AD203</f>
        <v>0</v>
      </c>
      <c r="AE203" s="79">
        <f>'Core Loads'!AE203</f>
        <v>0</v>
      </c>
      <c r="AF203" s="79">
        <f>'Core Loads'!AF203</f>
        <v>0</v>
      </c>
      <c r="AG203"/>
      <c r="AH203" s="17" t="s">
        <v>279</v>
      </c>
    </row>
    <row r="204" spans="2:34" hidden="1" outlineLevel="1" x14ac:dyDescent="0.25">
      <c r="B204" s="31" t="s">
        <v>149</v>
      </c>
      <c r="C204" s="79">
        <f>'Core Loads'!C204</f>
        <v>138132917.56317133</v>
      </c>
      <c r="D204" s="79">
        <f>'Core Loads'!D204</f>
        <v>138132917.56317133</v>
      </c>
      <c r="E204" s="79">
        <f>'Core Loads'!E204</f>
        <v>0</v>
      </c>
      <c r="F204" s="79">
        <f>'Core Loads'!F204</f>
        <v>0</v>
      </c>
      <c r="G204" s="79">
        <f>'Core Loads'!G204</f>
        <v>0</v>
      </c>
      <c r="H204" s="79">
        <f>'Core Loads'!H204</f>
        <v>0</v>
      </c>
      <c r="I204" s="79">
        <f>'Core Loads'!I204</f>
        <v>0</v>
      </c>
      <c r="J204" s="79">
        <f>'Core Loads'!J204</f>
        <v>0</v>
      </c>
      <c r="K204" s="79">
        <f>'Core Loads'!K204</f>
        <v>0</v>
      </c>
      <c r="L204" s="79">
        <f>'Core Loads'!L204</f>
        <v>0</v>
      </c>
      <c r="M204" s="79">
        <f>'Core Loads'!M204</f>
        <v>0</v>
      </c>
      <c r="N204" s="79">
        <f>'Core Loads'!N204</f>
        <v>0</v>
      </c>
      <c r="O204" s="79">
        <f>'Core Loads'!O204</f>
        <v>0</v>
      </c>
      <c r="P204" s="79">
        <f>'Core Loads'!P204</f>
        <v>0</v>
      </c>
      <c r="Q204" s="79">
        <f>'Core Loads'!Q204</f>
        <v>0</v>
      </c>
      <c r="R204" s="79">
        <f>'Core Loads'!R204</f>
        <v>0</v>
      </c>
      <c r="S204" s="79">
        <f>'Core Loads'!S204</f>
        <v>0</v>
      </c>
      <c r="T204" s="79">
        <f>'Core Loads'!T204</f>
        <v>0</v>
      </c>
      <c r="U204" s="79">
        <f>'Core Loads'!U204</f>
        <v>0</v>
      </c>
      <c r="V204" s="79">
        <f>'Core Loads'!V204</f>
        <v>0</v>
      </c>
      <c r="W204" s="79">
        <f>'Core Loads'!W204</f>
        <v>0</v>
      </c>
      <c r="X204" s="79">
        <f>'Core Loads'!X204</f>
        <v>0</v>
      </c>
      <c r="Y204" s="79">
        <f>'Core Loads'!Y204</f>
        <v>0</v>
      </c>
      <c r="Z204" s="79">
        <f>'Core Loads'!Z204</f>
        <v>0</v>
      </c>
      <c r="AA204" s="79">
        <f>'Core Loads'!AA204</f>
        <v>0</v>
      </c>
      <c r="AB204" s="79">
        <f>'Core Loads'!AB204</f>
        <v>0</v>
      </c>
      <c r="AC204" s="79">
        <f>'Core Loads'!AC204</f>
        <v>0</v>
      </c>
      <c r="AD204" s="79">
        <f>'Core Loads'!AD204</f>
        <v>0</v>
      </c>
      <c r="AE204" s="79">
        <f>'Core Loads'!AE204</f>
        <v>0</v>
      </c>
      <c r="AF204" s="79">
        <f>'Core Loads'!AF204</f>
        <v>0</v>
      </c>
      <c r="AG204"/>
      <c r="AH204" s="17" t="s">
        <v>279</v>
      </c>
    </row>
    <row r="205" spans="2:34" hidden="1" outlineLevel="1" x14ac:dyDescent="0.25">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c r="AH205"/>
    </row>
    <row r="206" spans="2:34" ht="15.75" hidden="1" outlineLevel="1" thickBot="1" x14ac:dyDescent="0.3">
      <c r="B206" s="28" t="s">
        <v>280</v>
      </c>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0"/>
      <c r="AH206" s="20" t="s">
        <v>15</v>
      </c>
    </row>
    <row r="207" spans="2:34" customFormat="1" hidden="1" outlineLevel="1" x14ac:dyDescent="0.25">
      <c r="B207" s="30"/>
      <c r="C207" s="17">
        <v>2025</v>
      </c>
      <c r="D207" s="44">
        <v>2026</v>
      </c>
      <c r="E207" s="44">
        <v>2027</v>
      </c>
      <c r="F207" s="44">
        <v>2028</v>
      </c>
      <c r="G207" s="44">
        <v>2029</v>
      </c>
      <c r="H207" s="44">
        <v>2030</v>
      </c>
      <c r="I207" s="44">
        <v>2031</v>
      </c>
      <c r="J207" s="44">
        <v>2032</v>
      </c>
      <c r="K207" s="44">
        <v>2033</v>
      </c>
      <c r="L207" s="44">
        <v>2034</v>
      </c>
      <c r="M207" s="44">
        <v>2035</v>
      </c>
      <c r="N207" s="44">
        <v>2036</v>
      </c>
      <c r="O207" s="44">
        <v>2037</v>
      </c>
      <c r="P207" s="44">
        <v>2038</v>
      </c>
      <c r="Q207" s="44">
        <v>2039</v>
      </c>
      <c r="R207" s="44">
        <v>2040</v>
      </c>
      <c r="S207" s="44">
        <v>2041</v>
      </c>
      <c r="T207" s="44">
        <v>2042</v>
      </c>
      <c r="U207" s="44">
        <v>2043</v>
      </c>
      <c r="V207" s="44">
        <v>2044</v>
      </c>
      <c r="W207" s="44">
        <v>2045</v>
      </c>
      <c r="X207" s="44">
        <v>2046</v>
      </c>
      <c r="Y207" s="44">
        <v>2047</v>
      </c>
      <c r="Z207" s="44">
        <v>2048</v>
      </c>
      <c r="AA207" s="44">
        <v>2049</v>
      </c>
      <c r="AB207" s="44">
        <v>2050</v>
      </c>
      <c r="AC207" s="44">
        <v>2051</v>
      </c>
      <c r="AD207" s="44">
        <v>2052</v>
      </c>
      <c r="AE207" s="44">
        <v>2053</v>
      </c>
      <c r="AF207" s="44">
        <v>2054</v>
      </c>
      <c r="AG207" s="1"/>
      <c r="AH207" s="1"/>
    </row>
    <row r="208" spans="2:34" hidden="1" outlineLevel="1" x14ac:dyDescent="0.25">
      <c r="B208" s="31" t="s">
        <v>144</v>
      </c>
      <c r="C208" s="79">
        <f>'Core Loads'!C208</f>
        <v>0</v>
      </c>
      <c r="D208" s="79">
        <f>'Core Loads'!D208</f>
        <v>0</v>
      </c>
      <c r="E208" s="79">
        <f>'Core Loads'!E208</f>
        <v>91218518.516397119</v>
      </c>
      <c r="F208" s="79">
        <f>'Core Loads'!F208</f>
        <v>91218518.516397119</v>
      </c>
      <c r="G208" s="79">
        <f>'Core Loads'!G208</f>
        <v>91218518.516397119</v>
      </c>
      <c r="H208" s="79">
        <f>'Core Loads'!H208</f>
        <v>89605158.712475568</v>
      </c>
      <c r="I208" s="79">
        <f>'Core Loads'!I208</f>
        <v>89605158.712475568</v>
      </c>
      <c r="J208" s="79">
        <f>'Core Loads'!J208</f>
        <v>89605158.712475568</v>
      </c>
      <c r="K208" s="79">
        <f>'Core Loads'!K208</f>
        <v>89605158.712475568</v>
      </c>
      <c r="L208" s="79">
        <f>'Core Loads'!L208</f>
        <v>89605158.712475568</v>
      </c>
      <c r="M208" s="79">
        <f>'Core Loads'!M208</f>
        <v>89605158.712475568</v>
      </c>
      <c r="N208" s="79">
        <f>'Core Loads'!N208</f>
        <v>89605158.712475568</v>
      </c>
      <c r="O208" s="79">
        <f>'Core Loads'!O208</f>
        <v>89605158.712475568</v>
      </c>
      <c r="P208" s="79">
        <f>'Core Loads'!P208</f>
        <v>89605158.712475568</v>
      </c>
      <c r="Q208" s="79">
        <f>'Core Loads'!Q208</f>
        <v>89605158.712475568</v>
      </c>
      <c r="R208" s="79">
        <f>'Core Loads'!R208</f>
        <v>89605158.712475568</v>
      </c>
      <c r="S208" s="79">
        <f>'Core Loads'!S208</f>
        <v>89605158.712475568</v>
      </c>
      <c r="T208" s="79">
        <f>'Core Loads'!T208</f>
        <v>89605158.712475568</v>
      </c>
      <c r="U208" s="79">
        <f>'Core Loads'!U208</f>
        <v>89605158.712475568</v>
      </c>
      <c r="V208" s="79">
        <f>'Core Loads'!V208</f>
        <v>89605158.712475568</v>
      </c>
      <c r="W208" s="79">
        <f>'Core Loads'!W208</f>
        <v>89605158.712475568</v>
      </c>
      <c r="X208" s="79">
        <f>'Core Loads'!X208</f>
        <v>89605158.712475568</v>
      </c>
      <c r="Y208" s="79">
        <f>'Core Loads'!Y208</f>
        <v>89605158.712475568</v>
      </c>
      <c r="Z208" s="79">
        <f>'Core Loads'!Z208</f>
        <v>89605158.712475568</v>
      </c>
      <c r="AA208" s="79">
        <f>'Core Loads'!AA208</f>
        <v>89605158.712475568</v>
      </c>
      <c r="AB208" s="79">
        <f>'Core Loads'!AB208</f>
        <v>89605158.712475568</v>
      </c>
      <c r="AC208" s="79">
        <f>'Core Loads'!AC208</f>
        <v>89605158.712475568</v>
      </c>
      <c r="AD208" s="79">
        <f>'Core Loads'!AD208</f>
        <v>89605158.712475568</v>
      </c>
      <c r="AE208" s="79">
        <f>'Core Loads'!AE208</f>
        <v>89605158.712475568</v>
      </c>
      <c r="AF208" s="79">
        <f>'Core Loads'!AF208</f>
        <v>89605158.712475568</v>
      </c>
      <c r="AG208"/>
      <c r="AH208" s="17" t="s">
        <v>279</v>
      </c>
    </row>
    <row r="209" spans="2:35" hidden="1" outlineLevel="1" x14ac:dyDescent="0.25">
      <c r="B209" s="31" t="s">
        <v>145</v>
      </c>
      <c r="C209" s="79">
        <f>'Core Loads'!C209</f>
        <v>0</v>
      </c>
      <c r="D209" s="79">
        <f>'Core Loads'!D209</f>
        <v>0</v>
      </c>
      <c r="E209" s="79">
        <f>'Core Loads'!E209</f>
        <v>11884388.380107559</v>
      </c>
      <c r="F209" s="79">
        <f>'Core Loads'!F209</f>
        <v>11884388.380107559</v>
      </c>
      <c r="G209" s="79">
        <f>'Core Loads'!G209</f>
        <v>11884388.380107559</v>
      </c>
      <c r="H209" s="79">
        <f>'Core Loads'!H209</f>
        <v>11884388.380107559</v>
      </c>
      <c r="I209" s="79">
        <f>'Core Loads'!I209</f>
        <v>11884388.380107559</v>
      </c>
      <c r="J209" s="79">
        <f>'Core Loads'!J209</f>
        <v>11884388.380107559</v>
      </c>
      <c r="K209" s="79">
        <f>'Core Loads'!K209</f>
        <v>11884388.380107559</v>
      </c>
      <c r="L209" s="79">
        <f>'Core Loads'!L209</f>
        <v>11884388.380107559</v>
      </c>
      <c r="M209" s="79">
        <f>'Core Loads'!M209</f>
        <v>11884388.380107559</v>
      </c>
      <c r="N209" s="79">
        <f>'Core Loads'!N209</f>
        <v>11884388.380107559</v>
      </c>
      <c r="O209" s="79">
        <f>'Core Loads'!O209</f>
        <v>11884388.380107559</v>
      </c>
      <c r="P209" s="79">
        <f>'Core Loads'!P209</f>
        <v>11884388.380107559</v>
      </c>
      <c r="Q209" s="79">
        <f>'Core Loads'!Q209</f>
        <v>11884388.380107559</v>
      </c>
      <c r="R209" s="79">
        <f>'Core Loads'!R209</f>
        <v>11884388.380107559</v>
      </c>
      <c r="S209" s="79">
        <f>'Core Loads'!S209</f>
        <v>11884388.380107559</v>
      </c>
      <c r="T209" s="79">
        <f>'Core Loads'!T209</f>
        <v>11525540.601956299</v>
      </c>
      <c r="U209" s="79">
        <f>'Core Loads'!U209</f>
        <v>11525540.601956299</v>
      </c>
      <c r="V209" s="79">
        <f>'Core Loads'!V209</f>
        <v>11525540.601956299</v>
      </c>
      <c r="W209" s="79">
        <f>'Core Loads'!W209</f>
        <v>11525540.601956299</v>
      </c>
      <c r="X209" s="79">
        <f>'Core Loads'!X209</f>
        <v>11525540.601956299</v>
      </c>
      <c r="Y209" s="79">
        <f>'Core Loads'!Y209</f>
        <v>11525540.601956299</v>
      </c>
      <c r="Z209" s="79">
        <f>'Core Loads'!Z209</f>
        <v>11525540.601956299</v>
      </c>
      <c r="AA209" s="79">
        <f>'Core Loads'!AA209</f>
        <v>11525540.601956299</v>
      </c>
      <c r="AB209" s="79">
        <f>'Core Loads'!AB209</f>
        <v>11525540.601956299</v>
      </c>
      <c r="AC209" s="79">
        <f>'Core Loads'!AC209</f>
        <v>11525540.601956299</v>
      </c>
      <c r="AD209" s="79">
        <f>'Core Loads'!AD209</f>
        <v>11525540.601956299</v>
      </c>
      <c r="AE209" s="79">
        <f>'Core Loads'!AE209</f>
        <v>11525540.601956299</v>
      </c>
      <c r="AF209" s="79">
        <f>'Core Loads'!AF209</f>
        <v>11525540.601956299</v>
      </c>
      <c r="AG209"/>
      <c r="AH209" s="17" t="s">
        <v>279</v>
      </c>
    </row>
    <row r="210" spans="2:35" customFormat="1" hidden="1" outlineLevel="1" x14ac:dyDescent="0.25">
      <c r="B210" s="31" t="s">
        <v>244</v>
      </c>
      <c r="C210" s="79">
        <f>'Core Loads'!C210</f>
        <v>0</v>
      </c>
      <c r="D210" s="79">
        <f>'Core Loads'!D210</f>
        <v>0</v>
      </c>
      <c r="E210" s="79">
        <f>'Core Loads'!E210</f>
        <v>35030010.666666664</v>
      </c>
      <c r="F210" s="79">
        <f>'Core Loads'!F210</f>
        <v>33517716.333333336</v>
      </c>
      <c r="G210" s="79">
        <f>'Core Loads'!G210</f>
        <v>33517716.333333336</v>
      </c>
      <c r="H210" s="79">
        <f>'Core Loads'!H210</f>
        <v>31998292.333333336</v>
      </c>
      <c r="I210" s="79">
        <f>'Core Loads'!I210</f>
        <v>31998292.333333336</v>
      </c>
      <c r="J210" s="79">
        <f>'Core Loads'!J210</f>
        <v>31998292.333333336</v>
      </c>
      <c r="K210" s="79">
        <f>'Core Loads'!K210</f>
        <v>31998292.333333336</v>
      </c>
      <c r="L210" s="79">
        <f>'Core Loads'!L210</f>
        <v>31998292.333333336</v>
      </c>
      <c r="M210" s="79">
        <f>'Core Loads'!M210</f>
        <v>31998292.333333336</v>
      </c>
      <c r="N210" s="79">
        <f>'Core Loads'!N210</f>
        <v>29833701.969607845</v>
      </c>
      <c r="O210" s="79">
        <f>'Core Loads'!O210</f>
        <v>29833701.969607845</v>
      </c>
      <c r="P210" s="79">
        <f>'Core Loads'!P210</f>
        <v>28875000.884313725</v>
      </c>
      <c r="Q210" s="79">
        <f>'Core Loads'!Q210</f>
        <v>28875000.884313725</v>
      </c>
      <c r="R210" s="79">
        <f>'Core Loads'!R210</f>
        <v>28875000.884313725</v>
      </c>
      <c r="S210" s="79">
        <f>'Core Loads'!S210</f>
        <v>28875000.884313725</v>
      </c>
      <c r="T210" s="79">
        <f>'Core Loads'!T210</f>
        <v>28875000.884313725</v>
      </c>
      <c r="U210" s="79">
        <f>'Core Loads'!U210</f>
        <v>28875000.884313725</v>
      </c>
      <c r="V210" s="79">
        <f>'Core Loads'!V210</f>
        <v>28875000.884313725</v>
      </c>
      <c r="W210" s="79">
        <f>'Core Loads'!W210</f>
        <v>28875000.884313725</v>
      </c>
      <c r="X210" s="79">
        <f>'Core Loads'!X210</f>
        <v>28875000.884313725</v>
      </c>
      <c r="Y210" s="79">
        <f>'Core Loads'!Y210</f>
        <v>28875000.884313725</v>
      </c>
      <c r="Z210" s="79">
        <f>'Core Loads'!Z210</f>
        <v>28875000.884313725</v>
      </c>
      <c r="AA210" s="79">
        <f>'Core Loads'!AA210</f>
        <v>28875000.884313725</v>
      </c>
      <c r="AB210" s="79">
        <f>'Core Loads'!AB210</f>
        <v>28875000.884313725</v>
      </c>
      <c r="AC210" s="79">
        <f>'Core Loads'!AC210</f>
        <v>28875000.884313725</v>
      </c>
      <c r="AD210" s="79">
        <f>'Core Loads'!AD210</f>
        <v>28875000.884313725</v>
      </c>
      <c r="AE210" s="79">
        <f>'Core Loads'!AE210</f>
        <v>28875000.884313725</v>
      </c>
      <c r="AF210" s="79">
        <f>'Core Loads'!AF210</f>
        <v>28875000.884313725</v>
      </c>
      <c r="AH210" s="17" t="s">
        <v>279</v>
      </c>
    </row>
    <row r="211" spans="2:35" hidden="1" outlineLevel="1" x14ac:dyDescent="0.25">
      <c r="B211" s="31" t="s">
        <v>147</v>
      </c>
      <c r="C211" s="79">
        <f>'Core Loads'!C211</f>
        <v>0</v>
      </c>
      <c r="D211" s="79">
        <f>'Core Loads'!D211</f>
        <v>0</v>
      </c>
      <c r="E211" s="79">
        <f>'Core Loads'!E211</f>
        <v>0</v>
      </c>
      <c r="F211" s="79">
        <f>'Core Loads'!F211</f>
        <v>0</v>
      </c>
      <c r="G211" s="79">
        <f>'Core Loads'!G211</f>
        <v>0</v>
      </c>
      <c r="H211" s="79">
        <f>'Core Loads'!H211</f>
        <v>0</v>
      </c>
      <c r="I211" s="79">
        <f>'Core Loads'!I211</f>
        <v>0</v>
      </c>
      <c r="J211" s="79">
        <f>'Core Loads'!J211</f>
        <v>0</v>
      </c>
      <c r="K211" s="79">
        <f>'Core Loads'!K211</f>
        <v>0</v>
      </c>
      <c r="L211" s="79">
        <f>'Core Loads'!L211</f>
        <v>0</v>
      </c>
      <c r="M211" s="79">
        <f>'Core Loads'!M211</f>
        <v>0</v>
      </c>
      <c r="N211" s="79">
        <f>'Core Loads'!N211</f>
        <v>0</v>
      </c>
      <c r="O211" s="79">
        <f>'Core Loads'!O211</f>
        <v>0</v>
      </c>
      <c r="P211" s="79">
        <f>'Core Loads'!P211</f>
        <v>0</v>
      </c>
      <c r="Q211" s="79">
        <f>'Core Loads'!Q211</f>
        <v>0</v>
      </c>
      <c r="R211" s="79">
        <f>'Core Loads'!R211</f>
        <v>0</v>
      </c>
      <c r="S211" s="79">
        <f>'Core Loads'!S211</f>
        <v>0</v>
      </c>
      <c r="T211" s="79">
        <f>'Core Loads'!T211</f>
        <v>0</v>
      </c>
      <c r="U211" s="79">
        <f>'Core Loads'!U211</f>
        <v>0</v>
      </c>
      <c r="V211" s="79">
        <f>'Core Loads'!V211</f>
        <v>0</v>
      </c>
      <c r="W211" s="79">
        <f>'Core Loads'!W211</f>
        <v>0</v>
      </c>
      <c r="X211" s="79">
        <f>'Core Loads'!X211</f>
        <v>0</v>
      </c>
      <c r="Y211" s="79">
        <f>'Core Loads'!Y211</f>
        <v>0</v>
      </c>
      <c r="Z211" s="79">
        <f>'Core Loads'!Z211</f>
        <v>0</v>
      </c>
      <c r="AA211" s="79">
        <f>'Core Loads'!AA211</f>
        <v>0</v>
      </c>
      <c r="AB211" s="79">
        <f>'Core Loads'!AB211</f>
        <v>0</v>
      </c>
      <c r="AC211" s="79">
        <f>'Core Loads'!AC211</f>
        <v>0</v>
      </c>
      <c r="AD211" s="79">
        <f>'Core Loads'!AD211</f>
        <v>0</v>
      </c>
      <c r="AE211" s="79">
        <f>'Core Loads'!AE211</f>
        <v>0</v>
      </c>
      <c r="AF211" s="79">
        <f>'Core Loads'!AF211</f>
        <v>0</v>
      </c>
      <c r="AG211"/>
      <c r="AH211" s="17" t="s">
        <v>279</v>
      </c>
    </row>
    <row r="212" spans="2:35" hidden="1" outlineLevel="1" x14ac:dyDescent="0.25">
      <c r="B212" s="31" t="s">
        <v>245</v>
      </c>
      <c r="C212" s="79">
        <f>'Core Loads'!C212</f>
        <v>0</v>
      </c>
      <c r="D212" s="79">
        <f>'Core Loads'!D212</f>
        <v>0</v>
      </c>
      <c r="E212" s="79">
        <f>'Core Loads'!E212</f>
        <v>0</v>
      </c>
      <c r="F212" s="79">
        <f>'Core Loads'!F212</f>
        <v>0</v>
      </c>
      <c r="G212" s="79">
        <f>'Core Loads'!G212</f>
        <v>0</v>
      </c>
      <c r="H212" s="79">
        <f>'Core Loads'!H212</f>
        <v>0</v>
      </c>
      <c r="I212" s="79">
        <f>'Core Loads'!I212</f>
        <v>0</v>
      </c>
      <c r="J212" s="79">
        <f>'Core Loads'!J212</f>
        <v>0</v>
      </c>
      <c r="K212" s="79">
        <f>'Core Loads'!K212</f>
        <v>0</v>
      </c>
      <c r="L212" s="79">
        <f>'Core Loads'!L212</f>
        <v>0</v>
      </c>
      <c r="M212" s="79">
        <f>'Core Loads'!M212</f>
        <v>0</v>
      </c>
      <c r="N212" s="79">
        <f>'Core Loads'!N212</f>
        <v>0</v>
      </c>
      <c r="O212" s="79">
        <f>'Core Loads'!O212</f>
        <v>0</v>
      </c>
      <c r="P212" s="79">
        <f>'Core Loads'!P212</f>
        <v>0</v>
      </c>
      <c r="Q212" s="79">
        <f>'Core Loads'!Q212</f>
        <v>0</v>
      </c>
      <c r="R212" s="79">
        <f>'Core Loads'!R212</f>
        <v>4623100.2231905619</v>
      </c>
      <c r="S212" s="79">
        <f>'Core Loads'!S212</f>
        <v>4623100.2231905619</v>
      </c>
      <c r="T212" s="79">
        <f>'Core Loads'!T212</f>
        <v>4623100.2231905619</v>
      </c>
      <c r="U212" s="79">
        <f>'Core Loads'!U212</f>
        <v>4623100.2231905619</v>
      </c>
      <c r="V212" s="79">
        <f>'Core Loads'!V212</f>
        <v>4623100.2231905619</v>
      </c>
      <c r="W212" s="79">
        <f>'Core Loads'!W212</f>
        <v>4623100.2231905619</v>
      </c>
      <c r="X212" s="79">
        <f>'Core Loads'!X212</f>
        <v>4623100.2231905619</v>
      </c>
      <c r="Y212" s="79">
        <f>'Core Loads'!Y212</f>
        <v>4623100.2231905619</v>
      </c>
      <c r="Z212" s="79">
        <f>'Core Loads'!Z212</f>
        <v>4623100.2231905619</v>
      </c>
      <c r="AA212" s="79">
        <f>'Core Loads'!AA212</f>
        <v>4623100.2231905619</v>
      </c>
      <c r="AB212" s="79">
        <f>'Core Loads'!AB212</f>
        <v>4623100.2231905619</v>
      </c>
      <c r="AC212" s="79">
        <f>'Core Loads'!AC212</f>
        <v>4623100.2231905619</v>
      </c>
      <c r="AD212" s="79">
        <f>'Core Loads'!AD212</f>
        <v>4623100.2231905619</v>
      </c>
      <c r="AE212" s="79">
        <f>'Core Loads'!AE212</f>
        <v>4623100.2231905619</v>
      </c>
      <c r="AF212" s="79">
        <f>'Core Loads'!AF212</f>
        <v>4623100.2231905619</v>
      </c>
      <c r="AG212"/>
      <c r="AH212" s="17" t="s">
        <v>279</v>
      </c>
    </row>
    <row r="213" spans="2:35" hidden="1" outlineLevel="1" x14ac:dyDescent="0.25">
      <c r="B213" s="31" t="s">
        <v>149</v>
      </c>
      <c r="C213" s="79">
        <f>'Core Loads'!C213</f>
        <v>0</v>
      </c>
      <c r="D213" s="79">
        <f>'Core Loads'!D213</f>
        <v>0</v>
      </c>
      <c r="E213" s="79">
        <f>'Core Loads'!E213</f>
        <v>138132917.56317133</v>
      </c>
      <c r="F213" s="79">
        <f>'Core Loads'!F213</f>
        <v>136620623.22983801</v>
      </c>
      <c r="G213" s="79">
        <f>'Core Loads'!G213</f>
        <v>136620623.22983801</v>
      </c>
      <c r="H213" s="79">
        <f>'Core Loads'!H213</f>
        <v>133487839.42591646</v>
      </c>
      <c r="I213" s="79">
        <f>'Core Loads'!I213</f>
        <v>133487839.42591646</v>
      </c>
      <c r="J213" s="79">
        <f>'Core Loads'!J213</f>
        <v>133487839.42591646</v>
      </c>
      <c r="K213" s="79">
        <f>'Core Loads'!K213</f>
        <v>133487839.42591646</v>
      </c>
      <c r="L213" s="79">
        <f>'Core Loads'!L213</f>
        <v>133487839.42591646</v>
      </c>
      <c r="M213" s="79">
        <f>'Core Loads'!M213</f>
        <v>133487839.42591646</v>
      </c>
      <c r="N213" s="79">
        <f>'Core Loads'!N213</f>
        <v>131323249.06219096</v>
      </c>
      <c r="O213" s="79">
        <f>'Core Loads'!O213</f>
        <v>131323249.06219096</v>
      </c>
      <c r="P213" s="79">
        <f>'Core Loads'!P213</f>
        <v>130364547.97689685</v>
      </c>
      <c r="Q213" s="79">
        <f>'Core Loads'!Q213</f>
        <v>130364547.97689685</v>
      </c>
      <c r="R213" s="79">
        <f>'Core Loads'!R213</f>
        <v>134987648.20008743</v>
      </c>
      <c r="S213" s="79">
        <f>'Core Loads'!S213</f>
        <v>134987648.20008743</v>
      </c>
      <c r="T213" s="79">
        <f>'Core Loads'!T213</f>
        <v>134628800.42193615</v>
      </c>
      <c r="U213" s="79">
        <f>'Core Loads'!U213</f>
        <v>134628800.42193615</v>
      </c>
      <c r="V213" s="79">
        <f>'Core Loads'!V213</f>
        <v>134628800.42193615</v>
      </c>
      <c r="W213" s="79">
        <f>'Core Loads'!W213</f>
        <v>134628800.42193615</v>
      </c>
      <c r="X213" s="79">
        <f>'Core Loads'!X213</f>
        <v>134628800.42193615</v>
      </c>
      <c r="Y213" s="79">
        <f>'Core Loads'!Y213</f>
        <v>134628800.42193615</v>
      </c>
      <c r="Z213" s="79">
        <f>'Core Loads'!Z213</f>
        <v>134628800.42193615</v>
      </c>
      <c r="AA213" s="79">
        <f>'Core Loads'!AA213</f>
        <v>134628800.42193615</v>
      </c>
      <c r="AB213" s="79">
        <f>'Core Loads'!AB213</f>
        <v>134628800.42193615</v>
      </c>
      <c r="AC213" s="79">
        <f>'Core Loads'!AC213</f>
        <v>134628800.42193615</v>
      </c>
      <c r="AD213" s="79">
        <f>'Core Loads'!AD213</f>
        <v>134628800.42193615</v>
      </c>
      <c r="AE213" s="79">
        <f>'Core Loads'!AE213</f>
        <v>134628800.42193615</v>
      </c>
      <c r="AF213" s="79">
        <f>'Core Loads'!AF213</f>
        <v>134628800.42193615</v>
      </c>
      <c r="AG213"/>
      <c r="AH213" s="17" t="s">
        <v>279</v>
      </c>
    </row>
    <row r="214" spans="2:35" hidden="1" outlineLevel="1" x14ac:dyDescent="0.25">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c r="AH214"/>
    </row>
    <row r="215" spans="2:35" hidden="1" outlineLevel="1" x14ac:dyDescent="0.25">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c r="AH215"/>
    </row>
    <row r="216" spans="2:35" ht="17.25" hidden="1" outlineLevel="1" thickBot="1" x14ac:dyDescent="0.3">
      <c r="B216" s="26" t="s">
        <v>282</v>
      </c>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row>
    <row r="217" spans="2:35" ht="16.5" hidden="1" outlineLevel="1" thickTop="1" thickBot="1" x14ac:dyDescent="0.3">
      <c r="B217" s="28" t="s">
        <v>278</v>
      </c>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0"/>
      <c r="AH217" s="20" t="s">
        <v>15</v>
      </c>
    </row>
    <row r="218" spans="2:35" customFormat="1" hidden="1" outlineLevel="1" x14ac:dyDescent="0.25">
      <c r="B218" s="30"/>
      <c r="C218" s="17">
        <v>2025</v>
      </c>
      <c r="D218" s="44">
        <v>2026</v>
      </c>
      <c r="E218" s="44">
        <v>2027</v>
      </c>
      <c r="F218" s="44">
        <v>2028</v>
      </c>
      <c r="G218" s="44">
        <v>2029</v>
      </c>
      <c r="H218" s="44">
        <v>2030</v>
      </c>
      <c r="I218" s="44">
        <v>2031</v>
      </c>
      <c r="J218" s="44">
        <v>2032</v>
      </c>
      <c r="K218" s="44">
        <v>2033</v>
      </c>
      <c r="L218" s="44">
        <v>2034</v>
      </c>
      <c r="M218" s="44">
        <v>2035</v>
      </c>
      <c r="N218" s="44">
        <v>2036</v>
      </c>
      <c r="O218" s="44">
        <v>2037</v>
      </c>
      <c r="P218" s="44">
        <v>2038</v>
      </c>
      <c r="Q218" s="44">
        <v>2039</v>
      </c>
      <c r="R218" s="44">
        <v>2040</v>
      </c>
      <c r="S218" s="44">
        <v>2041</v>
      </c>
      <c r="T218" s="44">
        <v>2042</v>
      </c>
      <c r="U218" s="44">
        <v>2043</v>
      </c>
      <c r="V218" s="44">
        <v>2044</v>
      </c>
      <c r="W218" s="44">
        <v>2045</v>
      </c>
      <c r="X218" s="44">
        <v>2046</v>
      </c>
      <c r="Y218" s="44">
        <v>2047</v>
      </c>
      <c r="Z218" s="44">
        <v>2048</v>
      </c>
      <c r="AA218" s="44">
        <v>2049</v>
      </c>
      <c r="AB218" s="44">
        <v>2050</v>
      </c>
      <c r="AC218" s="44">
        <v>2051</v>
      </c>
      <c r="AD218" s="44">
        <v>2052</v>
      </c>
      <c r="AE218" s="44">
        <v>2053</v>
      </c>
      <c r="AF218" s="44">
        <v>2054</v>
      </c>
      <c r="AH218" s="1"/>
      <c r="AI218" s="1"/>
    </row>
    <row r="219" spans="2:35" hidden="1" outlineLevel="1" x14ac:dyDescent="0.25">
      <c r="B219" s="31" t="s">
        <v>144</v>
      </c>
      <c r="C219" s="79">
        <f>'Core Loads'!C219</f>
        <v>342242.65102078754</v>
      </c>
      <c r="D219" s="79">
        <f>'Core Loads'!D219</f>
        <v>342242.65102078754</v>
      </c>
      <c r="E219" s="79">
        <f>'Core Loads'!E219</f>
        <v>0</v>
      </c>
      <c r="F219" s="79">
        <f>'Core Loads'!F219</f>
        <v>0</v>
      </c>
      <c r="G219" s="79">
        <f>'Core Loads'!G219</f>
        <v>0</v>
      </c>
      <c r="H219" s="79">
        <f>'Core Loads'!H219</f>
        <v>0</v>
      </c>
      <c r="I219" s="79">
        <f>'Core Loads'!I219</f>
        <v>0</v>
      </c>
      <c r="J219" s="79">
        <f>'Core Loads'!J219</f>
        <v>0</v>
      </c>
      <c r="K219" s="79">
        <f>'Core Loads'!K219</f>
        <v>0</v>
      </c>
      <c r="L219" s="79">
        <f>'Core Loads'!L219</f>
        <v>0</v>
      </c>
      <c r="M219" s="79">
        <f>'Core Loads'!M219</f>
        <v>0</v>
      </c>
      <c r="N219" s="79">
        <f>'Core Loads'!N219</f>
        <v>0</v>
      </c>
      <c r="O219" s="79">
        <f>'Core Loads'!O219</f>
        <v>0</v>
      </c>
      <c r="P219" s="79">
        <f>'Core Loads'!P219</f>
        <v>0</v>
      </c>
      <c r="Q219" s="79">
        <f>'Core Loads'!Q219</f>
        <v>0</v>
      </c>
      <c r="R219" s="79">
        <f>'Core Loads'!R219</f>
        <v>0</v>
      </c>
      <c r="S219" s="79">
        <f>'Core Loads'!S219</f>
        <v>0</v>
      </c>
      <c r="T219" s="79">
        <f>'Core Loads'!T219</f>
        <v>0</v>
      </c>
      <c r="U219" s="79">
        <f>'Core Loads'!U219</f>
        <v>0</v>
      </c>
      <c r="V219" s="79">
        <f>'Core Loads'!V219</f>
        <v>0</v>
      </c>
      <c r="W219" s="79">
        <f>'Core Loads'!W219</f>
        <v>0</v>
      </c>
      <c r="X219" s="79">
        <f>'Core Loads'!X219</f>
        <v>0</v>
      </c>
      <c r="Y219" s="79">
        <f>'Core Loads'!Y219</f>
        <v>0</v>
      </c>
      <c r="Z219" s="79">
        <f>'Core Loads'!Z219</f>
        <v>0</v>
      </c>
      <c r="AA219" s="79">
        <f>'Core Loads'!AA219</f>
        <v>0</v>
      </c>
      <c r="AB219" s="79">
        <f>'Core Loads'!AB219</f>
        <v>0</v>
      </c>
      <c r="AC219" s="79">
        <f>'Core Loads'!AC219</f>
        <v>0</v>
      </c>
      <c r="AD219" s="79">
        <f>'Core Loads'!AD219</f>
        <v>0</v>
      </c>
      <c r="AE219" s="79">
        <f>'Core Loads'!AE219</f>
        <v>0</v>
      </c>
      <c r="AF219" s="79">
        <f>'Core Loads'!AF219</f>
        <v>0</v>
      </c>
      <c r="AG219"/>
      <c r="AH219" s="17" t="s">
        <v>279</v>
      </c>
    </row>
    <row r="220" spans="2:35" customFormat="1" hidden="1" outlineLevel="1" x14ac:dyDescent="0.25">
      <c r="B220" s="31" t="s">
        <v>145</v>
      </c>
      <c r="C220" s="79">
        <f>'Core Loads'!C220</f>
        <v>98109.353104549853</v>
      </c>
      <c r="D220" s="79">
        <f>'Core Loads'!D220</f>
        <v>98109.353104549853</v>
      </c>
      <c r="E220" s="79">
        <f>'Core Loads'!E220</f>
        <v>0</v>
      </c>
      <c r="F220" s="79">
        <f>'Core Loads'!F220</f>
        <v>0</v>
      </c>
      <c r="G220" s="79">
        <f>'Core Loads'!G220</f>
        <v>0</v>
      </c>
      <c r="H220" s="79">
        <f>'Core Loads'!H220</f>
        <v>0</v>
      </c>
      <c r="I220" s="79">
        <f>'Core Loads'!I220</f>
        <v>0</v>
      </c>
      <c r="J220" s="79">
        <f>'Core Loads'!J220</f>
        <v>0</v>
      </c>
      <c r="K220" s="79">
        <f>'Core Loads'!K220</f>
        <v>0</v>
      </c>
      <c r="L220" s="79">
        <f>'Core Loads'!L220</f>
        <v>0</v>
      </c>
      <c r="M220" s="79">
        <f>'Core Loads'!M220</f>
        <v>0</v>
      </c>
      <c r="N220" s="79">
        <f>'Core Loads'!N220</f>
        <v>0</v>
      </c>
      <c r="O220" s="79">
        <f>'Core Loads'!O220</f>
        <v>0</v>
      </c>
      <c r="P220" s="79">
        <f>'Core Loads'!P220</f>
        <v>0</v>
      </c>
      <c r="Q220" s="79">
        <f>'Core Loads'!Q220</f>
        <v>0</v>
      </c>
      <c r="R220" s="79">
        <f>'Core Loads'!R220</f>
        <v>0</v>
      </c>
      <c r="S220" s="79">
        <f>'Core Loads'!S220</f>
        <v>0</v>
      </c>
      <c r="T220" s="79">
        <f>'Core Loads'!T220</f>
        <v>0</v>
      </c>
      <c r="U220" s="79">
        <f>'Core Loads'!U220</f>
        <v>0</v>
      </c>
      <c r="V220" s="79">
        <f>'Core Loads'!V220</f>
        <v>0</v>
      </c>
      <c r="W220" s="79">
        <f>'Core Loads'!W220</f>
        <v>0</v>
      </c>
      <c r="X220" s="79">
        <f>'Core Loads'!X220</f>
        <v>0</v>
      </c>
      <c r="Y220" s="79">
        <f>'Core Loads'!Y220</f>
        <v>0</v>
      </c>
      <c r="Z220" s="79">
        <f>'Core Loads'!Z220</f>
        <v>0</v>
      </c>
      <c r="AA220" s="79">
        <f>'Core Loads'!AA220</f>
        <v>0</v>
      </c>
      <c r="AB220" s="79">
        <f>'Core Loads'!AB220</f>
        <v>0</v>
      </c>
      <c r="AC220" s="79">
        <f>'Core Loads'!AC220</f>
        <v>0</v>
      </c>
      <c r="AD220" s="79">
        <f>'Core Loads'!AD220</f>
        <v>0</v>
      </c>
      <c r="AE220" s="79">
        <f>'Core Loads'!AE220</f>
        <v>0</v>
      </c>
      <c r="AF220" s="79">
        <f>'Core Loads'!AF220</f>
        <v>0</v>
      </c>
      <c r="AH220" s="17" t="s">
        <v>279</v>
      </c>
    </row>
    <row r="221" spans="2:35" hidden="1" outlineLevel="1" x14ac:dyDescent="0.25">
      <c r="B221" s="31" t="s">
        <v>244</v>
      </c>
      <c r="C221" s="79">
        <f>'Core Loads'!C221</f>
        <v>249408.4642786741</v>
      </c>
      <c r="D221" s="79">
        <f>'Core Loads'!D221</f>
        <v>249408.4642786741</v>
      </c>
      <c r="E221" s="79">
        <f>'Core Loads'!E221</f>
        <v>0</v>
      </c>
      <c r="F221" s="79">
        <f>'Core Loads'!F221</f>
        <v>0</v>
      </c>
      <c r="G221" s="79">
        <f>'Core Loads'!G221</f>
        <v>0</v>
      </c>
      <c r="H221" s="79">
        <f>'Core Loads'!H221</f>
        <v>0</v>
      </c>
      <c r="I221" s="79">
        <f>'Core Loads'!I221</f>
        <v>0</v>
      </c>
      <c r="J221" s="79">
        <f>'Core Loads'!J221</f>
        <v>0</v>
      </c>
      <c r="K221" s="79">
        <f>'Core Loads'!K221</f>
        <v>0</v>
      </c>
      <c r="L221" s="79">
        <f>'Core Loads'!L221</f>
        <v>0</v>
      </c>
      <c r="M221" s="79">
        <f>'Core Loads'!M221</f>
        <v>0</v>
      </c>
      <c r="N221" s="79">
        <f>'Core Loads'!N221</f>
        <v>0</v>
      </c>
      <c r="O221" s="79">
        <f>'Core Loads'!O221</f>
        <v>0</v>
      </c>
      <c r="P221" s="79">
        <f>'Core Loads'!P221</f>
        <v>0</v>
      </c>
      <c r="Q221" s="79">
        <f>'Core Loads'!Q221</f>
        <v>0</v>
      </c>
      <c r="R221" s="79">
        <f>'Core Loads'!R221</f>
        <v>0</v>
      </c>
      <c r="S221" s="79">
        <f>'Core Loads'!S221</f>
        <v>0</v>
      </c>
      <c r="T221" s="79">
        <f>'Core Loads'!T221</f>
        <v>0</v>
      </c>
      <c r="U221" s="79">
        <f>'Core Loads'!U221</f>
        <v>0</v>
      </c>
      <c r="V221" s="79">
        <f>'Core Loads'!V221</f>
        <v>0</v>
      </c>
      <c r="W221" s="79">
        <f>'Core Loads'!W221</f>
        <v>0</v>
      </c>
      <c r="X221" s="79">
        <f>'Core Loads'!X221</f>
        <v>0</v>
      </c>
      <c r="Y221" s="79">
        <f>'Core Loads'!Y221</f>
        <v>0</v>
      </c>
      <c r="Z221" s="79">
        <f>'Core Loads'!Z221</f>
        <v>0</v>
      </c>
      <c r="AA221" s="79">
        <f>'Core Loads'!AA221</f>
        <v>0</v>
      </c>
      <c r="AB221" s="79">
        <f>'Core Loads'!AB221</f>
        <v>0</v>
      </c>
      <c r="AC221" s="79">
        <f>'Core Loads'!AC221</f>
        <v>0</v>
      </c>
      <c r="AD221" s="79">
        <f>'Core Loads'!AD221</f>
        <v>0</v>
      </c>
      <c r="AE221" s="79">
        <f>'Core Loads'!AE221</f>
        <v>0</v>
      </c>
      <c r="AF221" s="79">
        <f>'Core Loads'!AF221</f>
        <v>0</v>
      </c>
      <c r="AG221"/>
      <c r="AH221" s="17" t="s">
        <v>279</v>
      </c>
    </row>
    <row r="222" spans="2:35" hidden="1" outlineLevel="1" x14ac:dyDescent="0.25">
      <c r="B222" s="31" t="s">
        <v>147</v>
      </c>
      <c r="C222" s="79">
        <f>'Core Loads'!C222</f>
        <v>0</v>
      </c>
      <c r="D222" s="79">
        <f>'Core Loads'!D222</f>
        <v>0</v>
      </c>
      <c r="E222" s="79">
        <f>'Core Loads'!E222</f>
        <v>0</v>
      </c>
      <c r="F222" s="79">
        <f>'Core Loads'!F222</f>
        <v>0</v>
      </c>
      <c r="G222" s="79">
        <f>'Core Loads'!G222</f>
        <v>0</v>
      </c>
      <c r="H222" s="79">
        <f>'Core Loads'!H222</f>
        <v>0</v>
      </c>
      <c r="I222" s="79">
        <f>'Core Loads'!I222</f>
        <v>0</v>
      </c>
      <c r="J222" s="79">
        <f>'Core Loads'!J222</f>
        <v>0</v>
      </c>
      <c r="K222" s="79">
        <f>'Core Loads'!K222</f>
        <v>0</v>
      </c>
      <c r="L222" s="79">
        <f>'Core Loads'!L222</f>
        <v>0</v>
      </c>
      <c r="M222" s="79">
        <f>'Core Loads'!M222</f>
        <v>0</v>
      </c>
      <c r="N222" s="79">
        <f>'Core Loads'!N222</f>
        <v>0</v>
      </c>
      <c r="O222" s="79">
        <f>'Core Loads'!O222</f>
        <v>0</v>
      </c>
      <c r="P222" s="79">
        <f>'Core Loads'!P222</f>
        <v>0</v>
      </c>
      <c r="Q222" s="79">
        <f>'Core Loads'!Q222</f>
        <v>0</v>
      </c>
      <c r="R222" s="79">
        <f>'Core Loads'!R222</f>
        <v>0</v>
      </c>
      <c r="S222" s="79">
        <f>'Core Loads'!S222</f>
        <v>0</v>
      </c>
      <c r="T222" s="79">
        <f>'Core Loads'!T222</f>
        <v>0</v>
      </c>
      <c r="U222" s="79">
        <f>'Core Loads'!U222</f>
        <v>0</v>
      </c>
      <c r="V222" s="79">
        <f>'Core Loads'!V222</f>
        <v>0</v>
      </c>
      <c r="W222" s="79">
        <f>'Core Loads'!W222</f>
        <v>0</v>
      </c>
      <c r="X222" s="79">
        <f>'Core Loads'!X222</f>
        <v>0</v>
      </c>
      <c r="Y222" s="79">
        <f>'Core Loads'!Y222</f>
        <v>0</v>
      </c>
      <c r="Z222" s="79">
        <f>'Core Loads'!Z222</f>
        <v>0</v>
      </c>
      <c r="AA222" s="79">
        <f>'Core Loads'!AA222</f>
        <v>0</v>
      </c>
      <c r="AB222" s="79">
        <f>'Core Loads'!AB222</f>
        <v>0</v>
      </c>
      <c r="AC222" s="79">
        <f>'Core Loads'!AC222</f>
        <v>0</v>
      </c>
      <c r="AD222" s="79">
        <f>'Core Loads'!AD222</f>
        <v>0</v>
      </c>
      <c r="AE222" s="79">
        <f>'Core Loads'!AE222</f>
        <v>0</v>
      </c>
      <c r="AF222" s="79">
        <f>'Core Loads'!AF222</f>
        <v>0</v>
      </c>
      <c r="AG222"/>
      <c r="AH222" s="17" t="s">
        <v>279</v>
      </c>
    </row>
    <row r="223" spans="2:35" hidden="1" outlineLevel="1" x14ac:dyDescent="0.25">
      <c r="B223" s="31" t="s">
        <v>245</v>
      </c>
      <c r="C223" s="79">
        <f>'Core Loads'!C223</f>
        <v>15010.998282483361</v>
      </c>
      <c r="D223" s="79">
        <f>'Core Loads'!D223</f>
        <v>15010.998282483361</v>
      </c>
      <c r="E223" s="79">
        <f>'Core Loads'!E223</f>
        <v>0</v>
      </c>
      <c r="F223" s="79">
        <f>'Core Loads'!F223</f>
        <v>0</v>
      </c>
      <c r="G223" s="79">
        <f>'Core Loads'!G223</f>
        <v>0</v>
      </c>
      <c r="H223" s="79">
        <f>'Core Loads'!H223</f>
        <v>0</v>
      </c>
      <c r="I223" s="79">
        <f>'Core Loads'!I223</f>
        <v>0</v>
      </c>
      <c r="J223" s="79">
        <f>'Core Loads'!J223</f>
        <v>0</v>
      </c>
      <c r="K223" s="79">
        <f>'Core Loads'!K223</f>
        <v>0</v>
      </c>
      <c r="L223" s="79">
        <f>'Core Loads'!L223</f>
        <v>0</v>
      </c>
      <c r="M223" s="79">
        <f>'Core Loads'!M223</f>
        <v>0</v>
      </c>
      <c r="N223" s="79">
        <f>'Core Loads'!N223</f>
        <v>0</v>
      </c>
      <c r="O223" s="79">
        <f>'Core Loads'!O223</f>
        <v>0</v>
      </c>
      <c r="P223" s="79">
        <f>'Core Loads'!P223</f>
        <v>0</v>
      </c>
      <c r="Q223" s="79">
        <f>'Core Loads'!Q223</f>
        <v>0</v>
      </c>
      <c r="R223" s="79">
        <f>'Core Loads'!R223</f>
        <v>0</v>
      </c>
      <c r="S223" s="79">
        <f>'Core Loads'!S223</f>
        <v>0</v>
      </c>
      <c r="T223" s="79">
        <f>'Core Loads'!T223</f>
        <v>0</v>
      </c>
      <c r="U223" s="79">
        <f>'Core Loads'!U223</f>
        <v>0</v>
      </c>
      <c r="V223" s="79">
        <f>'Core Loads'!V223</f>
        <v>0</v>
      </c>
      <c r="W223" s="79">
        <f>'Core Loads'!W223</f>
        <v>0</v>
      </c>
      <c r="X223" s="79">
        <f>'Core Loads'!X223</f>
        <v>0</v>
      </c>
      <c r="Y223" s="79">
        <f>'Core Loads'!Y223</f>
        <v>0</v>
      </c>
      <c r="Z223" s="79">
        <f>'Core Loads'!Z223</f>
        <v>0</v>
      </c>
      <c r="AA223" s="79">
        <f>'Core Loads'!AA223</f>
        <v>0</v>
      </c>
      <c r="AB223" s="79">
        <f>'Core Loads'!AB223</f>
        <v>0</v>
      </c>
      <c r="AC223" s="79">
        <f>'Core Loads'!AC223</f>
        <v>0</v>
      </c>
      <c r="AD223" s="79">
        <f>'Core Loads'!AD223</f>
        <v>0</v>
      </c>
      <c r="AE223" s="79">
        <f>'Core Loads'!AE223</f>
        <v>0</v>
      </c>
      <c r="AF223" s="79">
        <f>'Core Loads'!AF223</f>
        <v>0</v>
      </c>
      <c r="AG223"/>
      <c r="AH223" s="17" t="s">
        <v>279</v>
      </c>
    </row>
    <row r="224" spans="2:35" hidden="1" outlineLevel="1" x14ac:dyDescent="0.25">
      <c r="B224" s="31" t="s">
        <v>149</v>
      </c>
      <c r="C224" s="79">
        <f>'Core Loads'!C224</f>
        <v>704771.46668649488</v>
      </c>
      <c r="D224" s="79">
        <f>'Core Loads'!D224</f>
        <v>704771.46668649488</v>
      </c>
      <c r="E224" s="79">
        <f>'Core Loads'!E224</f>
        <v>0</v>
      </c>
      <c r="F224" s="79">
        <f>'Core Loads'!F224</f>
        <v>0</v>
      </c>
      <c r="G224" s="79">
        <f>'Core Loads'!G224</f>
        <v>0</v>
      </c>
      <c r="H224" s="79">
        <f>'Core Loads'!H224</f>
        <v>0</v>
      </c>
      <c r="I224" s="79">
        <f>'Core Loads'!I224</f>
        <v>0</v>
      </c>
      <c r="J224" s="79">
        <f>'Core Loads'!J224</f>
        <v>0</v>
      </c>
      <c r="K224" s="79">
        <f>'Core Loads'!K224</f>
        <v>0</v>
      </c>
      <c r="L224" s="79">
        <f>'Core Loads'!L224</f>
        <v>0</v>
      </c>
      <c r="M224" s="79">
        <f>'Core Loads'!M224</f>
        <v>0</v>
      </c>
      <c r="N224" s="79">
        <f>'Core Loads'!N224</f>
        <v>0</v>
      </c>
      <c r="O224" s="79">
        <f>'Core Loads'!O224</f>
        <v>0</v>
      </c>
      <c r="P224" s="79">
        <f>'Core Loads'!P224</f>
        <v>0</v>
      </c>
      <c r="Q224" s="79">
        <f>'Core Loads'!Q224</f>
        <v>0</v>
      </c>
      <c r="R224" s="79">
        <f>'Core Loads'!R224</f>
        <v>0</v>
      </c>
      <c r="S224" s="79">
        <f>'Core Loads'!S224</f>
        <v>0</v>
      </c>
      <c r="T224" s="79">
        <f>'Core Loads'!T224</f>
        <v>0</v>
      </c>
      <c r="U224" s="79">
        <f>'Core Loads'!U224</f>
        <v>0</v>
      </c>
      <c r="V224" s="79">
        <f>'Core Loads'!V224</f>
        <v>0</v>
      </c>
      <c r="W224" s="79">
        <f>'Core Loads'!W224</f>
        <v>0</v>
      </c>
      <c r="X224" s="79">
        <f>'Core Loads'!X224</f>
        <v>0</v>
      </c>
      <c r="Y224" s="79">
        <f>'Core Loads'!Y224</f>
        <v>0</v>
      </c>
      <c r="Z224" s="79">
        <f>'Core Loads'!Z224</f>
        <v>0</v>
      </c>
      <c r="AA224" s="79">
        <f>'Core Loads'!AA224</f>
        <v>0</v>
      </c>
      <c r="AB224" s="79">
        <f>'Core Loads'!AB224</f>
        <v>0</v>
      </c>
      <c r="AC224" s="79">
        <f>'Core Loads'!AC224</f>
        <v>0</v>
      </c>
      <c r="AD224" s="79">
        <f>'Core Loads'!AD224</f>
        <v>0</v>
      </c>
      <c r="AE224" s="79">
        <f>'Core Loads'!AE224</f>
        <v>0</v>
      </c>
      <c r="AF224" s="79">
        <f>'Core Loads'!AF224</f>
        <v>0</v>
      </c>
      <c r="AG224"/>
      <c r="AH224" s="17" t="s">
        <v>279</v>
      </c>
    </row>
    <row r="225" spans="2:34" hidden="1" outlineLevel="1" x14ac:dyDescent="0.25">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row>
    <row r="226" spans="2:34" ht="15.75" hidden="1" outlineLevel="1" thickBot="1" x14ac:dyDescent="0.3">
      <c r="B226" s="28" t="s">
        <v>280</v>
      </c>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0"/>
      <c r="AH226" s="20" t="s">
        <v>15</v>
      </c>
    </row>
    <row r="227" spans="2:34" customFormat="1" hidden="1" outlineLevel="1" x14ac:dyDescent="0.25">
      <c r="B227" s="30"/>
      <c r="C227" s="17">
        <v>2025</v>
      </c>
      <c r="D227" s="44">
        <v>2026</v>
      </c>
      <c r="E227" s="44">
        <v>2027</v>
      </c>
      <c r="F227" s="44">
        <v>2028</v>
      </c>
      <c r="G227" s="44">
        <v>2029</v>
      </c>
      <c r="H227" s="44">
        <v>2030</v>
      </c>
      <c r="I227" s="44">
        <v>2031</v>
      </c>
      <c r="J227" s="44">
        <v>2032</v>
      </c>
      <c r="K227" s="44">
        <v>2033</v>
      </c>
      <c r="L227" s="44">
        <v>2034</v>
      </c>
      <c r="M227" s="44">
        <v>2035</v>
      </c>
      <c r="N227" s="44">
        <v>2036</v>
      </c>
      <c r="O227" s="44">
        <v>2037</v>
      </c>
      <c r="P227" s="44">
        <v>2038</v>
      </c>
      <c r="Q227" s="44">
        <v>2039</v>
      </c>
      <c r="R227" s="44">
        <v>2040</v>
      </c>
      <c r="S227" s="44">
        <v>2041</v>
      </c>
      <c r="T227" s="44">
        <v>2042</v>
      </c>
      <c r="U227" s="44">
        <v>2043</v>
      </c>
      <c r="V227" s="44">
        <v>2044</v>
      </c>
      <c r="W227" s="44">
        <v>2045</v>
      </c>
      <c r="X227" s="44">
        <v>2046</v>
      </c>
      <c r="Y227" s="44">
        <v>2047</v>
      </c>
      <c r="Z227" s="44">
        <v>2048</v>
      </c>
      <c r="AA227" s="44">
        <v>2049</v>
      </c>
      <c r="AB227" s="44">
        <v>2050</v>
      </c>
      <c r="AC227" s="44">
        <v>2051</v>
      </c>
      <c r="AD227" s="44">
        <v>2052</v>
      </c>
      <c r="AE227" s="44">
        <v>2053</v>
      </c>
      <c r="AF227" s="44">
        <v>2054</v>
      </c>
      <c r="AH227" s="1"/>
    </row>
    <row r="228" spans="2:34" hidden="1" outlineLevel="1" x14ac:dyDescent="0.25">
      <c r="B228" s="31" t="s">
        <v>144</v>
      </c>
      <c r="C228" s="79">
        <f>'Core Loads'!C228</f>
        <v>0</v>
      </c>
      <c r="D228" s="79">
        <f>'Core Loads'!D228</f>
        <v>0</v>
      </c>
      <c r="E228" s="79">
        <f>'Core Loads'!E228</f>
        <v>342242.65102078754</v>
      </c>
      <c r="F228" s="79">
        <f>'Core Loads'!F228</f>
        <v>305603.30209601083</v>
      </c>
      <c r="G228" s="79">
        <f>'Core Loads'!G228</f>
        <v>305603.30209601083</v>
      </c>
      <c r="H228" s="79">
        <f>'Core Loads'!H228</f>
        <v>301207.80852934415</v>
      </c>
      <c r="I228" s="79">
        <f>'Core Loads'!I228</f>
        <v>301207.80852934415</v>
      </c>
      <c r="J228" s="79">
        <f>'Core Loads'!J228</f>
        <v>291945.6620454957</v>
      </c>
      <c r="K228" s="79">
        <f>'Core Loads'!K228</f>
        <v>291945.6620454957</v>
      </c>
      <c r="L228" s="79">
        <f>'Core Loads'!L228</f>
        <v>291945.6620454957</v>
      </c>
      <c r="M228" s="79">
        <f>'Core Loads'!M228</f>
        <v>291945.6620454957</v>
      </c>
      <c r="N228" s="79">
        <f>'Core Loads'!N228</f>
        <v>291945.6620454957</v>
      </c>
      <c r="O228" s="79">
        <f>'Core Loads'!O228</f>
        <v>291945.6620454957</v>
      </c>
      <c r="P228" s="79">
        <f>'Core Loads'!P228</f>
        <v>291945.6620454957</v>
      </c>
      <c r="Q228" s="79">
        <f>'Core Loads'!Q228</f>
        <v>291945.6620454957</v>
      </c>
      <c r="R228" s="79">
        <f>'Core Loads'!R228</f>
        <v>291945.6620454957</v>
      </c>
      <c r="S228" s="79">
        <f>'Core Loads'!S228</f>
        <v>291945.6620454957</v>
      </c>
      <c r="T228" s="79">
        <f>'Core Loads'!T228</f>
        <v>291945.6620454957</v>
      </c>
      <c r="U228" s="79">
        <f>'Core Loads'!U228</f>
        <v>291945.6620454957</v>
      </c>
      <c r="V228" s="79">
        <f>'Core Loads'!V228</f>
        <v>291945.6620454957</v>
      </c>
      <c r="W228" s="79">
        <f>'Core Loads'!W228</f>
        <v>291945.6620454957</v>
      </c>
      <c r="X228" s="79">
        <f>'Core Loads'!X228</f>
        <v>291945.6620454957</v>
      </c>
      <c r="Y228" s="79">
        <f>'Core Loads'!Y228</f>
        <v>291945.6620454957</v>
      </c>
      <c r="Z228" s="79">
        <f>'Core Loads'!Z228</f>
        <v>291945.6620454957</v>
      </c>
      <c r="AA228" s="79">
        <f>'Core Loads'!AA228</f>
        <v>291945.6620454957</v>
      </c>
      <c r="AB228" s="79">
        <f>'Core Loads'!AB228</f>
        <v>291945.6620454957</v>
      </c>
      <c r="AC228" s="79">
        <f>'Core Loads'!AC228</f>
        <v>291945.6620454957</v>
      </c>
      <c r="AD228" s="79">
        <f>'Core Loads'!AD228</f>
        <v>291945.6620454957</v>
      </c>
      <c r="AE228" s="79">
        <f>'Core Loads'!AE228</f>
        <v>291945.6620454957</v>
      </c>
      <c r="AF228" s="79">
        <f>'Core Loads'!AF228</f>
        <v>291945.6620454957</v>
      </c>
      <c r="AG228"/>
      <c r="AH228" s="17" t="s">
        <v>279</v>
      </c>
    </row>
    <row r="229" spans="2:34" hidden="1" outlineLevel="1" x14ac:dyDescent="0.25">
      <c r="B229" s="31" t="s">
        <v>145</v>
      </c>
      <c r="C229" s="79">
        <f>'Core Loads'!C229</f>
        <v>0</v>
      </c>
      <c r="D229" s="79">
        <f>'Core Loads'!D229</f>
        <v>0</v>
      </c>
      <c r="E229" s="79">
        <f>'Core Loads'!E229</f>
        <v>98109.353104549853</v>
      </c>
      <c r="F229" s="79">
        <f>'Core Loads'!F229</f>
        <v>98109.353104549853</v>
      </c>
      <c r="G229" s="79">
        <f>'Core Loads'!G229</f>
        <v>98109.353104549853</v>
      </c>
      <c r="H229" s="79">
        <f>'Core Loads'!H229</f>
        <v>98109.353104549853</v>
      </c>
      <c r="I229" s="79">
        <f>'Core Loads'!I229</f>
        <v>98109.353104549853</v>
      </c>
      <c r="J229" s="79">
        <f>'Core Loads'!J229</f>
        <v>98109.353104549853</v>
      </c>
      <c r="K229" s="79">
        <f>'Core Loads'!K229</f>
        <v>98109.353104549853</v>
      </c>
      <c r="L229" s="79">
        <f>'Core Loads'!L229</f>
        <v>87477.430959262143</v>
      </c>
      <c r="M229" s="79">
        <f>'Core Loads'!M229</f>
        <v>87477.430959262143</v>
      </c>
      <c r="N229" s="79">
        <f>'Core Loads'!N229</f>
        <v>87477.430959262143</v>
      </c>
      <c r="O229" s="79">
        <f>'Core Loads'!O229</f>
        <v>87477.430959262143</v>
      </c>
      <c r="P229" s="79">
        <f>'Core Loads'!P229</f>
        <v>87287.517599226805</v>
      </c>
      <c r="Q229" s="79">
        <f>'Core Loads'!Q229</f>
        <v>87287.517599226805</v>
      </c>
      <c r="R229" s="79">
        <f>'Core Loads'!R229</f>
        <v>86872.013217632499</v>
      </c>
      <c r="S229" s="79">
        <f>'Core Loads'!S229</f>
        <v>86872.013217632499</v>
      </c>
      <c r="T229" s="79">
        <f>'Core Loads'!T229</f>
        <v>85195.012122318236</v>
      </c>
      <c r="U229" s="79">
        <f>'Core Loads'!U229</f>
        <v>85195.012122318236</v>
      </c>
      <c r="V229" s="79">
        <f>'Core Loads'!V229</f>
        <v>85195.012122318236</v>
      </c>
      <c r="W229" s="79">
        <f>'Core Loads'!W229</f>
        <v>85195.012122318236</v>
      </c>
      <c r="X229" s="79">
        <f>'Core Loads'!X229</f>
        <v>85195.012122318236</v>
      </c>
      <c r="Y229" s="79">
        <f>'Core Loads'!Y229</f>
        <v>85195.012122318236</v>
      </c>
      <c r="Z229" s="79">
        <f>'Core Loads'!Z229</f>
        <v>85195.012122318236</v>
      </c>
      <c r="AA229" s="79">
        <f>'Core Loads'!AA229</f>
        <v>85195.012122318236</v>
      </c>
      <c r="AB229" s="79">
        <f>'Core Loads'!AB229</f>
        <v>83077.009532805183</v>
      </c>
      <c r="AC229" s="79">
        <f>'Core Loads'!AC229</f>
        <v>83077.009532805183</v>
      </c>
      <c r="AD229" s="79">
        <f>'Core Loads'!AD229</f>
        <v>83077.009532805183</v>
      </c>
      <c r="AE229" s="79">
        <f>'Core Loads'!AE229</f>
        <v>83077.009532805183</v>
      </c>
      <c r="AF229" s="79">
        <f>'Core Loads'!AF229</f>
        <v>83077.009532805183</v>
      </c>
      <c r="AG229"/>
      <c r="AH229" s="17" t="s">
        <v>279</v>
      </c>
    </row>
    <row r="230" spans="2:34" hidden="1" outlineLevel="1" x14ac:dyDescent="0.25">
      <c r="B230" s="31" t="s">
        <v>244</v>
      </c>
      <c r="C230" s="79">
        <f>'Core Loads'!C230</f>
        <v>0</v>
      </c>
      <c r="D230" s="79">
        <f>'Core Loads'!D230</f>
        <v>0</v>
      </c>
      <c r="E230" s="79">
        <f>'Core Loads'!E230</f>
        <v>249408.4642786741</v>
      </c>
      <c r="F230" s="79">
        <f>'Core Loads'!F230</f>
        <v>271089.76978868787</v>
      </c>
      <c r="G230" s="79">
        <f>'Core Loads'!G230</f>
        <v>271089.76978868787</v>
      </c>
      <c r="H230" s="79">
        <f>'Core Loads'!H230</f>
        <v>264563.44007260934</v>
      </c>
      <c r="I230" s="79">
        <f>'Core Loads'!I230</f>
        <v>264563.44007260934</v>
      </c>
      <c r="J230" s="79">
        <f>'Core Loads'!J230</f>
        <v>241469.52476634944</v>
      </c>
      <c r="K230" s="79">
        <f>'Core Loads'!K230</f>
        <v>241469.52476634944</v>
      </c>
      <c r="L230" s="79">
        <f>'Core Loads'!L230</f>
        <v>241469.52476634944</v>
      </c>
      <c r="M230" s="79">
        <f>'Core Loads'!M230</f>
        <v>241469.52476634944</v>
      </c>
      <c r="N230" s="79">
        <f>'Core Loads'!N230</f>
        <v>228160.89031826754</v>
      </c>
      <c r="O230" s="79">
        <f>'Core Loads'!O230</f>
        <v>228160.89031826754</v>
      </c>
      <c r="P230" s="79">
        <f>'Core Loads'!P230</f>
        <v>225094.6559789071</v>
      </c>
      <c r="Q230" s="79">
        <f>'Core Loads'!Q230</f>
        <v>225094.6559789071</v>
      </c>
      <c r="R230" s="79">
        <f>'Core Loads'!R230</f>
        <v>231209.69947117515</v>
      </c>
      <c r="S230" s="79">
        <f>'Core Loads'!S230</f>
        <v>231209.69947117515</v>
      </c>
      <c r="T230" s="79">
        <f>'Core Loads'!T230</f>
        <v>231209.69947117515</v>
      </c>
      <c r="U230" s="79">
        <f>'Core Loads'!U230</f>
        <v>231209.69947117515</v>
      </c>
      <c r="V230" s="79">
        <f>'Core Loads'!V230</f>
        <v>229096.82281032932</v>
      </c>
      <c r="W230" s="79">
        <f>'Core Loads'!W230</f>
        <v>229096.82281032932</v>
      </c>
      <c r="X230" s="79">
        <f>'Core Loads'!X230</f>
        <v>229096.82281032932</v>
      </c>
      <c r="Y230" s="79">
        <f>'Core Loads'!Y230</f>
        <v>229096.82281032932</v>
      </c>
      <c r="Z230" s="79">
        <f>'Core Loads'!Z230</f>
        <v>229096.82281032932</v>
      </c>
      <c r="AA230" s="79">
        <f>'Core Loads'!AA230</f>
        <v>229096.82281032932</v>
      </c>
      <c r="AB230" s="79">
        <f>'Core Loads'!AB230</f>
        <v>229096.82281032932</v>
      </c>
      <c r="AC230" s="79">
        <f>'Core Loads'!AC230</f>
        <v>229096.82281032932</v>
      </c>
      <c r="AD230" s="79">
        <f>'Core Loads'!AD230</f>
        <v>229096.82281032932</v>
      </c>
      <c r="AE230" s="79">
        <f>'Core Loads'!AE230</f>
        <v>229096.82281032932</v>
      </c>
      <c r="AF230" s="79">
        <f>'Core Loads'!AF230</f>
        <v>229096.82281032932</v>
      </c>
      <c r="AG230"/>
      <c r="AH230" s="17" t="s">
        <v>279</v>
      </c>
    </row>
    <row r="231" spans="2:34" hidden="1" outlineLevel="1" x14ac:dyDescent="0.25">
      <c r="B231" s="31" t="s">
        <v>147</v>
      </c>
      <c r="C231" s="79">
        <f>'Core Loads'!C231</f>
        <v>0</v>
      </c>
      <c r="D231" s="79">
        <f>'Core Loads'!D231</f>
        <v>0</v>
      </c>
      <c r="E231" s="79">
        <f>'Core Loads'!E231</f>
        <v>0</v>
      </c>
      <c r="F231" s="79">
        <f>'Core Loads'!F231</f>
        <v>0</v>
      </c>
      <c r="G231" s="79">
        <f>'Core Loads'!G231</f>
        <v>0</v>
      </c>
      <c r="H231" s="79">
        <f>'Core Loads'!H231</f>
        <v>0</v>
      </c>
      <c r="I231" s="79">
        <f>'Core Loads'!I231</f>
        <v>0</v>
      </c>
      <c r="J231" s="79">
        <f>'Core Loads'!J231</f>
        <v>0</v>
      </c>
      <c r="K231" s="79">
        <f>'Core Loads'!K231</f>
        <v>0</v>
      </c>
      <c r="L231" s="79">
        <f>'Core Loads'!L231</f>
        <v>0</v>
      </c>
      <c r="M231" s="79">
        <f>'Core Loads'!M231</f>
        <v>0</v>
      </c>
      <c r="N231" s="79">
        <f>'Core Loads'!N231</f>
        <v>0</v>
      </c>
      <c r="O231" s="79">
        <f>'Core Loads'!O231</f>
        <v>0</v>
      </c>
      <c r="P231" s="79">
        <f>'Core Loads'!P231</f>
        <v>0</v>
      </c>
      <c r="Q231" s="79">
        <f>'Core Loads'!Q231</f>
        <v>0</v>
      </c>
      <c r="R231" s="79">
        <f>'Core Loads'!R231</f>
        <v>0</v>
      </c>
      <c r="S231" s="79">
        <f>'Core Loads'!S231</f>
        <v>0</v>
      </c>
      <c r="T231" s="79">
        <f>'Core Loads'!T231</f>
        <v>0</v>
      </c>
      <c r="U231" s="79">
        <f>'Core Loads'!U231</f>
        <v>0</v>
      </c>
      <c r="V231" s="79">
        <f>'Core Loads'!V231</f>
        <v>0</v>
      </c>
      <c r="W231" s="79">
        <f>'Core Loads'!W231</f>
        <v>0</v>
      </c>
      <c r="X231" s="79">
        <f>'Core Loads'!X231</f>
        <v>0</v>
      </c>
      <c r="Y231" s="79">
        <f>'Core Loads'!Y231</f>
        <v>0</v>
      </c>
      <c r="Z231" s="79">
        <f>'Core Loads'!Z231</f>
        <v>0</v>
      </c>
      <c r="AA231" s="79">
        <f>'Core Loads'!AA231</f>
        <v>0</v>
      </c>
      <c r="AB231" s="79">
        <f>'Core Loads'!AB231</f>
        <v>0</v>
      </c>
      <c r="AC231" s="79">
        <f>'Core Loads'!AC231</f>
        <v>0</v>
      </c>
      <c r="AD231" s="79">
        <f>'Core Loads'!AD231</f>
        <v>0</v>
      </c>
      <c r="AE231" s="79">
        <f>'Core Loads'!AE231</f>
        <v>0</v>
      </c>
      <c r="AF231" s="79">
        <f>'Core Loads'!AF231</f>
        <v>0</v>
      </c>
      <c r="AG231"/>
      <c r="AH231" s="17" t="s">
        <v>279</v>
      </c>
    </row>
    <row r="232" spans="2:34" hidden="1" outlineLevel="1" x14ac:dyDescent="0.25">
      <c r="B232" s="31" t="s">
        <v>245</v>
      </c>
      <c r="C232" s="79">
        <f>'Core Loads'!C232</f>
        <v>0</v>
      </c>
      <c r="D232" s="79">
        <f>'Core Loads'!D232</f>
        <v>0</v>
      </c>
      <c r="E232" s="79">
        <f>'Core Loads'!E232</f>
        <v>15010.998282483361</v>
      </c>
      <c r="F232" s="79">
        <f>'Core Loads'!F232</f>
        <v>15010.998282483361</v>
      </c>
      <c r="G232" s="79">
        <f>'Core Loads'!G232</f>
        <v>15010.998282483361</v>
      </c>
      <c r="H232" s="79">
        <f>'Core Loads'!H232</f>
        <v>15010.998282483361</v>
      </c>
      <c r="I232" s="79">
        <f>'Core Loads'!I232</f>
        <v>15010.998282483361</v>
      </c>
      <c r="J232" s="79">
        <f>'Core Loads'!J232</f>
        <v>15010.998282483361</v>
      </c>
      <c r="K232" s="79">
        <f>'Core Loads'!K232</f>
        <v>15010.998282483361</v>
      </c>
      <c r="L232" s="79">
        <f>'Core Loads'!L232</f>
        <v>15010.998282483361</v>
      </c>
      <c r="M232" s="79">
        <f>'Core Loads'!M232</f>
        <v>15010.998282483361</v>
      </c>
      <c r="N232" s="79">
        <f>'Core Loads'!N232</f>
        <v>13436.692112233934</v>
      </c>
      <c r="O232" s="79">
        <f>'Core Loads'!O232</f>
        <v>13436.692112233934</v>
      </c>
      <c r="P232" s="79">
        <f>'Core Loads'!P232</f>
        <v>13436.692112233934</v>
      </c>
      <c r="Q232" s="79">
        <f>'Core Loads'!Q232</f>
        <v>13436.692112233934</v>
      </c>
      <c r="R232" s="79">
        <f>'Core Loads'!R232</f>
        <v>51778.373813264858</v>
      </c>
      <c r="S232" s="79">
        <f>'Core Loads'!S232</f>
        <v>51778.373813264858</v>
      </c>
      <c r="T232" s="79">
        <f>'Core Loads'!T232</f>
        <v>51778.373813264858</v>
      </c>
      <c r="U232" s="79">
        <f>'Core Loads'!U232</f>
        <v>51778.373813264858</v>
      </c>
      <c r="V232" s="79">
        <f>'Core Loads'!V232</f>
        <v>51778.373813264858</v>
      </c>
      <c r="W232" s="79">
        <f>'Core Loads'!W232</f>
        <v>51778.373813264858</v>
      </c>
      <c r="X232" s="79">
        <f>'Core Loads'!X232</f>
        <v>51778.373813264858</v>
      </c>
      <c r="Y232" s="79">
        <f>'Core Loads'!Y232</f>
        <v>51778.373813264858</v>
      </c>
      <c r="Z232" s="79">
        <f>'Core Loads'!Z232</f>
        <v>51778.373813264858</v>
      </c>
      <c r="AA232" s="79">
        <f>'Core Loads'!AA232</f>
        <v>51778.373813264858</v>
      </c>
      <c r="AB232" s="79">
        <f>'Core Loads'!AB232</f>
        <v>51778.373813264858</v>
      </c>
      <c r="AC232" s="79">
        <f>'Core Loads'!AC232</f>
        <v>51778.373813264858</v>
      </c>
      <c r="AD232" s="79">
        <f>'Core Loads'!AD232</f>
        <v>51778.373813264858</v>
      </c>
      <c r="AE232" s="79">
        <f>'Core Loads'!AE232</f>
        <v>51778.373813264858</v>
      </c>
      <c r="AF232" s="79">
        <f>'Core Loads'!AF232</f>
        <v>51778.373813264858</v>
      </c>
      <c r="AG232"/>
      <c r="AH232" s="17" t="s">
        <v>279</v>
      </c>
    </row>
    <row r="233" spans="2:34" hidden="1" outlineLevel="1" x14ac:dyDescent="0.25">
      <c r="B233" s="31" t="s">
        <v>149</v>
      </c>
      <c r="C233" s="79">
        <f>'Core Loads'!C233</f>
        <v>0</v>
      </c>
      <c r="D233" s="79">
        <f>'Core Loads'!D233</f>
        <v>0</v>
      </c>
      <c r="E233" s="79">
        <f>'Core Loads'!E233</f>
        <v>704771.46668649488</v>
      </c>
      <c r="F233" s="79">
        <f>'Core Loads'!F233</f>
        <v>689813.42327173194</v>
      </c>
      <c r="G233" s="79">
        <f>'Core Loads'!G233</f>
        <v>689813.42327173194</v>
      </c>
      <c r="H233" s="79">
        <f>'Core Loads'!H233</f>
        <v>678891.59998898674</v>
      </c>
      <c r="I233" s="79">
        <f>'Core Loads'!I233</f>
        <v>678891.59998898674</v>
      </c>
      <c r="J233" s="79">
        <f>'Core Loads'!J233</f>
        <v>646535.53819887829</v>
      </c>
      <c r="K233" s="79">
        <f>'Core Loads'!K233</f>
        <v>646535.53819887829</v>
      </c>
      <c r="L233" s="79">
        <f>'Core Loads'!L233</f>
        <v>635903.61605359055</v>
      </c>
      <c r="M233" s="79">
        <f>'Core Loads'!M233</f>
        <v>635903.61605359055</v>
      </c>
      <c r="N233" s="79">
        <f>'Core Loads'!N233</f>
        <v>621020.67543525936</v>
      </c>
      <c r="O233" s="79">
        <f>'Core Loads'!O233</f>
        <v>621020.67543525936</v>
      </c>
      <c r="P233" s="79">
        <f>'Core Loads'!P233</f>
        <v>617764.52773586358</v>
      </c>
      <c r="Q233" s="79">
        <f>'Core Loads'!Q233</f>
        <v>617764.52773586358</v>
      </c>
      <c r="R233" s="79">
        <f>'Core Loads'!R233</f>
        <v>661805.74854756822</v>
      </c>
      <c r="S233" s="79">
        <f>'Core Loads'!S233</f>
        <v>661805.74854756822</v>
      </c>
      <c r="T233" s="79">
        <f>'Core Loads'!T233</f>
        <v>660128.74745225406</v>
      </c>
      <c r="U233" s="79">
        <f>'Core Loads'!U233</f>
        <v>660128.74745225406</v>
      </c>
      <c r="V233" s="79">
        <f>'Core Loads'!V233</f>
        <v>658015.87079140812</v>
      </c>
      <c r="W233" s="79">
        <f>'Core Loads'!W233</f>
        <v>658015.87079140812</v>
      </c>
      <c r="X233" s="79">
        <f>'Core Loads'!X233</f>
        <v>658015.87079140812</v>
      </c>
      <c r="Y233" s="79">
        <f>'Core Loads'!Y233</f>
        <v>658015.87079140812</v>
      </c>
      <c r="Z233" s="79">
        <f>'Core Loads'!Z233</f>
        <v>658015.87079140812</v>
      </c>
      <c r="AA233" s="79">
        <f>'Core Loads'!AA233</f>
        <v>658015.87079140812</v>
      </c>
      <c r="AB233" s="79">
        <f>'Core Loads'!AB233</f>
        <v>655897.86820189503</v>
      </c>
      <c r="AC233" s="79">
        <f>'Core Loads'!AC233</f>
        <v>655897.86820189503</v>
      </c>
      <c r="AD233" s="79">
        <f>'Core Loads'!AD233</f>
        <v>655897.86820189503</v>
      </c>
      <c r="AE233" s="79">
        <f>'Core Loads'!AE233</f>
        <v>655897.86820189503</v>
      </c>
      <c r="AF233" s="79">
        <f>'Core Loads'!AF233</f>
        <v>655897.86820189503</v>
      </c>
      <c r="AG233"/>
      <c r="AH233" s="17" t="s">
        <v>279</v>
      </c>
    </row>
    <row r="234" spans="2:34" hidden="1" outlineLevel="1" x14ac:dyDescent="0.25">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row>
    <row r="235" spans="2:34" hidden="1" outlineLevel="1" x14ac:dyDescent="0.25">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row>
    <row r="236" spans="2:34" ht="17.25" hidden="1" outlineLevel="1" thickBot="1" x14ac:dyDescent="0.3">
      <c r="B236" s="26" t="s">
        <v>283</v>
      </c>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row>
    <row r="237" spans="2:34" ht="16.5" hidden="1" outlineLevel="1" thickTop="1" thickBot="1" x14ac:dyDescent="0.3">
      <c r="B237" s="28" t="s">
        <v>278</v>
      </c>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0"/>
      <c r="AH237" s="20" t="s">
        <v>15</v>
      </c>
    </row>
    <row r="238" spans="2:34" customFormat="1" hidden="1" outlineLevel="1" x14ac:dyDescent="0.25">
      <c r="B238" s="30"/>
      <c r="C238" s="17">
        <v>2025</v>
      </c>
      <c r="D238" s="44">
        <v>2026</v>
      </c>
      <c r="E238" s="44">
        <v>2027</v>
      </c>
      <c r="F238" s="44">
        <v>2028</v>
      </c>
      <c r="G238" s="44">
        <v>2029</v>
      </c>
      <c r="H238" s="44">
        <v>2030</v>
      </c>
      <c r="I238" s="44">
        <v>2031</v>
      </c>
      <c r="J238" s="44">
        <v>2032</v>
      </c>
      <c r="K238" s="44">
        <v>2033</v>
      </c>
      <c r="L238" s="44">
        <v>2034</v>
      </c>
      <c r="M238" s="44">
        <v>2035</v>
      </c>
      <c r="N238" s="44">
        <v>2036</v>
      </c>
      <c r="O238" s="44">
        <v>2037</v>
      </c>
      <c r="P238" s="44">
        <v>2038</v>
      </c>
      <c r="Q238" s="44">
        <v>2039</v>
      </c>
      <c r="R238" s="44">
        <v>2040</v>
      </c>
      <c r="S238" s="44">
        <v>2041</v>
      </c>
      <c r="T238" s="44">
        <v>2042</v>
      </c>
      <c r="U238" s="44">
        <v>2043</v>
      </c>
      <c r="V238" s="44">
        <v>2044</v>
      </c>
      <c r="W238" s="44">
        <v>2045</v>
      </c>
      <c r="X238" s="44">
        <v>2046</v>
      </c>
      <c r="Y238" s="44">
        <v>2047</v>
      </c>
      <c r="Z238" s="44">
        <v>2048</v>
      </c>
      <c r="AA238" s="44">
        <v>2049</v>
      </c>
      <c r="AB238" s="44">
        <v>2050</v>
      </c>
      <c r="AC238" s="44">
        <v>2051</v>
      </c>
      <c r="AD238" s="44">
        <v>2052</v>
      </c>
      <c r="AE238" s="44">
        <v>2053</v>
      </c>
      <c r="AF238" s="44">
        <v>2054</v>
      </c>
      <c r="AH238" s="1"/>
    </row>
    <row r="239" spans="2:34" hidden="1" outlineLevel="1" x14ac:dyDescent="0.25">
      <c r="B239" s="31" t="s">
        <v>144</v>
      </c>
      <c r="C239" s="79">
        <f>'Core Loads'!C239</f>
        <v>8678140.1263548788</v>
      </c>
      <c r="D239" s="79">
        <f>'Core Loads'!D239</f>
        <v>8678140.1263548788</v>
      </c>
      <c r="E239" s="79">
        <f>'Core Loads'!E239</f>
        <v>0</v>
      </c>
      <c r="F239" s="79">
        <f>'Core Loads'!F239</f>
        <v>0</v>
      </c>
      <c r="G239" s="79">
        <f>'Core Loads'!G239</f>
        <v>0</v>
      </c>
      <c r="H239" s="79">
        <f>'Core Loads'!H239</f>
        <v>0</v>
      </c>
      <c r="I239" s="79">
        <f>'Core Loads'!I239</f>
        <v>0</v>
      </c>
      <c r="J239" s="79">
        <f>'Core Loads'!J239</f>
        <v>0</v>
      </c>
      <c r="K239" s="79">
        <f>'Core Loads'!K239</f>
        <v>0</v>
      </c>
      <c r="L239" s="79">
        <f>'Core Loads'!L239</f>
        <v>0</v>
      </c>
      <c r="M239" s="79">
        <f>'Core Loads'!M239</f>
        <v>0</v>
      </c>
      <c r="N239" s="79">
        <f>'Core Loads'!N239</f>
        <v>0</v>
      </c>
      <c r="O239" s="79">
        <f>'Core Loads'!O239</f>
        <v>0</v>
      </c>
      <c r="P239" s="79">
        <f>'Core Loads'!P239</f>
        <v>0</v>
      </c>
      <c r="Q239" s="79">
        <f>'Core Loads'!Q239</f>
        <v>0</v>
      </c>
      <c r="R239" s="79">
        <f>'Core Loads'!R239</f>
        <v>0</v>
      </c>
      <c r="S239" s="79">
        <f>'Core Loads'!S239</f>
        <v>0</v>
      </c>
      <c r="T239" s="79">
        <f>'Core Loads'!T239</f>
        <v>0</v>
      </c>
      <c r="U239" s="79">
        <f>'Core Loads'!U239</f>
        <v>0</v>
      </c>
      <c r="V239" s="79">
        <f>'Core Loads'!V239</f>
        <v>0</v>
      </c>
      <c r="W239" s="79">
        <f>'Core Loads'!W239</f>
        <v>0</v>
      </c>
      <c r="X239" s="79">
        <f>'Core Loads'!X239</f>
        <v>0</v>
      </c>
      <c r="Y239" s="79">
        <f>'Core Loads'!Y239</f>
        <v>0</v>
      </c>
      <c r="Z239" s="79">
        <f>'Core Loads'!Z239</f>
        <v>0</v>
      </c>
      <c r="AA239" s="79">
        <f>'Core Loads'!AA239</f>
        <v>0</v>
      </c>
      <c r="AB239" s="79">
        <f>'Core Loads'!AB239</f>
        <v>0</v>
      </c>
      <c r="AC239" s="79">
        <f>'Core Loads'!AC239</f>
        <v>0</v>
      </c>
      <c r="AD239" s="79">
        <f>'Core Loads'!AD239</f>
        <v>0</v>
      </c>
      <c r="AE239" s="79">
        <f>'Core Loads'!AE239</f>
        <v>0</v>
      </c>
      <c r="AF239" s="79">
        <f>'Core Loads'!AF239</f>
        <v>0</v>
      </c>
      <c r="AG239"/>
      <c r="AH239" s="17" t="s">
        <v>279</v>
      </c>
    </row>
    <row r="240" spans="2:34" hidden="1" outlineLevel="1" x14ac:dyDescent="0.25">
      <c r="B240" s="31" t="s">
        <v>145</v>
      </c>
      <c r="C240" s="79">
        <f>'Core Loads'!C240</f>
        <v>3544817.3883669907</v>
      </c>
      <c r="D240" s="79">
        <f>'Core Loads'!D240</f>
        <v>7148037.0083669899</v>
      </c>
      <c r="E240" s="79">
        <f>'Core Loads'!E240</f>
        <v>0</v>
      </c>
      <c r="F240" s="79">
        <f>'Core Loads'!F240</f>
        <v>0</v>
      </c>
      <c r="G240" s="79">
        <f>'Core Loads'!G240</f>
        <v>0</v>
      </c>
      <c r="H240" s="79">
        <f>'Core Loads'!H240</f>
        <v>0</v>
      </c>
      <c r="I240" s="79">
        <f>'Core Loads'!I240</f>
        <v>0</v>
      </c>
      <c r="J240" s="79">
        <f>'Core Loads'!J240</f>
        <v>0</v>
      </c>
      <c r="K240" s="79">
        <f>'Core Loads'!K240</f>
        <v>0</v>
      </c>
      <c r="L240" s="79">
        <f>'Core Loads'!L240</f>
        <v>0</v>
      </c>
      <c r="M240" s="79">
        <f>'Core Loads'!M240</f>
        <v>0</v>
      </c>
      <c r="N240" s="79">
        <f>'Core Loads'!N240</f>
        <v>0</v>
      </c>
      <c r="O240" s="79">
        <f>'Core Loads'!O240</f>
        <v>0</v>
      </c>
      <c r="P240" s="79">
        <f>'Core Loads'!P240</f>
        <v>0</v>
      </c>
      <c r="Q240" s="79">
        <f>'Core Loads'!Q240</f>
        <v>0</v>
      </c>
      <c r="R240" s="79">
        <f>'Core Loads'!R240</f>
        <v>0</v>
      </c>
      <c r="S240" s="79">
        <f>'Core Loads'!S240</f>
        <v>0</v>
      </c>
      <c r="T240" s="79">
        <f>'Core Loads'!T240</f>
        <v>0</v>
      </c>
      <c r="U240" s="79">
        <f>'Core Loads'!U240</f>
        <v>0</v>
      </c>
      <c r="V240" s="79">
        <f>'Core Loads'!V240</f>
        <v>0</v>
      </c>
      <c r="W240" s="79">
        <f>'Core Loads'!W240</f>
        <v>0</v>
      </c>
      <c r="X240" s="79">
        <f>'Core Loads'!X240</f>
        <v>0</v>
      </c>
      <c r="Y240" s="79">
        <f>'Core Loads'!Y240</f>
        <v>0</v>
      </c>
      <c r="Z240" s="79">
        <f>'Core Loads'!Z240</f>
        <v>0</v>
      </c>
      <c r="AA240" s="79">
        <f>'Core Loads'!AA240</f>
        <v>0</v>
      </c>
      <c r="AB240" s="79">
        <f>'Core Loads'!AB240</f>
        <v>0</v>
      </c>
      <c r="AC240" s="79">
        <f>'Core Loads'!AC240</f>
        <v>0</v>
      </c>
      <c r="AD240" s="79">
        <f>'Core Loads'!AD240</f>
        <v>0</v>
      </c>
      <c r="AE240" s="79">
        <f>'Core Loads'!AE240</f>
        <v>0</v>
      </c>
      <c r="AF240" s="79">
        <f>'Core Loads'!AF240</f>
        <v>0</v>
      </c>
      <c r="AG240"/>
      <c r="AH240" s="17" t="s">
        <v>279</v>
      </c>
    </row>
    <row r="241" spans="2:34" hidden="1" outlineLevel="1" x14ac:dyDescent="0.25">
      <c r="B241" s="31" t="s">
        <v>244</v>
      </c>
      <c r="C241" s="79">
        <f>'Core Loads'!C241</f>
        <v>10424562.72955735</v>
      </c>
      <c r="D241" s="79">
        <f>'Core Loads'!D241</f>
        <v>10424562.72955735</v>
      </c>
      <c r="E241" s="79">
        <f>'Core Loads'!E241</f>
        <v>0</v>
      </c>
      <c r="F241" s="79">
        <f>'Core Loads'!F241</f>
        <v>0</v>
      </c>
      <c r="G241" s="79">
        <f>'Core Loads'!G241</f>
        <v>0</v>
      </c>
      <c r="H241" s="79">
        <f>'Core Loads'!H241</f>
        <v>0</v>
      </c>
      <c r="I241" s="79">
        <f>'Core Loads'!I241</f>
        <v>0</v>
      </c>
      <c r="J241" s="79">
        <f>'Core Loads'!J241</f>
        <v>0</v>
      </c>
      <c r="K241" s="79">
        <f>'Core Loads'!K241</f>
        <v>0</v>
      </c>
      <c r="L241" s="79">
        <f>'Core Loads'!L241</f>
        <v>0</v>
      </c>
      <c r="M241" s="79">
        <f>'Core Loads'!M241</f>
        <v>0</v>
      </c>
      <c r="N241" s="79">
        <f>'Core Loads'!N241</f>
        <v>0</v>
      </c>
      <c r="O241" s="79">
        <f>'Core Loads'!O241</f>
        <v>0</v>
      </c>
      <c r="P241" s="79">
        <f>'Core Loads'!P241</f>
        <v>0</v>
      </c>
      <c r="Q241" s="79">
        <f>'Core Loads'!Q241</f>
        <v>0</v>
      </c>
      <c r="R241" s="79">
        <f>'Core Loads'!R241</f>
        <v>0</v>
      </c>
      <c r="S241" s="79">
        <f>'Core Loads'!S241</f>
        <v>0</v>
      </c>
      <c r="T241" s="79">
        <f>'Core Loads'!T241</f>
        <v>0</v>
      </c>
      <c r="U241" s="79">
        <f>'Core Loads'!U241</f>
        <v>0</v>
      </c>
      <c r="V241" s="79">
        <f>'Core Loads'!V241</f>
        <v>0</v>
      </c>
      <c r="W241" s="79">
        <f>'Core Loads'!W241</f>
        <v>0</v>
      </c>
      <c r="X241" s="79">
        <f>'Core Loads'!X241</f>
        <v>0</v>
      </c>
      <c r="Y241" s="79">
        <f>'Core Loads'!Y241</f>
        <v>0</v>
      </c>
      <c r="Z241" s="79">
        <f>'Core Loads'!Z241</f>
        <v>0</v>
      </c>
      <c r="AA241" s="79">
        <f>'Core Loads'!AA241</f>
        <v>0</v>
      </c>
      <c r="AB241" s="79">
        <f>'Core Loads'!AB241</f>
        <v>0</v>
      </c>
      <c r="AC241" s="79">
        <f>'Core Loads'!AC241</f>
        <v>0</v>
      </c>
      <c r="AD241" s="79">
        <f>'Core Loads'!AD241</f>
        <v>0</v>
      </c>
      <c r="AE241" s="79">
        <f>'Core Loads'!AE241</f>
        <v>0</v>
      </c>
      <c r="AF241" s="79">
        <f>'Core Loads'!AF241</f>
        <v>0</v>
      </c>
      <c r="AG241"/>
      <c r="AH241" s="17" t="s">
        <v>279</v>
      </c>
    </row>
    <row r="242" spans="2:34" hidden="1" outlineLevel="1" x14ac:dyDescent="0.25">
      <c r="B242" s="31" t="s">
        <v>147</v>
      </c>
      <c r="C242" s="79">
        <f>'Core Loads'!C242</f>
        <v>0</v>
      </c>
      <c r="D242" s="79">
        <f>'Core Loads'!D242</f>
        <v>0</v>
      </c>
      <c r="E242" s="79">
        <f>'Core Loads'!E242</f>
        <v>0</v>
      </c>
      <c r="F242" s="79">
        <f>'Core Loads'!F242</f>
        <v>0</v>
      </c>
      <c r="G242" s="79">
        <f>'Core Loads'!G242</f>
        <v>0</v>
      </c>
      <c r="H242" s="79">
        <f>'Core Loads'!H242</f>
        <v>0</v>
      </c>
      <c r="I242" s="79">
        <f>'Core Loads'!I242</f>
        <v>0</v>
      </c>
      <c r="J242" s="79">
        <f>'Core Loads'!J242</f>
        <v>0</v>
      </c>
      <c r="K242" s="79">
        <f>'Core Loads'!K242</f>
        <v>0</v>
      </c>
      <c r="L242" s="79">
        <f>'Core Loads'!L242</f>
        <v>0</v>
      </c>
      <c r="M242" s="79">
        <f>'Core Loads'!M242</f>
        <v>0</v>
      </c>
      <c r="N242" s="79">
        <f>'Core Loads'!N242</f>
        <v>0</v>
      </c>
      <c r="O242" s="79">
        <f>'Core Loads'!O242</f>
        <v>0</v>
      </c>
      <c r="P242" s="79">
        <f>'Core Loads'!P242</f>
        <v>0</v>
      </c>
      <c r="Q242" s="79">
        <f>'Core Loads'!Q242</f>
        <v>0</v>
      </c>
      <c r="R242" s="79">
        <f>'Core Loads'!R242</f>
        <v>0</v>
      </c>
      <c r="S242" s="79">
        <f>'Core Loads'!S242</f>
        <v>0</v>
      </c>
      <c r="T242" s="79">
        <f>'Core Loads'!T242</f>
        <v>0</v>
      </c>
      <c r="U242" s="79">
        <f>'Core Loads'!U242</f>
        <v>0</v>
      </c>
      <c r="V242" s="79">
        <f>'Core Loads'!V242</f>
        <v>0</v>
      </c>
      <c r="W242" s="79">
        <f>'Core Loads'!W242</f>
        <v>0</v>
      </c>
      <c r="X242" s="79">
        <f>'Core Loads'!X242</f>
        <v>0</v>
      </c>
      <c r="Y242" s="79">
        <f>'Core Loads'!Y242</f>
        <v>0</v>
      </c>
      <c r="Z242" s="79">
        <f>'Core Loads'!Z242</f>
        <v>0</v>
      </c>
      <c r="AA242" s="79">
        <f>'Core Loads'!AA242</f>
        <v>0</v>
      </c>
      <c r="AB242" s="79">
        <f>'Core Loads'!AB242</f>
        <v>0</v>
      </c>
      <c r="AC242" s="79">
        <f>'Core Loads'!AC242</f>
        <v>0</v>
      </c>
      <c r="AD242" s="79">
        <f>'Core Loads'!AD242</f>
        <v>0</v>
      </c>
      <c r="AE242" s="79">
        <f>'Core Loads'!AE242</f>
        <v>0</v>
      </c>
      <c r="AF242" s="79">
        <f>'Core Loads'!AF242</f>
        <v>0</v>
      </c>
      <c r="AG242"/>
      <c r="AH242" s="17" t="s">
        <v>279</v>
      </c>
    </row>
    <row r="243" spans="2:34" hidden="1" outlineLevel="1" x14ac:dyDescent="0.25">
      <c r="B243" s="31" t="s">
        <v>245</v>
      </c>
      <c r="C243" s="79">
        <f>'Core Loads'!C243</f>
        <v>1207501.7119999998</v>
      </c>
      <c r="D243" s="79">
        <f>'Core Loads'!D243</f>
        <v>1207501.7119999998</v>
      </c>
      <c r="E243" s="79">
        <f>'Core Loads'!E243</f>
        <v>0</v>
      </c>
      <c r="F243" s="79">
        <f>'Core Loads'!F243</f>
        <v>0</v>
      </c>
      <c r="G243" s="79">
        <f>'Core Loads'!G243</f>
        <v>0</v>
      </c>
      <c r="H243" s="79">
        <f>'Core Loads'!H243</f>
        <v>0</v>
      </c>
      <c r="I243" s="79">
        <f>'Core Loads'!I243</f>
        <v>0</v>
      </c>
      <c r="J243" s="79">
        <f>'Core Loads'!J243</f>
        <v>0</v>
      </c>
      <c r="K243" s="79">
        <f>'Core Loads'!K243</f>
        <v>0</v>
      </c>
      <c r="L243" s="79">
        <f>'Core Loads'!L243</f>
        <v>0</v>
      </c>
      <c r="M243" s="79">
        <f>'Core Loads'!M243</f>
        <v>0</v>
      </c>
      <c r="N243" s="79">
        <f>'Core Loads'!N243</f>
        <v>0</v>
      </c>
      <c r="O243" s="79">
        <f>'Core Loads'!O243</f>
        <v>0</v>
      </c>
      <c r="P243" s="79">
        <f>'Core Loads'!P243</f>
        <v>0</v>
      </c>
      <c r="Q243" s="79">
        <f>'Core Loads'!Q243</f>
        <v>0</v>
      </c>
      <c r="R243" s="79">
        <f>'Core Loads'!R243</f>
        <v>0</v>
      </c>
      <c r="S243" s="79">
        <f>'Core Loads'!S243</f>
        <v>0</v>
      </c>
      <c r="T243" s="79">
        <f>'Core Loads'!T243</f>
        <v>0</v>
      </c>
      <c r="U243" s="79">
        <f>'Core Loads'!U243</f>
        <v>0</v>
      </c>
      <c r="V243" s="79">
        <f>'Core Loads'!V243</f>
        <v>0</v>
      </c>
      <c r="W243" s="79">
        <f>'Core Loads'!W243</f>
        <v>0</v>
      </c>
      <c r="X243" s="79">
        <f>'Core Loads'!X243</f>
        <v>0</v>
      </c>
      <c r="Y243" s="79">
        <f>'Core Loads'!Y243</f>
        <v>0</v>
      </c>
      <c r="Z243" s="79">
        <f>'Core Loads'!Z243</f>
        <v>0</v>
      </c>
      <c r="AA243" s="79">
        <f>'Core Loads'!AA243</f>
        <v>0</v>
      </c>
      <c r="AB243" s="79">
        <f>'Core Loads'!AB243</f>
        <v>0</v>
      </c>
      <c r="AC243" s="79">
        <f>'Core Loads'!AC243</f>
        <v>0</v>
      </c>
      <c r="AD243" s="79">
        <f>'Core Loads'!AD243</f>
        <v>0</v>
      </c>
      <c r="AE243" s="79">
        <f>'Core Loads'!AE243</f>
        <v>0</v>
      </c>
      <c r="AF243" s="79">
        <f>'Core Loads'!AF243</f>
        <v>0</v>
      </c>
      <c r="AG243"/>
      <c r="AH243" s="17" t="s">
        <v>279</v>
      </c>
    </row>
    <row r="244" spans="2:34" hidden="1" outlineLevel="1" x14ac:dyDescent="0.25">
      <c r="B244" s="31" t="s">
        <v>149</v>
      </c>
      <c r="C244" s="79">
        <f>'Core Loads'!C244</f>
        <v>23855021.956279222</v>
      </c>
      <c r="D244" s="79">
        <f>'Core Loads'!D244</f>
        <v>27458241.576279219</v>
      </c>
      <c r="E244" s="79">
        <f>'Core Loads'!E244</f>
        <v>0</v>
      </c>
      <c r="F244" s="79">
        <f>'Core Loads'!F244</f>
        <v>0</v>
      </c>
      <c r="G244" s="79">
        <f>'Core Loads'!G244</f>
        <v>0</v>
      </c>
      <c r="H244" s="79">
        <f>'Core Loads'!H244</f>
        <v>0</v>
      </c>
      <c r="I244" s="79">
        <f>'Core Loads'!I244</f>
        <v>0</v>
      </c>
      <c r="J244" s="79">
        <f>'Core Loads'!J244</f>
        <v>0</v>
      </c>
      <c r="K244" s="79">
        <f>'Core Loads'!K244</f>
        <v>0</v>
      </c>
      <c r="L244" s="79">
        <f>'Core Loads'!L244</f>
        <v>0</v>
      </c>
      <c r="M244" s="79">
        <f>'Core Loads'!M244</f>
        <v>0</v>
      </c>
      <c r="N244" s="79">
        <f>'Core Loads'!N244</f>
        <v>0</v>
      </c>
      <c r="O244" s="79">
        <f>'Core Loads'!O244</f>
        <v>0</v>
      </c>
      <c r="P244" s="79">
        <f>'Core Loads'!P244</f>
        <v>0</v>
      </c>
      <c r="Q244" s="79">
        <f>'Core Loads'!Q244</f>
        <v>0</v>
      </c>
      <c r="R244" s="79">
        <f>'Core Loads'!R244</f>
        <v>0</v>
      </c>
      <c r="S244" s="79">
        <f>'Core Loads'!S244</f>
        <v>0</v>
      </c>
      <c r="T244" s="79">
        <f>'Core Loads'!T244</f>
        <v>0</v>
      </c>
      <c r="U244" s="79">
        <f>'Core Loads'!U244</f>
        <v>0</v>
      </c>
      <c r="V244" s="79">
        <f>'Core Loads'!V244</f>
        <v>0</v>
      </c>
      <c r="W244" s="79">
        <f>'Core Loads'!W244</f>
        <v>0</v>
      </c>
      <c r="X244" s="79">
        <f>'Core Loads'!X244</f>
        <v>0</v>
      </c>
      <c r="Y244" s="79">
        <f>'Core Loads'!Y244</f>
        <v>0</v>
      </c>
      <c r="Z244" s="79">
        <f>'Core Loads'!Z244</f>
        <v>0</v>
      </c>
      <c r="AA244" s="79">
        <f>'Core Loads'!AA244</f>
        <v>0</v>
      </c>
      <c r="AB244" s="79">
        <f>'Core Loads'!AB244</f>
        <v>0</v>
      </c>
      <c r="AC244" s="79">
        <f>'Core Loads'!AC244</f>
        <v>0</v>
      </c>
      <c r="AD244" s="79">
        <f>'Core Loads'!AD244</f>
        <v>0</v>
      </c>
      <c r="AE244" s="79">
        <f>'Core Loads'!AE244</f>
        <v>0</v>
      </c>
      <c r="AF244" s="79">
        <f>'Core Loads'!AF244</f>
        <v>0</v>
      </c>
      <c r="AG244"/>
      <c r="AH244" s="17" t="s">
        <v>279</v>
      </c>
    </row>
    <row r="245" spans="2:34" hidden="1" outlineLevel="1" x14ac:dyDescent="0.25">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row>
    <row r="246" spans="2:34" ht="15.75" hidden="1" outlineLevel="1" thickBot="1" x14ac:dyDescent="0.3">
      <c r="B246" s="28" t="s">
        <v>280</v>
      </c>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0"/>
      <c r="AH246" s="20" t="s">
        <v>15</v>
      </c>
    </row>
    <row r="247" spans="2:34" customFormat="1" hidden="1" outlineLevel="1" x14ac:dyDescent="0.25">
      <c r="B247" s="30"/>
      <c r="C247" s="17">
        <v>2025</v>
      </c>
      <c r="D247" s="44">
        <v>2026</v>
      </c>
      <c r="E247" s="44">
        <v>2027</v>
      </c>
      <c r="F247" s="44">
        <v>2028</v>
      </c>
      <c r="G247" s="44">
        <v>2029</v>
      </c>
      <c r="H247" s="44">
        <v>2030</v>
      </c>
      <c r="I247" s="44">
        <v>2031</v>
      </c>
      <c r="J247" s="44">
        <v>2032</v>
      </c>
      <c r="K247" s="44">
        <v>2033</v>
      </c>
      <c r="L247" s="44">
        <v>2034</v>
      </c>
      <c r="M247" s="44">
        <v>2035</v>
      </c>
      <c r="N247" s="44">
        <v>2036</v>
      </c>
      <c r="O247" s="44">
        <v>2037</v>
      </c>
      <c r="P247" s="44">
        <v>2038</v>
      </c>
      <c r="Q247" s="44">
        <v>2039</v>
      </c>
      <c r="R247" s="44">
        <v>2040</v>
      </c>
      <c r="S247" s="44">
        <v>2041</v>
      </c>
      <c r="T247" s="44">
        <v>2042</v>
      </c>
      <c r="U247" s="44">
        <v>2043</v>
      </c>
      <c r="V247" s="44">
        <v>2044</v>
      </c>
      <c r="W247" s="44">
        <v>2045</v>
      </c>
      <c r="X247" s="44">
        <v>2046</v>
      </c>
      <c r="Y247" s="44">
        <v>2047</v>
      </c>
      <c r="Z247" s="44">
        <v>2048</v>
      </c>
      <c r="AA247" s="44">
        <v>2049</v>
      </c>
      <c r="AB247" s="44">
        <v>2050</v>
      </c>
      <c r="AC247" s="44">
        <v>2051</v>
      </c>
      <c r="AD247" s="44">
        <v>2052</v>
      </c>
      <c r="AE247" s="44">
        <v>2053</v>
      </c>
      <c r="AF247" s="44">
        <v>2054</v>
      </c>
      <c r="AH247" s="1"/>
    </row>
    <row r="248" spans="2:34" hidden="1" outlineLevel="1" x14ac:dyDescent="0.25">
      <c r="B248" s="31" t="s">
        <v>144</v>
      </c>
      <c r="C248" s="79">
        <f>'Core Loads'!C248</f>
        <v>0</v>
      </c>
      <c r="D248" s="79">
        <f>'Core Loads'!D248</f>
        <v>0</v>
      </c>
      <c r="E248" s="79">
        <f>'Core Loads'!E248</f>
        <v>8678140.1263548788</v>
      </c>
      <c r="F248" s="79">
        <f>'Core Loads'!F248</f>
        <v>8237611.3694371348</v>
      </c>
      <c r="G248" s="79">
        <f>'Core Loads'!G248</f>
        <v>8237611.3694371348</v>
      </c>
      <c r="H248" s="79">
        <f>'Core Loads'!H248</f>
        <v>9012734.2894371357</v>
      </c>
      <c r="I248" s="79">
        <f>'Core Loads'!I248</f>
        <v>9012734.2894371357</v>
      </c>
      <c r="J248" s="79">
        <f>'Core Loads'!J248</f>
        <v>8552617.6962371375</v>
      </c>
      <c r="K248" s="79">
        <f>'Core Loads'!K248</f>
        <v>8552617.6962371375</v>
      </c>
      <c r="L248" s="79">
        <f>'Core Loads'!L248</f>
        <v>9180639.3762371354</v>
      </c>
      <c r="M248" s="79">
        <f>'Core Loads'!M248</f>
        <v>9180639.3762371354</v>
      </c>
      <c r="N248" s="79">
        <f>'Core Loads'!N248</f>
        <v>9180639.3762371354</v>
      </c>
      <c r="O248" s="79">
        <f>'Core Loads'!O248</f>
        <v>9180639.3762371354</v>
      </c>
      <c r="P248" s="79">
        <f>'Core Loads'!P248</f>
        <v>9180639.3762371354</v>
      </c>
      <c r="Q248" s="79">
        <f>'Core Loads'!Q248</f>
        <v>9180639.3762371354</v>
      </c>
      <c r="R248" s="79">
        <f>'Core Loads'!R248</f>
        <v>9180639.3762371354</v>
      </c>
      <c r="S248" s="79">
        <f>'Core Loads'!S248</f>
        <v>9180639.3762371354</v>
      </c>
      <c r="T248" s="79">
        <f>'Core Loads'!T248</f>
        <v>9180639.3762371354</v>
      </c>
      <c r="U248" s="79">
        <f>'Core Loads'!U248</f>
        <v>9180639.3762371354</v>
      </c>
      <c r="V248" s="79">
        <f>'Core Loads'!V248</f>
        <v>9180639.3762371354</v>
      </c>
      <c r="W248" s="79">
        <f>'Core Loads'!W248</f>
        <v>9180639.3762371354</v>
      </c>
      <c r="X248" s="79">
        <f>'Core Loads'!X248</f>
        <v>9180639.3762371354</v>
      </c>
      <c r="Y248" s="79">
        <f>'Core Loads'!Y248</f>
        <v>9180639.3762371354</v>
      </c>
      <c r="Z248" s="79">
        <f>'Core Loads'!Z248</f>
        <v>9180639.3762371354</v>
      </c>
      <c r="AA248" s="79">
        <f>'Core Loads'!AA248</f>
        <v>9180639.3762371354</v>
      </c>
      <c r="AB248" s="79">
        <f>'Core Loads'!AB248</f>
        <v>9180639.3762371354</v>
      </c>
      <c r="AC248" s="79">
        <f>'Core Loads'!AC248</f>
        <v>9180639.3762371354</v>
      </c>
      <c r="AD248" s="79">
        <f>'Core Loads'!AD248</f>
        <v>9180639.3762371354</v>
      </c>
      <c r="AE248" s="79">
        <f>'Core Loads'!AE248</f>
        <v>9180639.3762371354</v>
      </c>
      <c r="AF248" s="79">
        <f>'Core Loads'!AF248</f>
        <v>9180639.3762371354</v>
      </c>
      <c r="AG248"/>
      <c r="AH248" s="17" t="s">
        <v>279</v>
      </c>
    </row>
    <row r="249" spans="2:34" hidden="1" outlineLevel="1" x14ac:dyDescent="0.25">
      <c r="B249" s="31" t="s">
        <v>145</v>
      </c>
      <c r="C249" s="79">
        <f>'Core Loads'!C249</f>
        <v>0</v>
      </c>
      <c r="D249" s="79">
        <f>'Core Loads'!D249</f>
        <v>0</v>
      </c>
      <c r="E249" s="79">
        <f>'Core Loads'!E249</f>
        <v>7148037.0083669899</v>
      </c>
      <c r="F249" s="79">
        <f>'Core Loads'!F249</f>
        <v>7148037.0083669899</v>
      </c>
      <c r="G249" s="79">
        <f>'Core Loads'!G249</f>
        <v>7148037.0083669899</v>
      </c>
      <c r="H249" s="79">
        <f>'Core Loads'!H249</f>
        <v>7234294.6083669895</v>
      </c>
      <c r="I249" s="79">
        <f>'Core Loads'!I249</f>
        <v>7234294.6083669895</v>
      </c>
      <c r="J249" s="79">
        <f>'Core Loads'!J249</f>
        <v>7234294.6083669895</v>
      </c>
      <c r="K249" s="79">
        <f>'Core Loads'!K249</f>
        <v>7234294.6083669895</v>
      </c>
      <c r="L249" s="79">
        <f>'Core Loads'!L249</f>
        <v>7082106.2166567408</v>
      </c>
      <c r="M249" s="79">
        <f>'Core Loads'!M249</f>
        <v>7082106.2166567408</v>
      </c>
      <c r="N249" s="79">
        <f>'Core Loads'!N249</f>
        <v>7082106.2166567408</v>
      </c>
      <c r="O249" s="79">
        <f>'Core Loads'!O249</f>
        <v>7082106.2166567408</v>
      </c>
      <c r="P249" s="79">
        <f>'Core Loads'!P249</f>
        <v>7070995.9866567403</v>
      </c>
      <c r="Q249" s="79">
        <f>'Core Loads'!Q249</f>
        <v>7070995.9866567403</v>
      </c>
      <c r="R249" s="79">
        <f>'Core Loads'!R249</f>
        <v>7414629.3906567395</v>
      </c>
      <c r="S249" s="79">
        <f>'Core Loads'!S249</f>
        <v>7414629.3906567395</v>
      </c>
      <c r="T249" s="79">
        <f>'Core Loads'!T249</f>
        <v>7414629.3906567395</v>
      </c>
      <c r="U249" s="79">
        <f>'Core Loads'!U249</f>
        <v>7414629.3906567395</v>
      </c>
      <c r="V249" s="79">
        <f>'Core Loads'!V249</f>
        <v>7414629.3906567395</v>
      </c>
      <c r="W249" s="79">
        <f>'Core Loads'!W249</f>
        <v>7414629.3906567395</v>
      </c>
      <c r="X249" s="79">
        <f>'Core Loads'!X249</f>
        <v>7414629.3906567395</v>
      </c>
      <c r="Y249" s="79">
        <f>'Core Loads'!Y249</f>
        <v>7414629.3906567395</v>
      </c>
      <c r="Z249" s="79">
        <f>'Core Loads'!Z249</f>
        <v>7414629.3906567395</v>
      </c>
      <c r="AA249" s="79">
        <f>'Core Loads'!AA249</f>
        <v>7414629.3906567395</v>
      </c>
      <c r="AB249" s="79">
        <f>'Core Loads'!AB249</f>
        <v>7275034.2137464946</v>
      </c>
      <c r="AC249" s="79">
        <f>'Core Loads'!AC249</f>
        <v>7275034.2137464946</v>
      </c>
      <c r="AD249" s="79">
        <f>'Core Loads'!AD249</f>
        <v>7275034.2137464946</v>
      </c>
      <c r="AE249" s="79">
        <f>'Core Loads'!AE249</f>
        <v>7275034.2137464946</v>
      </c>
      <c r="AF249" s="79">
        <f>'Core Loads'!AF249</f>
        <v>7275034.2137464946</v>
      </c>
      <c r="AG249"/>
      <c r="AH249" s="17" t="s">
        <v>279</v>
      </c>
    </row>
    <row r="250" spans="2:34" hidden="1" outlineLevel="1" x14ac:dyDescent="0.25">
      <c r="B250" s="31" t="s">
        <v>244</v>
      </c>
      <c r="C250" s="79">
        <f>'Core Loads'!C250</f>
        <v>0</v>
      </c>
      <c r="D250" s="79">
        <f>'Core Loads'!D250</f>
        <v>0</v>
      </c>
      <c r="E250" s="79">
        <f>'Core Loads'!E250</f>
        <v>10424562.72955735</v>
      </c>
      <c r="F250" s="79">
        <f>'Core Loads'!F250</f>
        <v>14928448.609557347</v>
      </c>
      <c r="G250" s="79">
        <f>'Core Loads'!G250</f>
        <v>14928448.609557347</v>
      </c>
      <c r="H250" s="79">
        <f>'Core Loads'!H250</f>
        <v>16003705.267622186</v>
      </c>
      <c r="I250" s="79">
        <f>'Core Loads'!I250</f>
        <v>16003705.267622186</v>
      </c>
      <c r="J250" s="79">
        <f>'Core Loads'!J250</f>
        <v>15247954.784394085</v>
      </c>
      <c r="K250" s="79">
        <f>'Core Loads'!K250</f>
        <v>15247954.784394085</v>
      </c>
      <c r="L250" s="79">
        <f>'Core Loads'!L250</f>
        <v>15247954.784394085</v>
      </c>
      <c r="M250" s="79">
        <f>'Core Loads'!M250</f>
        <v>15247954.784394085</v>
      </c>
      <c r="N250" s="79">
        <f>'Core Loads'!N250</f>
        <v>15033617.237543011</v>
      </c>
      <c r="O250" s="79">
        <f>'Core Loads'!O250</f>
        <v>15033617.237543011</v>
      </c>
      <c r="P250" s="79">
        <f>'Core Loads'!P250</f>
        <v>14997195.012872687</v>
      </c>
      <c r="Q250" s="79">
        <f>'Core Loads'!Q250</f>
        <v>14997195.012872687</v>
      </c>
      <c r="R250" s="79">
        <f>'Core Loads'!R250</f>
        <v>15766985.012872687</v>
      </c>
      <c r="S250" s="79">
        <f>'Core Loads'!S250</f>
        <v>15766985.012872687</v>
      </c>
      <c r="T250" s="79">
        <f>'Core Loads'!T250</f>
        <v>15766985.012872687</v>
      </c>
      <c r="U250" s="79">
        <f>'Core Loads'!U250</f>
        <v>15766985.012872687</v>
      </c>
      <c r="V250" s="79">
        <f>'Core Loads'!V250</f>
        <v>15661982.603749251</v>
      </c>
      <c r="W250" s="79">
        <f>'Core Loads'!W250</f>
        <v>15661982.603749251</v>
      </c>
      <c r="X250" s="79">
        <f>'Core Loads'!X250</f>
        <v>15661982.603749251</v>
      </c>
      <c r="Y250" s="79">
        <f>'Core Loads'!Y250</f>
        <v>15661982.603749251</v>
      </c>
      <c r="Z250" s="79">
        <f>'Core Loads'!Z250</f>
        <v>15661982.603749251</v>
      </c>
      <c r="AA250" s="79">
        <f>'Core Loads'!AA250</f>
        <v>15661982.603749251</v>
      </c>
      <c r="AB250" s="79">
        <f>'Core Loads'!AB250</f>
        <v>15661982.603749251</v>
      </c>
      <c r="AC250" s="79">
        <f>'Core Loads'!AC250</f>
        <v>15661982.603749251</v>
      </c>
      <c r="AD250" s="79">
        <f>'Core Loads'!AD250</f>
        <v>15661982.603749251</v>
      </c>
      <c r="AE250" s="79">
        <f>'Core Loads'!AE250</f>
        <v>15661982.603749251</v>
      </c>
      <c r="AF250" s="79">
        <f>'Core Loads'!AF250</f>
        <v>15661982.603749251</v>
      </c>
      <c r="AG250"/>
      <c r="AH250" s="17" t="s">
        <v>279</v>
      </c>
    </row>
    <row r="251" spans="2:34" hidden="1" outlineLevel="1" x14ac:dyDescent="0.25">
      <c r="B251" s="31" t="s">
        <v>147</v>
      </c>
      <c r="C251" s="79">
        <f>'Core Loads'!C251</f>
        <v>0</v>
      </c>
      <c r="D251" s="79">
        <f>'Core Loads'!D251</f>
        <v>0</v>
      </c>
      <c r="E251" s="79">
        <f>'Core Loads'!E251</f>
        <v>0</v>
      </c>
      <c r="F251" s="79">
        <f>'Core Loads'!F251</f>
        <v>0</v>
      </c>
      <c r="G251" s="79">
        <f>'Core Loads'!G251</f>
        <v>0</v>
      </c>
      <c r="H251" s="79">
        <f>'Core Loads'!H251</f>
        <v>0</v>
      </c>
      <c r="I251" s="79">
        <f>'Core Loads'!I251</f>
        <v>0</v>
      </c>
      <c r="J251" s="79">
        <f>'Core Loads'!J251</f>
        <v>0</v>
      </c>
      <c r="K251" s="79">
        <f>'Core Loads'!K251</f>
        <v>0</v>
      </c>
      <c r="L251" s="79">
        <f>'Core Loads'!L251</f>
        <v>0</v>
      </c>
      <c r="M251" s="79">
        <f>'Core Loads'!M251</f>
        <v>0</v>
      </c>
      <c r="N251" s="79">
        <f>'Core Loads'!N251</f>
        <v>0</v>
      </c>
      <c r="O251" s="79">
        <f>'Core Loads'!O251</f>
        <v>0</v>
      </c>
      <c r="P251" s="79">
        <f>'Core Loads'!P251</f>
        <v>0</v>
      </c>
      <c r="Q251" s="79">
        <f>'Core Loads'!Q251</f>
        <v>0</v>
      </c>
      <c r="R251" s="79">
        <f>'Core Loads'!R251</f>
        <v>0</v>
      </c>
      <c r="S251" s="79">
        <f>'Core Loads'!S251</f>
        <v>0</v>
      </c>
      <c r="T251" s="79">
        <f>'Core Loads'!T251</f>
        <v>0</v>
      </c>
      <c r="U251" s="79">
        <f>'Core Loads'!U251</f>
        <v>0</v>
      </c>
      <c r="V251" s="79">
        <f>'Core Loads'!V251</f>
        <v>0</v>
      </c>
      <c r="W251" s="79">
        <f>'Core Loads'!W251</f>
        <v>0</v>
      </c>
      <c r="X251" s="79">
        <f>'Core Loads'!X251</f>
        <v>0</v>
      </c>
      <c r="Y251" s="79">
        <f>'Core Loads'!Y251</f>
        <v>0</v>
      </c>
      <c r="Z251" s="79">
        <f>'Core Loads'!Z251</f>
        <v>0</v>
      </c>
      <c r="AA251" s="79">
        <f>'Core Loads'!AA251</f>
        <v>0</v>
      </c>
      <c r="AB251" s="79">
        <f>'Core Loads'!AB251</f>
        <v>0</v>
      </c>
      <c r="AC251" s="79">
        <f>'Core Loads'!AC251</f>
        <v>0</v>
      </c>
      <c r="AD251" s="79">
        <f>'Core Loads'!AD251</f>
        <v>0</v>
      </c>
      <c r="AE251" s="79">
        <f>'Core Loads'!AE251</f>
        <v>0</v>
      </c>
      <c r="AF251" s="79">
        <f>'Core Loads'!AF251</f>
        <v>0</v>
      </c>
      <c r="AG251"/>
      <c r="AH251" s="17" t="s">
        <v>279</v>
      </c>
    </row>
    <row r="252" spans="2:34" hidden="1" outlineLevel="1" x14ac:dyDescent="0.25">
      <c r="B252" s="31" t="s">
        <v>245</v>
      </c>
      <c r="C252" s="79">
        <f>'Core Loads'!C252</f>
        <v>0</v>
      </c>
      <c r="D252" s="79">
        <f>'Core Loads'!D252</f>
        <v>0</v>
      </c>
      <c r="E252" s="79">
        <f>'Core Loads'!E252</f>
        <v>1207501.7119999998</v>
      </c>
      <c r="F252" s="79">
        <f>'Core Loads'!F252</f>
        <v>1207501.7119999998</v>
      </c>
      <c r="G252" s="79">
        <f>'Core Loads'!G252</f>
        <v>1207501.7119999998</v>
      </c>
      <c r="H252" s="79">
        <f>'Core Loads'!H252</f>
        <v>3455696.2320000003</v>
      </c>
      <c r="I252" s="79">
        <f>'Core Loads'!I252</f>
        <v>3455696.2320000003</v>
      </c>
      <c r="J252" s="79">
        <f>'Core Loads'!J252</f>
        <v>3455696.2320000003</v>
      </c>
      <c r="K252" s="79">
        <f>'Core Loads'!K252</f>
        <v>3455696.2320000003</v>
      </c>
      <c r="L252" s="79">
        <f>'Core Loads'!L252</f>
        <v>3455696.2320000003</v>
      </c>
      <c r="M252" s="79">
        <f>'Core Loads'!M252</f>
        <v>3455696.2320000003</v>
      </c>
      <c r="N252" s="79">
        <f>'Core Loads'!N252</f>
        <v>3395321.1464</v>
      </c>
      <c r="O252" s="79">
        <f>'Core Loads'!O252</f>
        <v>3395321.1464</v>
      </c>
      <c r="P252" s="79">
        <f>'Core Loads'!P252</f>
        <v>3395321.1464</v>
      </c>
      <c r="Q252" s="79">
        <f>'Core Loads'!Q252</f>
        <v>3395321.1464</v>
      </c>
      <c r="R252" s="79">
        <f>'Core Loads'!R252</f>
        <v>8011631.8983999994</v>
      </c>
      <c r="S252" s="79">
        <f>'Core Loads'!S252</f>
        <v>8011631.8983999994</v>
      </c>
      <c r="T252" s="79">
        <f>'Core Loads'!T252</f>
        <v>8011631.8983999994</v>
      </c>
      <c r="U252" s="79">
        <f>'Core Loads'!U252</f>
        <v>8011631.8983999994</v>
      </c>
      <c r="V252" s="79">
        <f>'Core Loads'!V252</f>
        <v>8011631.8983999994</v>
      </c>
      <c r="W252" s="79">
        <f>'Core Loads'!W252</f>
        <v>8011631.8983999994</v>
      </c>
      <c r="X252" s="79">
        <f>'Core Loads'!X252</f>
        <v>8011631.8983999994</v>
      </c>
      <c r="Y252" s="79">
        <f>'Core Loads'!Y252</f>
        <v>8011631.8983999994</v>
      </c>
      <c r="Z252" s="79">
        <f>'Core Loads'!Z252</f>
        <v>8011631.8983999994</v>
      </c>
      <c r="AA252" s="79">
        <f>'Core Loads'!AA252</f>
        <v>8011631.8983999994</v>
      </c>
      <c r="AB252" s="79">
        <f>'Core Loads'!AB252</f>
        <v>8011631.8983999994</v>
      </c>
      <c r="AC252" s="79">
        <f>'Core Loads'!AC252</f>
        <v>8011631.8983999994</v>
      </c>
      <c r="AD252" s="79">
        <f>'Core Loads'!AD252</f>
        <v>8011631.8983999994</v>
      </c>
      <c r="AE252" s="79">
        <f>'Core Loads'!AE252</f>
        <v>8011631.8983999994</v>
      </c>
      <c r="AF252" s="79">
        <f>'Core Loads'!AF252</f>
        <v>8011631.8983999994</v>
      </c>
      <c r="AG252"/>
      <c r="AH252" s="17" t="s">
        <v>279</v>
      </c>
    </row>
    <row r="253" spans="2:34" hidden="1" outlineLevel="1" x14ac:dyDescent="0.25">
      <c r="B253" s="31" t="s">
        <v>149</v>
      </c>
      <c r="C253" s="79">
        <f>'Core Loads'!C253</f>
        <v>0</v>
      </c>
      <c r="D253" s="79">
        <f>'Core Loads'!D253</f>
        <v>0</v>
      </c>
      <c r="E253" s="79">
        <f>'Core Loads'!E253</f>
        <v>27458241.576279219</v>
      </c>
      <c r="F253" s="79">
        <f>'Core Loads'!F253</f>
        <v>31521598.699361473</v>
      </c>
      <c r="G253" s="79">
        <f>'Core Loads'!G253</f>
        <v>31521598.699361473</v>
      </c>
      <c r="H253" s="79">
        <f>'Core Loads'!H253</f>
        <v>35706430.397426315</v>
      </c>
      <c r="I253" s="79">
        <f>'Core Loads'!I253</f>
        <v>35706430.397426315</v>
      </c>
      <c r="J253" s="79">
        <f>'Core Loads'!J253</f>
        <v>34490563.320998214</v>
      </c>
      <c r="K253" s="79">
        <f>'Core Loads'!K253</f>
        <v>34490563.320998214</v>
      </c>
      <c r="L253" s="79">
        <f>'Core Loads'!L253</f>
        <v>34966396.609287962</v>
      </c>
      <c r="M253" s="79">
        <f>'Core Loads'!M253</f>
        <v>34966396.609287962</v>
      </c>
      <c r="N253" s="79">
        <f>'Core Loads'!N253</f>
        <v>34691683.976836883</v>
      </c>
      <c r="O253" s="79">
        <f>'Core Loads'!O253</f>
        <v>34691683.976836883</v>
      </c>
      <c r="P253" s="79">
        <f>'Core Loads'!P253</f>
        <v>34644151.522166558</v>
      </c>
      <c r="Q253" s="79">
        <f>'Core Loads'!Q253</f>
        <v>34644151.522166558</v>
      </c>
      <c r="R253" s="79">
        <f>'Core Loads'!R253</f>
        <v>40373885.678166561</v>
      </c>
      <c r="S253" s="79">
        <f>'Core Loads'!S253</f>
        <v>40373885.678166561</v>
      </c>
      <c r="T253" s="79">
        <f>'Core Loads'!T253</f>
        <v>40373885.678166561</v>
      </c>
      <c r="U253" s="79">
        <f>'Core Loads'!U253</f>
        <v>40373885.678166561</v>
      </c>
      <c r="V253" s="79">
        <f>'Core Loads'!V253</f>
        <v>40268883.269043125</v>
      </c>
      <c r="W253" s="79">
        <f>'Core Loads'!W253</f>
        <v>40268883.269043125</v>
      </c>
      <c r="X253" s="79">
        <f>'Core Loads'!X253</f>
        <v>40268883.269043125</v>
      </c>
      <c r="Y253" s="79">
        <f>'Core Loads'!Y253</f>
        <v>40268883.269043125</v>
      </c>
      <c r="Z253" s="79">
        <f>'Core Loads'!Z253</f>
        <v>40268883.269043125</v>
      </c>
      <c r="AA253" s="79">
        <f>'Core Loads'!AA253</f>
        <v>40268883.269043125</v>
      </c>
      <c r="AB253" s="79">
        <f>'Core Loads'!AB253</f>
        <v>40129288.092132881</v>
      </c>
      <c r="AC253" s="79">
        <f>'Core Loads'!AC253</f>
        <v>40129288.092132881</v>
      </c>
      <c r="AD253" s="79">
        <f>'Core Loads'!AD253</f>
        <v>40129288.092132881</v>
      </c>
      <c r="AE253" s="79">
        <f>'Core Loads'!AE253</f>
        <v>40129288.092132881</v>
      </c>
      <c r="AF253" s="79">
        <f>'Core Loads'!AF253</f>
        <v>40129288.092132881</v>
      </c>
      <c r="AG253"/>
      <c r="AH253" s="17" t="s">
        <v>279</v>
      </c>
    </row>
    <row r="254" spans="2:34" hidden="1" outlineLevel="1" x14ac:dyDescent="0.25"/>
    <row r="255" spans="2:34" hidden="1" outlineLevel="1" x14ac:dyDescent="0.25"/>
    <row r="256" spans="2:34" ht="15.75" collapsed="1" thickTop="1" x14ac:dyDescent="0.25"/>
    <row r="257" spans="2:35" ht="20.25" thickBot="1" x14ac:dyDescent="0.35">
      <c r="B257" s="18" t="s">
        <v>287</v>
      </c>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row>
    <row r="258" spans="2:35" ht="18" hidden="1" outlineLevel="1" thickTop="1" thickBot="1" x14ac:dyDescent="0.3">
      <c r="B258" s="26" t="s">
        <v>277</v>
      </c>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19"/>
      <c r="AH258" s="19"/>
    </row>
    <row r="259" spans="2:35" ht="16.5" hidden="1" outlineLevel="1" thickTop="1" thickBot="1" x14ac:dyDescent="0.3">
      <c r="B259" s="28" t="s">
        <v>278</v>
      </c>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0"/>
      <c r="AH259" s="20" t="s">
        <v>15</v>
      </c>
    </row>
    <row r="260" spans="2:35" customFormat="1" hidden="1" outlineLevel="1" x14ac:dyDescent="0.25">
      <c r="B260" s="30"/>
      <c r="C260" s="17">
        <v>2025</v>
      </c>
      <c r="D260" s="44">
        <v>2026</v>
      </c>
      <c r="E260" s="44">
        <v>2027</v>
      </c>
      <c r="F260" s="44">
        <v>2028</v>
      </c>
      <c r="G260" s="44">
        <v>2029</v>
      </c>
      <c r="H260" s="44">
        <v>2030</v>
      </c>
      <c r="I260" s="44">
        <v>2031</v>
      </c>
      <c r="J260" s="44">
        <v>2032</v>
      </c>
      <c r="K260" s="44">
        <v>2033</v>
      </c>
      <c r="L260" s="44">
        <v>2034</v>
      </c>
      <c r="M260" s="44">
        <v>2035</v>
      </c>
      <c r="N260" s="44">
        <v>2036</v>
      </c>
      <c r="O260" s="44">
        <v>2037</v>
      </c>
      <c r="P260" s="44">
        <v>2038</v>
      </c>
      <c r="Q260" s="44">
        <v>2039</v>
      </c>
      <c r="R260" s="44">
        <v>2040</v>
      </c>
      <c r="S260" s="44">
        <v>2041</v>
      </c>
      <c r="T260" s="44">
        <v>2042</v>
      </c>
      <c r="U260" s="44">
        <v>2043</v>
      </c>
      <c r="V260" s="44">
        <v>2044</v>
      </c>
      <c r="W260" s="44">
        <v>2045</v>
      </c>
      <c r="X260" s="44">
        <v>2046</v>
      </c>
      <c r="Y260" s="44">
        <v>2047</v>
      </c>
      <c r="Z260" s="44">
        <v>2048</v>
      </c>
      <c r="AA260" s="44">
        <v>2049</v>
      </c>
      <c r="AB260" s="44">
        <v>2050</v>
      </c>
      <c r="AC260" s="44">
        <v>2051</v>
      </c>
      <c r="AD260" s="44">
        <v>2052</v>
      </c>
      <c r="AE260" s="44">
        <v>2053</v>
      </c>
      <c r="AF260" s="44">
        <v>2054</v>
      </c>
    </row>
    <row r="261" spans="2:35" hidden="1" outlineLevel="1" x14ac:dyDescent="0.25">
      <c r="B261" s="31" t="s">
        <v>144</v>
      </c>
      <c r="C261" s="79">
        <f>'Core Loads'!C343</f>
        <v>41100367.759866863</v>
      </c>
      <c r="D261" s="79">
        <f>'Core Loads'!D343</f>
        <v>41100367.759866863</v>
      </c>
      <c r="E261" s="79">
        <f>'Core Loads'!E343</f>
        <v>41100367.759866863</v>
      </c>
      <c r="F261" s="79">
        <f>'Core Loads'!F343</f>
        <v>39612639.320832737</v>
      </c>
      <c r="G261" s="79">
        <f>'Core Loads'!G343</f>
        <v>39612639.320832737</v>
      </c>
      <c r="H261" s="79">
        <f>'Core Loads'!H343</f>
        <v>39763990.663512737</v>
      </c>
      <c r="I261" s="79">
        <f>'Core Loads'!I343</f>
        <v>39763990.663512737</v>
      </c>
      <c r="J261" s="79">
        <f>'Core Loads'!J343</f>
        <v>38704492.561179683</v>
      </c>
      <c r="K261" s="79">
        <f>'Core Loads'!K343</f>
        <v>38704492.561179683</v>
      </c>
      <c r="L261" s="79">
        <f>'Core Loads'!L343</f>
        <v>38772187.839759685</v>
      </c>
      <c r="M261" s="79">
        <f>'Core Loads'!M343</f>
        <v>27166188.665980995</v>
      </c>
      <c r="N261" s="79">
        <f>'Core Loads'!N343</f>
        <v>27166188.665980995</v>
      </c>
      <c r="O261" s="79">
        <f>'Core Loads'!O343</f>
        <v>27166188.665980995</v>
      </c>
      <c r="P261" s="79">
        <f>'Core Loads'!P343</f>
        <v>27166188.665980995</v>
      </c>
      <c r="Q261" s="79">
        <f>'Core Loads'!Q343</f>
        <v>0</v>
      </c>
      <c r="R261" s="79">
        <f>'Core Loads'!R343</f>
        <v>0</v>
      </c>
      <c r="S261" s="79">
        <f>'Core Loads'!S343</f>
        <v>0</v>
      </c>
      <c r="T261" s="79">
        <f>'Core Loads'!T343</f>
        <v>0</v>
      </c>
      <c r="U261" s="79">
        <f>'Core Loads'!U343</f>
        <v>0</v>
      </c>
      <c r="V261" s="79">
        <f>'Core Loads'!V343</f>
        <v>0</v>
      </c>
      <c r="W261" s="79">
        <f>'Core Loads'!W343</f>
        <v>0</v>
      </c>
      <c r="X261" s="79">
        <f>'Core Loads'!X343</f>
        <v>0</v>
      </c>
      <c r="Y261" s="79">
        <f>'Core Loads'!Y343</f>
        <v>0</v>
      </c>
      <c r="Z261" s="79">
        <f>'Core Loads'!Z343</f>
        <v>0</v>
      </c>
      <c r="AA261" s="79">
        <f>'Core Loads'!AA343</f>
        <v>0</v>
      </c>
      <c r="AB261" s="79">
        <f>'Core Loads'!AB343</f>
        <v>0</v>
      </c>
      <c r="AC261" s="79">
        <f>'Core Loads'!AC343</f>
        <v>0</v>
      </c>
      <c r="AD261" s="79">
        <f>'Core Loads'!AD343</f>
        <v>0</v>
      </c>
      <c r="AE261" s="79">
        <f>'Core Loads'!AE343</f>
        <v>0</v>
      </c>
      <c r="AF261" s="79">
        <f>'Core Loads'!AF343</f>
        <v>0</v>
      </c>
      <c r="AG261"/>
      <c r="AH261" s="17" t="s">
        <v>279</v>
      </c>
    </row>
    <row r="262" spans="2:35" hidden="1" outlineLevel="1" x14ac:dyDescent="0.25">
      <c r="B262" s="31" t="s">
        <v>145</v>
      </c>
      <c r="C262" s="79">
        <f>'Core Loads'!C344</f>
        <v>15277743.907373067</v>
      </c>
      <c r="D262" s="79">
        <f>'Core Loads'!D344</f>
        <v>15770486.74488374</v>
      </c>
      <c r="E262" s="79">
        <f>'Core Loads'!E344</f>
        <v>15770486.74488374</v>
      </c>
      <c r="F262" s="79">
        <f>'Core Loads'!F344</f>
        <v>15770486.74488374</v>
      </c>
      <c r="G262" s="79">
        <f>'Core Loads'!G344</f>
        <v>15770486.74488374</v>
      </c>
      <c r="H262" s="79">
        <f>'Core Loads'!H344</f>
        <v>15787184.845623737</v>
      </c>
      <c r="I262" s="79">
        <f>'Core Loads'!I344</f>
        <v>15787184.845623737</v>
      </c>
      <c r="J262" s="79">
        <f>'Core Loads'!J344</f>
        <v>15787184.845623737</v>
      </c>
      <c r="K262" s="79">
        <f>'Core Loads'!K344</f>
        <v>15787184.845623737</v>
      </c>
      <c r="L262" s="79">
        <f>'Core Loads'!L344</f>
        <v>15390568.910004416</v>
      </c>
      <c r="M262" s="79">
        <f>'Core Loads'!M344</f>
        <v>15390568.910004416</v>
      </c>
      <c r="N262" s="79">
        <f>'Core Loads'!N344</f>
        <v>15390568.910004416</v>
      </c>
      <c r="O262" s="79">
        <f>'Core Loads'!O344</f>
        <v>15390568.910004416</v>
      </c>
      <c r="P262" s="79">
        <f>'Core Loads'!P344</f>
        <v>15364645.040004415</v>
      </c>
      <c r="Q262" s="79">
        <f>'Core Loads'!Q344</f>
        <v>0</v>
      </c>
      <c r="R262" s="79">
        <f>'Core Loads'!R344</f>
        <v>0</v>
      </c>
      <c r="S262" s="79">
        <f>'Core Loads'!S344</f>
        <v>0</v>
      </c>
      <c r="T262" s="79">
        <f>'Core Loads'!T344</f>
        <v>0</v>
      </c>
      <c r="U262" s="79">
        <f>'Core Loads'!U344</f>
        <v>0</v>
      </c>
      <c r="V262" s="79">
        <f>'Core Loads'!V344</f>
        <v>0</v>
      </c>
      <c r="W262" s="79">
        <f>'Core Loads'!W344</f>
        <v>0</v>
      </c>
      <c r="X262" s="79">
        <f>'Core Loads'!X344</f>
        <v>0</v>
      </c>
      <c r="Y262" s="79">
        <f>'Core Loads'!Y344</f>
        <v>0</v>
      </c>
      <c r="Z262" s="79">
        <f>'Core Loads'!Z344</f>
        <v>0</v>
      </c>
      <c r="AA262" s="79">
        <f>'Core Loads'!AA344</f>
        <v>0</v>
      </c>
      <c r="AB262" s="79">
        <f>'Core Loads'!AB344</f>
        <v>0</v>
      </c>
      <c r="AC262" s="79">
        <f>'Core Loads'!AC344</f>
        <v>0</v>
      </c>
      <c r="AD262" s="79">
        <f>'Core Loads'!AD344</f>
        <v>0</v>
      </c>
      <c r="AE262" s="79">
        <f>'Core Loads'!AE344</f>
        <v>0</v>
      </c>
      <c r="AF262" s="79">
        <f>'Core Loads'!AF344</f>
        <v>0</v>
      </c>
      <c r="AG262"/>
      <c r="AH262" s="17" t="s">
        <v>279</v>
      </c>
    </row>
    <row r="263" spans="2:35" hidden="1" outlineLevel="1" x14ac:dyDescent="0.25">
      <c r="B263" s="31" t="s">
        <v>244</v>
      </c>
      <c r="C263" s="79">
        <f>'Core Loads'!C345</f>
        <v>74467327.643795222</v>
      </c>
      <c r="D263" s="79">
        <f>'Core Loads'!D345</f>
        <v>74467327.643795222</v>
      </c>
      <c r="E263" s="79">
        <f>'Core Loads'!E345</f>
        <v>74467327.643795222</v>
      </c>
      <c r="F263" s="79">
        <f>'Core Loads'!F345</f>
        <v>87649721.664786637</v>
      </c>
      <c r="G263" s="79">
        <f>'Core Loads'!G345</f>
        <v>87649721.664786637</v>
      </c>
      <c r="H263" s="79">
        <f>'Core Loads'!H345</f>
        <v>27903533.461767972</v>
      </c>
      <c r="I263" s="79">
        <f>'Core Loads'!I345</f>
        <v>27903533.461767972</v>
      </c>
      <c r="J263" s="79">
        <f>'Core Loads'!J345</f>
        <v>24270222.464846592</v>
      </c>
      <c r="K263" s="79">
        <f>'Core Loads'!K345</f>
        <v>24270222.464846592</v>
      </c>
      <c r="L263" s="79">
        <f>'Core Loads'!L345</f>
        <v>24270222.464846592</v>
      </c>
      <c r="M263" s="79">
        <f>'Core Loads'!M345</f>
        <v>6088282.3250811659</v>
      </c>
      <c r="N263" s="79">
        <f>'Core Loads'!N345</f>
        <v>6088282.3250811659</v>
      </c>
      <c r="O263" s="79">
        <f>'Core Loads'!O345</f>
        <v>6088282.3250811659</v>
      </c>
      <c r="P263" s="79">
        <f>'Core Loads'!P345</f>
        <v>6088282.3250811659</v>
      </c>
      <c r="Q263" s="79">
        <f>'Core Loads'!Q345</f>
        <v>0</v>
      </c>
      <c r="R263" s="79">
        <f>'Core Loads'!R345</f>
        <v>0</v>
      </c>
      <c r="S263" s="79">
        <f>'Core Loads'!S345</f>
        <v>0</v>
      </c>
      <c r="T263" s="79">
        <f>'Core Loads'!T345</f>
        <v>0</v>
      </c>
      <c r="U263" s="79">
        <f>'Core Loads'!U345</f>
        <v>0</v>
      </c>
      <c r="V263" s="79">
        <f>'Core Loads'!V345</f>
        <v>0</v>
      </c>
      <c r="W263" s="79">
        <f>'Core Loads'!W345</f>
        <v>0</v>
      </c>
      <c r="X263" s="79">
        <f>'Core Loads'!X345</f>
        <v>0</v>
      </c>
      <c r="Y263" s="79">
        <f>'Core Loads'!Y345</f>
        <v>0</v>
      </c>
      <c r="Z263" s="79">
        <f>'Core Loads'!Z345</f>
        <v>0</v>
      </c>
      <c r="AA263" s="79">
        <f>'Core Loads'!AA345</f>
        <v>0</v>
      </c>
      <c r="AB263" s="79">
        <f>'Core Loads'!AB345</f>
        <v>0</v>
      </c>
      <c r="AC263" s="79">
        <f>'Core Loads'!AC345</f>
        <v>0</v>
      </c>
      <c r="AD263" s="79">
        <f>'Core Loads'!AD345</f>
        <v>0</v>
      </c>
      <c r="AE263" s="79">
        <f>'Core Loads'!AE345</f>
        <v>0</v>
      </c>
      <c r="AF263" s="79">
        <f>'Core Loads'!AF345</f>
        <v>0</v>
      </c>
      <c r="AG263"/>
      <c r="AH263" s="17" t="s">
        <v>279</v>
      </c>
    </row>
    <row r="264" spans="2:35" hidden="1" outlineLevel="1" x14ac:dyDescent="0.25">
      <c r="B264" s="31" t="s">
        <v>147</v>
      </c>
      <c r="C264" s="79">
        <f>'Core Loads'!C346</f>
        <v>0</v>
      </c>
      <c r="D264" s="79">
        <f>'Core Loads'!D346</f>
        <v>0</v>
      </c>
      <c r="E264" s="79">
        <f>'Core Loads'!E346</f>
        <v>0</v>
      </c>
      <c r="F264" s="79">
        <f>'Core Loads'!F346</f>
        <v>0</v>
      </c>
      <c r="G264" s="79">
        <f>'Core Loads'!G346</f>
        <v>0</v>
      </c>
      <c r="H264" s="79">
        <f>'Core Loads'!H346</f>
        <v>0</v>
      </c>
      <c r="I264" s="79">
        <f>'Core Loads'!I346</f>
        <v>0</v>
      </c>
      <c r="J264" s="79">
        <f>'Core Loads'!J346</f>
        <v>0</v>
      </c>
      <c r="K264" s="79">
        <f>'Core Loads'!K346</f>
        <v>0</v>
      </c>
      <c r="L264" s="79">
        <f>'Core Loads'!L346</f>
        <v>0</v>
      </c>
      <c r="M264" s="79">
        <f>'Core Loads'!M346</f>
        <v>0</v>
      </c>
      <c r="N264" s="79">
        <f>'Core Loads'!N346</f>
        <v>0</v>
      </c>
      <c r="O264" s="79">
        <f>'Core Loads'!O346</f>
        <v>0</v>
      </c>
      <c r="P264" s="79">
        <f>'Core Loads'!P346</f>
        <v>0</v>
      </c>
      <c r="Q264" s="79">
        <f>'Core Loads'!Q346</f>
        <v>0</v>
      </c>
      <c r="R264" s="79">
        <f>'Core Loads'!R346</f>
        <v>0</v>
      </c>
      <c r="S264" s="79">
        <f>'Core Loads'!S346</f>
        <v>0</v>
      </c>
      <c r="T264" s="79">
        <f>'Core Loads'!T346</f>
        <v>0</v>
      </c>
      <c r="U264" s="79">
        <f>'Core Loads'!U346</f>
        <v>0</v>
      </c>
      <c r="V264" s="79">
        <f>'Core Loads'!V346</f>
        <v>0</v>
      </c>
      <c r="W264" s="79">
        <f>'Core Loads'!W346</f>
        <v>0</v>
      </c>
      <c r="X264" s="79">
        <f>'Core Loads'!X346</f>
        <v>0</v>
      </c>
      <c r="Y264" s="79">
        <f>'Core Loads'!Y346</f>
        <v>0</v>
      </c>
      <c r="Z264" s="79">
        <f>'Core Loads'!Z346</f>
        <v>0</v>
      </c>
      <c r="AA264" s="79">
        <f>'Core Loads'!AA346</f>
        <v>0</v>
      </c>
      <c r="AB264" s="79">
        <f>'Core Loads'!AB346</f>
        <v>0</v>
      </c>
      <c r="AC264" s="79">
        <f>'Core Loads'!AC346</f>
        <v>0</v>
      </c>
      <c r="AD264" s="79">
        <f>'Core Loads'!AD346</f>
        <v>0</v>
      </c>
      <c r="AE264" s="79">
        <f>'Core Loads'!AE346</f>
        <v>0</v>
      </c>
      <c r="AF264" s="79">
        <f>'Core Loads'!AF346</f>
        <v>0</v>
      </c>
      <c r="AG264"/>
      <c r="AH264" s="17" t="s">
        <v>279</v>
      </c>
    </row>
    <row r="265" spans="2:35" hidden="1" outlineLevel="1" x14ac:dyDescent="0.25">
      <c r="B265" s="31" t="s">
        <v>245</v>
      </c>
      <c r="C265" s="79">
        <f>'Core Loads'!C347</f>
        <v>5531260.8599999994</v>
      </c>
      <c r="D265" s="79">
        <f>'Core Loads'!D347</f>
        <v>5531260.8599999994</v>
      </c>
      <c r="E265" s="79">
        <f>'Core Loads'!E347</f>
        <v>5531260.8599999994</v>
      </c>
      <c r="F265" s="79">
        <f>'Core Loads'!F347</f>
        <v>5531260.8599999994</v>
      </c>
      <c r="G265" s="79">
        <f>'Core Loads'!G347</f>
        <v>5531260.8599999994</v>
      </c>
      <c r="H265" s="79">
        <f>'Core Loads'!H347</f>
        <v>5911722.2974800002</v>
      </c>
      <c r="I265" s="79">
        <f>'Core Loads'!I347</f>
        <v>5911722.2974800002</v>
      </c>
      <c r="J265" s="79">
        <f>'Core Loads'!J347</f>
        <v>5911722.2974800002</v>
      </c>
      <c r="K265" s="79">
        <f>'Core Loads'!K347</f>
        <v>5911722.2974800002</v>
      </c>
      <c r="L265" s="79">
        <f>'Core Loads'!L347</f>
        <v>5911722.2974800002</v>
      </c>
      <c r="M265" s="79">
        <f>'Core Loads'!M347</f>
        <v>5911722.2974800002</v>
      </c>
      <c r="N265" s="79">
        <f>'Core Loads'!N347</f>
        <v>5743970.637480001</v>
      </c>
      <c r="O265" s="79">
        <f>'Core Loads'!O347</f>
        <v>5743970.637480001</v>
      </c>
      <c r="P265" s="79">
        <f>'Core Loads'!P347</f>
        <v>5743970.637480001</v>
      </c>
      <c r="Q265" s="79">
        <f>'Core Loads'!Q347</f>
        <v>0</v>
      </c>
      <c r="R265" s="79">
        <f>'Core Loads'!R347</f>
        <v>0</v>
      </c>
      <c r="S265" s="79">
        <f>'Core Loads'!S347</f>
        <v>0</v>
      </c>
      <c r="T265" s="79">
        <f>'Core Loads'!T347</f>
        <v>0</v>
      </c>
      <c r="U265" s="79">
        <f>'Core Loads'!U347</f>
        <v>0</v>
      </c>
      <c r="V265" s="79">
        <f>'Core Loads'!V347</f>
        <v>0</v>
      </c>
      <c r="W265" s="79">
        <f>'Core Loads'!W347</f>
        <v>0</v>
      </c>
      <c r="X265" s="79">
        <f>'Core Loads'!X347</f>
        <v>0</v>
      </c>
      <c r="Y265" s="79">
        <f>'Core Loads'!Y347</f>
        <v>0</v>
      </c>
      <c r="Z265" s="79">
        <f>'Core Loads'!Z347</f>
        <v>0</v>
      </c>
      <c r="AA265" s="79">
        <f>'Core Loads'!AA347</f>
        <v>0</v>
      </c>
      <c r="AB265" s="79">
        <f>'Core Loads'!AB347</f>
        <v>0</v>
      </c>
      <c r="AC265" s="79">
        <f>'Core Loads'!AC347</f>
        <v>0</v>
      </c>
      <c r="AD265" s="79">
        <f>'Core Loads'!AD347</f>
        <v>0</v>
      </c>
      <c r="AE265" s="79">
        <f>'Core Loads'!AE347</f>
        <v>0</v>
      </c>
      <c r="AF265" s="79">
        <f>'Core Loads'!AF347</f>
        <v>0</v>
      </c>
      <c r="AG265"/>
      <c r="AH265" s="17" t="s">
        <v>279</v>
      </c>
    </row>
    <row r="266" spans="2:35" hidden="1" outlineLevel="1" x14ac:dyDescent="0.25">
      <c r="B266" s="31" t="s">
        <v>149</v>
      </c>
      <c r="C266" s="79">
        <f>'Core Loads'!C348</f>
        <v>136376700.17103517</v>
      </c>
      <c r="D266" s="79">
        <f>'Core Loads'!D348</f>
        <v>136869443.00854582</v>
      </c>
      <c r="E266" s="79">
        <f>'Core Loads'!E348</f>
        <v>136869443.00854582</v>
      </c>
      <c r="F266" s="79">
        <f>'Core Loads'!F348</f>
        <v>148564108.5905031</v>
      </c>
      <c r="G266" s="79">
        <f>'Core Loads'!G348</f>
        <v>148564108.5905031</v>
      </c>
      <c r="H266" s="79">
        <f>'Core Loads'!H348</f>
        <v>89366431.268384442</v>
      </c>
      <c r="I266" s="79">
        <f>'Core Loads'!I348</f>
        <v>89366431.268384442</v>
      </c>
      <c r="J266" s="79">
        <f>'Core Loads'!J348</f>
        <v>84673622.169130012</v>
      </c>
      <c r="K266" s="79">
        <f>'Core Loads'!K348</f>
        <v>84673622.169130012</v>
      </c>
      <c r="L266" s="79">
        <f>'Core Loads'!L348</f>
        <v>84344701.512090698</v>
      </c>
      <c r="M266" s="79">
        <f>'Core Loads'!M348</f>
        <v>54556762.198546574</v>
      </c>
      <c r="N266" s="79">
        <f>'Core Loads'!N348</f>
        <v>54389010.53854657</v>
      </c>
      <c r="O266" s="79">
        <f>'Core Loads'!O348</f>
        <v>54389010.53854657</v>
      </c>
      <c r="P266" s="79">
        <f>'Core Loads'!P348</f>
        <v>54363086.66854658</v>
      </c>
      <c r="Q266" s="79">
        <f>'Core Loads'!Q348</f>
        <v>0</v>
      </c>
      <c r="R266" s="79">
        <f>'Core Loads'!R348</f>
        <v>0</v>
      </c>
      <c r="S266" s="79">
        <f>'Core Loads'!S348</f>
        <v>0</v>
      </c>
      <c r="T266" s="79">
        <f>'Core Loads'!T348</f>
        <v>0</v>
      </c>
      <c r="U266" s="79">
        <f>'Core Loads'!U348</f>
        <v>0</v>
      </c>
      <c r="V266" s="79">
        <f>'Core Loads'!V348</f>
        <v>0</v>
      </c>
      <c r="W266" s="79">
        <f>'Core Loads'!W348</f>
        <v>0</v>
      </c>
      <c r="X266" s="79">
        <f>'Core Loads'!X348</f>
        <v>0</v>
      </c>
      <c r="Y266" s="79">
        <f>'Core Loads'!Y348</f>
        <v>0</v>
      </c>
      <c r="Z266" s="79">
        <f>'Core Loads'!Z348</f>
        <v>0</v>
      </c>
      <c r="AA266" s="79">
        <f>'Core Loads'!AA348</f>
        <v>0</v>
      </c>
      <c r="AB266" s="79">
        <f>'Core Loads'!AB348</f>
        <v>0</v>
      </c>
      <c r="AC266" s="79">
        <f>'Core Loads'!AC348</f>
        <v>0</v>
      </c>
      <c r="AD266" s="79">
        <f>'Core Loads'!AD348</f>
        <v>0</v>
      </c>
      <c r="AE266" s="79">
        <f>'Core Loads'!AE348</f>
        <v>0</v>
      </c>
      <c r="AF266" s="79">
        <f>'Core Loads'!AF348</f>
        <v>0</v>
      </c>
      <c r="AG266"/>
      <c r="AH266" s="17" t="s">
        <v>279</v>
      </c>
      <c r="AI266"/>
    </row>
    <row r="267" spans="2:35" hidden="1" outlineLevel="1" x14ac:dyDescent="0.25">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c r="AH267"/>
      <c r="AI267"/>
    </row>
    <row r="268" spans="2:35" customFormat="1" ht="15.75" hidden="1" outlineLevel="1" thickBot="1" x14ac:dyDescent="0.3">
      <c r="B268" s="28" t="s">
        <v>280</v>
      </c>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0"/>
      <c r="AH268" s="20" t="s">
        <v>15</v>
      </c>
    </row>
    <row r="269" spans="2:35" customFormat="1" hidden="1" outlineLevel="1" x14ac:dyDescent="0.25">
      <c r="B269" s="30"/>
      <c r="C269" s="17">
        <v>2025</v>
      </c>
      <c r="D269" s="44">
        <v>2026</v>
      </c>
      <c r="E269" s="44">
        <v>2027</v>
      </c>
      <c r="F269" s="44">
        <v>2028</v>
      </c>
      <c r="G269" s="44">
        <v>2029</v>
      </c>
      <c r="H269" s="44">
        <v>2030</v>
      </c>
      <c r="I269" s="44">
        <v>2031</v>
      </c>
      <c r="J269" s="44">
        <v>2032</v>
      </c>
      <c r="K269" s="44">
        <v>2033</v>
      </c>
      <c r="L269" s="44">
        <v>2034</v>
      </c>
      <c r="M269" s="44">
        <v>2035</v>
      </c>
      <c r="N269" s="44">
        <v>2036</v>
      </c>
      <c r="O269" s="44">
        <v>2037</v>
      </c>
      <c r="P269" s="44">
        <v>2038</v>
      </c>
      <c r="Q269" s="44">
        <v>2039</v>
      </c>
      <c r="R269" s="44">
        <v>2040</v>
      </c>
      <c r="S269" s="44">
        <v>2041</v>
      </c>
      <c r="T269" s="44">
        <v>2042</v>
      </c>
      <c r="U269" s="44">
        <v>2043</v>
      </c>
      <c r="V269" s="44">
        <v>2044</v>
      </c>
      <c r="W269" s="44">
        <v>2045</v>
      </c>
      <c r="X269" s="44">
        <v>2046</v>
      </c>
      <c r="Y269" s="44">
        <v>2047</v>
      </c>
      <c r="Z269" s="44">
        <v>2048</v>
      </c>
      <c r="AA269" s="44">
        <v>2049</v>
      </c>
      <c r="AB269" s="44">
        <v>2050</v>
      </c>
      <c r="AC269" s="44">
        <v>2051</v>
      </c>
      <c r="AD269" s="44">
        <v>2052</v>
      </c>
      <c r="AE269" s="44">
        <v>2053</v>
      </c>
      <c r="AF269" s="44">
        <v>2054</v>
      </c>
    </row>
    <row r="270" spans="2:35" hidden="1" outlineLevel="1" x14ac:dyDescent="0.25">
      <c r="B270" s="31" t="s">
        <v>144</v>
      </c>
      <c r="C270" s="79">
        <f>'Core Loads'!C352</f>
        <v>0</v>
      </c>
      <c r="D270" s="79">
        <f>'Core Loads'!D352</f>
        <v>0</v>
      </c>
      <c r="E270" s="79">
        <f>'Core Loads'!E352</f>
        <v>0</v>
      </c>
      <c r="F270" s="79">
        <f>'Core Loads'!F352</f>
        <v>0</v>
      </c>
      <c r="G270" s="79">
        <f>'Core Loads'!G352</f>
        <v>0</v>
      </c>
      <c r="H270" s="79">
        <f>'Core Loads'!H352</f>
        <v>0</v>
      </c>
      <c r="I270" s="79">
        <f>'Core Loads'!I352</f>
        <v>0</v>
      </c>
      <c r="J270" s="79">
        <f>'Core Loads'!J352</f>
        <v>0</v>
      </c>
      <c r="K270" s="79">
        <f>'Core Loads'!K352</f>
        <v>0</v>
      </c>
      <c r="L270" s="79">
        <f>'Core Loads'!L352</f>
        <v>0</v>
      </c>
      <c r="M270" s="79">
        <f>'Core Loads'!M352</f>
        <v>11605999.173778696</v>
      </c>
      <c r="N270" s="79">
        <f>'Core Loads'!N352</f>
        <v>11605999.173778696</v>
      </c>
      <c r="O270" s="79">
        <f>'Core Loads'!O352</f>
        <v>11605999.173778696</v>
      </c>
      <c r="P270" s="79">
        <f>'Core Loads'!P352</f>
        <v>11605999.173778696</v>
      </c>
      <c r="Q270" s="79">
        <f>'Core Loads'!Q352</f>
        <v>38772187.839759685</v>
      </c>
      <c r="R270" s="79">
        <f>'Core Loads'!R352</f>
        <v>38772187.839759685</v>
      </c>
      <c r="S270" s="79">
        <f>'Core Loads'!S352</f>
        <v>38772187.839759685</v>
      </c>
      <c r="T270" s="79">
        <f>'Core Loads'!T352</f>
        <v>38772187.839759685</v>
      </c>
      <c r="U270" s="79">
        <f>'Core Loads'!U352</f>
        <v>38772187.839759685</v>
      </c>
      <c r="V270" s="79">
        <f>'Core Loads'!V352</f>
        <v>38772187.839759685</v>
      </c>
      <c r="W270" s="79">
        <f>'Core Loads'!W352</f>
        <v>38772187.839759685</v>
      </c>
      <c r="X270" s="79">
        <f>'Core Loads'!X352</f>
        <v>38772187.839759685</v>
      </c>
      <c r="Y270" s="79">
        <f>'Core Loads'!Y352</f>
        <v>38772187.839759685</v>
      </c>
      <c r="Z270" s="79">
        <f>'Core Loads'!Z352</f>
        <v>38772187.839759685</v>
      </c>
      <c r="AA270" s="79">
        <f>'Core Loads'!AA352</f>
        <v>38772187.839759685</v>
      </c>
      <c r="AB270" s="79">
        <f>'Core Loads'!AB352</f>
        <v>38772187.839759685</v>
      </c>
      <c r="AC270" s="79">
        <f>'Core Loads'!AC352</f>
        <v>38772187.839759685</v>
      </c>
      <c r="AD270" s="79">
        <f>'Core Loads'!AD352</f>
        <v>38772187.839759685</v>
      </c>
      <c r="AE270" s="79">
        <f>'Core Loads'!AE352</f>
        <v>38772187.839759685</v>
      </c>
      <c r="AF270" s="79">
        <f>'Core Loads'!AF352</f>
        <v>38772187.839759685</v>
      </c>
      <c r="AG270"/>
      <c r="AH270" s="17" t="s">
        <v>279</v>
      </c>
    </row>
    <row r="271" spans="2:35" hidden="1" outlineLevel="1" x14ac:dyDescent="0.25">
      <c r="B271" s="31" t="s">
        <v>145</v>
      </c>
      <c r="C271" s="79">
        <f>'Core Loads'!C353</f>
        <v>0</v>
      </c>
      <c r="D271" s="79">
        <f>'Core Loads'!D353</f>
        <v>0</v>
      </c>
      <c r="E271" s="79">
        <f>'Core Loads'!E353</f>
        <v>0</v>
      </c>
      <c r="F271" s="79">
        <f>'Core Loads'!F353</f>
        <v>0</v>
      </c>
      <c r="G271" s="79">
        <f>'Core Loads'!G353</f>
        <v>0</v>
      </c>
      <c r="H271" s="79">
        <f>'Core Loads'!H353</f>
        <v>0</v>
      </c>
      <c r="I271" s="79">
        <f>'Core Loads'!I353</f>
        <v>0</v>
      </c>
      <c r="J271" s="79">
        <f>'Core Loads'!J353</f>
        <v>0</v>
      </c>
      <c r="K271" s="79">
        <f>'Core Loads'!K353</f>
        <v>0</v>
      </c>
      <c r="L271" s="79">
        <f>'Core Loads'!L353</f>
        <v>0</v>
      </c>
      <c r="M271" s="79">
        <f>'Core Loads'!M353</f>
        <v>0</v>
      </c>
      <c r="N271" s="79">
        <f>'Core Loads'!N353</f>
        <v>0</v>
      </c>
      <c r="O271" s="79">
        <f>'Core Loads'!O353</f>
        <v>0</v>
      </c>
      <c r="P271" s="79">
        <f>'Core Loads'!P353</f>
        <v>0</v>
      </c>
      <c r="Q271" s="79">
        <f>'Core Loads'!Q353</f>
        <v>15364645.040004415</v>
      </c>
      <c r="R271" s="79">
        <f>'Core Loads'!R353</f>
        <v>15384699.734404417</v>
      </c>
      <c r="S271" s="79">
        <f>'Core Loads'!S353</f>
        <v>15384699.734404417</v>
      </c>
      <c r="T271" s="79">
        <f>'Core Loads'!T353</f>
        <v>15384699.734404417</v>
      </c>
      <c r="U271" s="79">
        <f>'Core Loads'!U353</f>
        <v>15384699.734404417</v>
      </c>
      <c r="V271" s="79">
        <f>'Core Loads'!V353</f>
        <v>15384699.734404417</v>
      </c>
      <c r="W271" s="79">
        <f>'Core Loads'!W353</f>
        <v>15384699.734404417</v>
      </c>
      <c r="X271" s="79">
        <f>'Core Loads'!X353</f>
        <v>15384699.734404417</v>
      </c>
      <c r="Y271" s="79">
        <f>'Core Loads'!Y353</f>
        <v>15384699.734404417</v>
      </c>
      <c r="Z271" s="79">
        <f>'Core Loads'!Z353</f>
        <v>15384699.734404417</v>
      </c>
      <c r="AA271" s="79">
        <f>'Core Loads'!AA353</f>
        <v>15384699.734404417</v>
      </c>
      <c r="AB271" s="79">
        <f>'Core Loads'!AB353</f>
        <v>14843250.017475424</v>
      </c>
      <c r="AC271" s="79">
        <f>'Core Loads'!AC353</f>
        <v>14843250.017475424</v>
      </c>
      <c r="AD271" s="79">
        <f>'Core Loads'!AD353</f>
        <v>14843250.017475424</v>
      </c>
      <c r="AE271" s="79">
        <f>'Core Loads'!AE353</f>
        <v>14843250.017475424</v>
      </c>
      <c r="AF271" s="79">
        <f>'Core Loads'!AF353</f>
        <v>14843250.017475424</v>
      </c>
      <c r="AG271"/>
      <c r="AH271" s="17" t="s">
        <v>279</v>
      </c>
    </row>
    <row r="272" spans="2:35" hidden="1" outlineLevel="1" x14ac:dyDescent="0.25">
      <c r="B272" s="31" t="s">
        <v>244</v>
      </c>
      <c r="C272" s="79">
        <f>'Core Loads'!C354</f>
        <v>0</v>
      </c>
      <c r="D272" s="79">
        <f>'Core Loads'!D354</f>
        <v>0</v>
      </c>
      <c r="E272" s="79">
        <f>'Core Loads'!E354</f>
        <v>0</v>
      </c>
      <c r="F272" s="79">
        <f>'Core Loads'!F354</f>
        <v>0</v>
      </c>
      <c r="G272" s="79">
        <f>'Core Loads'!G354</f>
        <v>0</v>
      </c>
      <c r="H272" s="79">
        <f>'Core Loads'!H354</f>
        <v>60333364.314719193</v>
      </c>
      <c r="I272" s="79">
        <f>'Core Loads'!I354</f>
        <v>60333364.314719193</v>
      </c>
      <c r="J272" s="79">
        <f>'Core Loads'!J354</f>
        <v>55732744.148340926</v>
      </c>
      <c r="K272" s="79">
        <f>'Core Loads'!K354</f>
        <v>55732744.148340926</v>
      </c>
      <c r="L272" s="79">
        <f>'Core Loads'!L354</f>
        <v>55732744.148340926</v>
      </c>
      <c r="M272" s="79">
        <f>'Core Loads'!M354</f>
        <v>73914684.288106352</v>
      </c>
      <c r="N272" s="79">
        <f>'Core Loads'!N354</f>
        <v>73336980.133961201</v>
      </c>
      <c r="O272" s="79">
        <f>'Core Loads'!O354</f>
        <v>73336980.133961201</v>
      </c>
      <c r="P272" s="79">
        <f>'Core Loads'!P354</f>
        <v>73336980.133961201</v>
      </c>
      <c r="Q272" s="79">
        <f>'Core Loads'!Q354</f>
        <v>79425262.459042355</v>
      </c>
      <c r="R272" s="79">
        <f>'Core Loads'!R354</f>
        <v>82311974.959042355</v>
      </c>
      <c r="S272" s="79">
        <f>'Core Loads'!S354</f>
        <v>82311974.959042355</v>
      </c>
      <c r="T272" s="79">
        <f>'Core Loads'!T354</f>
        <v>82311974.959042355</v>
      </c>
      <c r="U272" s="79">
        <f>'Core Loads'!U354</f>
        <v>82311974.959042355</v>
      </c>
      <c r="V272" s="79">
        <f>'Core Loads'!V354</f>
        <v>81863454.238701224</v>
      </c>
      <c r="W272" s="79">
        <f>'Core Loads'!W354</f>
        <v>81863454.238701224</v>
      </c>
      <c r="X272" s="79">
        <f>'Core Loads'!X354</f>
        <v>81863454.238701224</v>
      </c>
      <c r="Y272" s="79">
        <f>'Core Loads'!Y354</f>
        <v>81863454.238701224</v>
      </c>
      <c r="Z272" s="79">
        <f>'Core Loads'!Z354</f>
        <v>81863454.238701224</v>
      </c>
      <c r="AA272" s="79">
        <f>'Core Loads'!AA354</f>
        <v>81863454.238701224</v>
      </c>
      <c r="AB272" s="79">
        <f>'Core Loads'!AB354</f>
        <v>81863454.238701224</v>
      </c>
      <c r="AC272" s="79">
        <f>'Core Loads'!AC354</f>
        <v>81863454.238701224</v>
      </c>
      <c r="AD272" s="79">
        <f>'Core Loads'!AD354</f>
        <v>81863454.238701224</v>
      </c>
      <c r="AE272" s="79">
        <f>'Core Loads'!AE354</f>
        <v>81863454.238701224</v>
      </c>
      <c r="AF272" s="79">
        <f>'Core Loads'!AF354</f>
        <v>81863454.238701224</v>
      </c>
      <c r="AG272"/>
      <c r="AH272" s="17" t="s">
        <v>279</v>
      </c>
    </row>
    <row r="273" spans="2:34" hidden="1" outlineLevel="1" x14ac:dyDescent="0.25">
      <c r="B273" s="31" t="s">
        <v>147</v>
      </c>
      <c r="C273" s="79">
        <f>'Core Loads'!C355</f>
        <v>0</v>
      </c>
      <c r="D273" s="79">
        <f>'Core Loads'!D355</f>
        <v>0</v>
      </c>
      <c r="E273" s="79">
        <f>'Core Loads'!E355</f>
        <v>0</v>
      </c>
      <c r="F273" s="79">
        <f>'Core Loads'!F355</f>
        <v>0</v>
      </c>
      <c r="G273" s="79">
        <f>'Core Loads'!G355</f>
        <v>0</v>
      </c>
      <c r="H273" s="79">
        <f>'Core Loads'!H355</f>
        <v>0</v>
      </c>
      <c r="I273" s="79">
        <f>'Core Loads'!I355</f>
        <v>0</v>
      </c>
      <c r="J273" s="79">
        <f>'Core Loads'!J355</f>
        <v>0</v>
      </c>
      <c r="K273" s="79">
        <f>'Core Loads'!K355</f>
        <v>0</v>
      </c>
      <c r="L273" s="79">
        <f>'Core Loads'!L355</f>
        <v>0</v>
      </c>
      <c r="M273" s="79">
        <f>'Core Loads'!M355</f>
        <v>0</v>
      </c>
      <c r="N273" s="79">
        <f>'Core Loads'!N355</f>
        <v>0</v>
      </c>
      <c r="O273" s="79">
        <f>'Core Loads'!O355</f>
        <v>0</v>
      </c>
      <c r="P273" s="79">
        <f>'Core Loads'!P355</f>
        <v>0</v>
      </c>
      <c r="Q273" s="79">
        <f>'Core Loads'!Q355</f>
        <v>0</v>
      </c>
      <c r="R273" s="79">
        <f>'Core Loads'!R355</f>
        <v>0</v>
      </c>
      <c r="S273" s="79">
        <f>'Core Loads'!S355</f>
        <v>0</v>
      </c>
      <c r="T273" s="79">
        <f>'Core Loads'!T355</f>
        <v>0</v>
      </c>
      <c r="U273" s="79">
        <f>'Core Loads'!U355</f>
        <v>0</v>
      </c>
      <c r="V273" s="79">
        <f>'Core Loads'!V355</f>
        <v>0</v>
      </c>
      <c r="W273" s="79">
        <f>'Core Loads'!W355</f>
        <v>0</v>
      </c>
      <c r="X273" s="79">
        <f>'Core Loads'!X355</f>
        <v>0</v>
      </c>
      <c r="Y273" s="79">
        <f>'Core Loads'!Y355</f>
        <v>0</v>
      </c>
      <c r="Z273" s="79">
        <f>'Core Loads'!Z355</f>
        <v>0</v>
      </c>
      <c r="AA273" s="79">
        <f>'Core Loads'!AA355</f>
        <v>0</v>
      </c>
      <c r="AB273" s="79">
        <f>'Core Loads'!AB355</f>
        <v>0</v>
      </c>
      <c r="AC273" s="79">
        <f>'Core Loads'!AC355</f>
        <v>0</v>
      </c>
      <c r="AD273" s="79">
        <f>'Core Loads'!AD355</f>
        <v>0</v>
      </c>
      <c r="AE273" s="79">
        <f>'Core Loads'!AE355</f>
        <v>0</v>
      </c>
      <c r="AF273" s="79">
        <f>'Core Loads'!AF355</f>
        <v>0</v>
      </c>
      <c r="AG273"/>
      <c r="AH273" s="17" t="s">
        <v>279</v>
      </c>
    </row>
    <row r="274" spans="2:34" hidden="1" outlineLevel="1" x14ac:dyDescent="0.25">
      <c r="B274" s="31" t="s">
        <v>245</v>
      </c>
      <c r="C274" s="79">
        <f>'Core Loads'!C356</f>
        <v>0</v>
      </c>
      <c r="D274" s="79">
        <f>'Core Loads'!D356</f>
        <v>0</v>
      </c>
      <c r="E274" s="79">
        <f>'Core Loads'!E356</f>
        <v>0</v>
      </c>
      <c r="F274" s="79">
        <f>'Core Loads'!F356</f>
        <v>0</v>
      </c>
      <c r="G274" s="79">
        <f>'Core Loads'!G356</f>
        <v>0</v>
      </c>
      <c r="H274" s="79">
        <f>'Core Loads'!H356</f>
        <v>0</v>
      </c>
      <c r="I274" s="79">
        <f>'Core Loads'!I356</f>
        <v>0</v>
      </c>
      <c r="J274" s="79">
        <f>'Core Loads'!J356</f>
        <v>0</v>
      </c>
      <c r="K274" s="79">
        <f>'Core Loads'!K356</f>
        <v>0</v>
      </c>
      <c r="L274" s="79">
        <f>'Core Loads'!L356</f>
        <v>0</v>
      </c>
      <c r="M274" s="79">
        <f>'Core Loads'!M356</f>
        <v>0</v>
      </c>
      <c r="N274" s="79">
        <f>'Core Loads'!N356</f>
        <v>0</v>
      </c>
      <c r="O274" s="79">
        <f>'Core Loads'!O356</f>
        <v>0</v>
      </c>
      <c r="P274" s="79">
        <f>'Core Loads'!P356</f>
        <v>0</v>
      </c>
      <c r="Q274" s="79">
        <f>'Core Loads'!Q356</f>
        <v>5743970.637480001</v>
      </c>
      <c r="R274" s="79">
        <f>'Core Loads'!R356</f>
        <v>36060627.457479998</v>
      </c>
      <c r="S274" s="79">
        <f>'Core Loads'!S356</f>
        <v>36060627.457479998</v>
      </c>
      <c r="T274" s="79">
        <f>'Core Loads'!T356</f>
        <v>36060627.457479998</v>
      </c>
      <c r="U274" s="79">
        <f>'Core Loads'!U356</f>
        <v>36060627.457479998</v>
      </c>
      <c r="V274" s="79">
        <f>'Core Loads'!V356</f>
        <v>36060627.457479998</v>
      </c>
      <c r="W274" s="79">
        <f>'Core Loads'!W356</f>
        <v>36060627.457479998</v>
      </c>
      <c r="X274" s="79">
        <f>'Core Loads'!X356</f>
        <v>36060627.457479998</v>
      </c>
      <c r="Y274" s="79">
        <f>'Core Loads'!Y356</f>
        <v>36060627.457479998</v>
      </c>
      <c r="Z274" s="79">
        <f>'Core Loads'!Z356</f>
        <v>36060627.457479998</v>
      </c>
      <c r="AA274" s="79">
        <f>'Core Loads'!AA356</f>
        <v>36060627.457479998</v>
      </c>
      <c r="AB274" s="79">
        <f>'Core Loads'!AB356</f>
        <v>36060627.457479998</v>
      </c>
      <c r="AC274" s="79">
        <f>'Core Loads'!AC356</f>
        <v>36060627.457479998</v>
      </c>
      <c r="AD274" s="79">
        <f>'Core Loads'!AD356</f>
        <v>36060627.457479998</v>
      </c>
      <c r="AE274" s="79">
        <f>'Core Loads'!AE356</f>
        <v>36060627.457479998</v>
      </c>
      <c r="AF274" s="79">
        <f>'Core Loads'!AF356</f>
        <v>36060627.457479998</v>
      </c>
      <c r="AG274"/>
      <c r="AH274" s="17" t="s">
        <v>279</v>
      </c>
    </row>
    <row r="275" spans="2:34" hidden="1" outlineLevel="1" x14ac:dyDescent="0.25">
      <c r="B275" s="31" t="s">
        <v>149</v>
      </c>
      <c r="C275" s="79">
        <f>'Core Loads'!C357</f>
        <v>0</v>
      </c>
      <c r="D275" s="79">
        <f>'Core Loads'!D357</f>
        <v>0</v>
      </c>
      <c r="E275" s="79">
        <f>'Core Loads'!E357</f>
        <v>0</v>
      </c>
      <c r="F275" s="79">
        <f>'Core Loads'!F357</f>
        <v>0</v>
      </c>
      <c r="G275" s="79">
        <f>'Core Loads'!G357</f>
        <v>0</v>
      </c>
      <c r="H275" s="79">
        <f>'Core Loads'!H357</f>
        <v>60333364.314719193</v>
      </c>
      <c r="I275" s="79">
        <f>'Core Loads'!I357</f>
        <v>60333364.314719193</v>
      </c>
      <c r="J275" s="79">
        <f>'Core Loads'!J357</f>
        <v>55732744.148340926</v>
      </c>
      <c r="K275" s="79">
        <f>'Core Loads'!K357</f>
        <v>55732744.148340926</v>
      </c>
      <c r="L275" s="79">
        <f>'Core Loads'!L357</f>
        <v>55732744.148340926</v>
      </c>
      <c r="M275" s="79">
        <f>'Core Loads'!M357</f>
        <v>85520683.46188505</v>
      </c>
      <c r="N275" s="79">
        <f>'Core Loads'!N357</f>
        <v>84942979.307739899</v>
      </c>
      <c r="O275" s="79">
        <f>'Core Loads'!O357</f>
        <v>84942979.307739899</v>
      </c>
      <c r="P275" s="79">
        <f>'Core Loads'!P357</f>
        <v>84942979.307739899</v>
      </c>
      <c r="Q275" s="79">
        <f>'Core Loads'!Q357</f>
        <v>139306065.97628644</v>
      </c>
      <c r="R275" s="79">
        <f>'Core Loads'!R357</f>
        <v>172529489.99068648</v>
      </c>
      <c r="S275" s="79">
        <f>'Core Loads'!S357</f>
        <v>172529489.99068648</v>
      </c>
      <c r="T275" s="79">
        <f>'Core Loads'!T357</f>
        <v>172529489.99068648</v>
      </c>
      <c r="U275" s="79">
        <f>'Core Loads'!U357</f>
        <v>172529489.99068648</v>
      </c>
      <c r="V275" s="79">
        <f>'Core Loads'!V357</f>
        <v>172080969.27034533</v>
      </c>
      <c r="W275" s="79">
        <f>'Core Loads'!W357</f>
        <v>172080969.27034533</v>
      </c>
      <c r="X275" s="79">
        <f>'Core Loads'!X357</f>
        <v>172080969.27034533</v>
      </c>
      <c r="Y275" s="79">
        <f>'Core Loads'!Y357</f>
        <v>172080969.27034533</v>
      </c>
      <c r="Z275" s="79">
        <f>'Core Loads'!Z357</f>
        <v>172080969.27034533</v>
      </c>
      <c r="AA275" s="79">
        <f>'Core Loads'!AA357</f>
        <v>172080969.27034533</v>
      </c>
      <c r="AB275" s="79">
        <f>'Core Loads'!AB357</f>
        <v>171539519.55341631</v>
      </c>
      <c r="AC275" s="79">
        <f>'Core Loads'!AC357</f>
        <v>171539519.55341631</v>
      </c>
      <c r="AD275" s="79">
        <f>'Core Loads'!AD357</f>
        <v>171539519.55341631</v>
      </c>
      <c r="AE275" s="79">
        <f>'Core Loads'!AE357</f>
        <v>171539519.55341631</v>
      </c>
      <c r="AF275" s="79">
        <f>'Core Loads'!AF357</f>
        <v>171539519.55341631</v>
      </c>
      <c r="AG275"/>
      <c r="AH275" s="17" t="s">
        <v>279</v>
      </c>
    </row>
    <row r="276" spans="2:34" customFormat="1" hidden="1" outlineLevel="1" x14ac:dyDescent="0.25">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row>
    <row r="277" spans="2:34" hidden="1" outlineLevel="1" x14ac:dyDescent="0.25">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c r="AH277"/>
    </row>
    <row r="278" spans="2:34" ht="17.25" hidden="1" outlineLevel="1" thickBot="1" x14ac:dyDescent="0.3">
      <c r="B278" s="26" t="s">
        <v>281</v>
      </c>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row>
    <row r="279" spans="2:34" ht="16.5" hidden="1" outlineLevel="1" thickTop="1" thickBot="1" x14ac:dyDescent="0.3">
      <c r="B279" s="28" t="s">
        <v>278</v>
      </c>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0"/>
      <c r="AH279" s="20" t="s">
        <v>15</v>
      </c>
    </row>
    <row r="280" spans="2:34" customFormat="1" hidden="1" outlineLevel="1" x14ac:dyDescent="0.25">
      <c r="B280" s="30"/>
      <c r="C280" s="17">
        <v>2025</v>
      </c>
      <c r="D280" s="44">
        <v>2026</v>
      </c>
      <c r="E280" s="44">
        <v>2027</v>
      </c>
      <c r="F280" s="44">
        <v>2028</v>
      </c>
      <c r="G280" s="44">
        <v>2029</v>
      </c>
      <c r="H280" s="44">
        <v>2030</v>
      </c>
      <c r="I280" s="44">
        <v>2031</v>
      </c>
      <c r="J280" s="44">
        <v>2032</v>
      </c>
      <c r="K280" s="44">
        <v>2033</v>
      </c>
      <c r="L280" s="44">
        <v>2034</v>
      </c>
      <c r="M280" s="44">
        <v>2035</v>
      </c>
      <c r="N280" s="44">
        <v>2036</v>
      </c>
      <c r="O280" s="44">
        <v>2037</v>
      </c>
      <c r="P280" s="44">
        <v>2038</v>
      </c>
      <c r="Q280" s="44">
        <v>2039</v>
      </c>
      <c r="R280" s="44">
        <v>2040</v>
      </c>
      <c r="S280" s="44">
        <v>2041</v>
      </c>
      <c r="T280" s="44">
        <v>2042</v>
      </c>
      <c r="U280" s="44">
        <v>2043</v>
      </c>
      <c r="V280" s="44">
        <v>2044</v>
      </c>
      <c r="W280" s="44">
        <v>2045</v>
      </c>
      <c r="X280" s="44">
        <v>2046</v>
      </c>
      <c r="Y280" s="44">
        <v>2047</v>
      </c>
      <c r="Z280" s="44">
        <v>2048</v>
      </c>
      <c r="AA280" s="44">
        <v>2049</v>
      </c>
      <c r="AB280" s="44">
        <v>2050</v>
      </c>
      <c r="AC280" s="44">
        <v>2051</v>
      </c>
      <c r="AD280" s="44">
        <v>2052</v>
      </c>
      <c r="AE280" s="44">
        <v>2053</v>
      </c>
      <c r="AF280" s="44">
        <v>2054</v>
      </c>
      <c r="AH280" s="17" t="s">
        <v>279</v>
      </c>
    </row>
    <row r="281" spans="2:34" hidden="1" outlineLevel="1" x14ac:dyDescent="0.25">
      <c r="B281" s="31" t="s">
        <v>144</v>
      </c>
      <c r="C281" s="79">
        <f>'Core Loads'!C363</f>
        <v>91218518.516397119</v>
      </c>
      <c r="D281" s="79">
        <f>'Core Loads'!D363</f>
        <v>91218518.516397119</v>
      </c>
      <c r="E281" s="79">
        <f>'Core Loads'!E363</f>
        <v>91218518.516397119</v>
      </c>
      <c r="F281" s="79">
        <f>'Core Loads'!F363</f>
        <v>91218518.516397119</v>
      </c>
      <c r="G281" s="79">
        <f>'Core Loads'!G363</f>
        <v>91218518.516397119</v>
      </c>
      <c r="H281" s="79">
        <f>'Core Loads'!H363</f>
        <v>89605158.712475568</v>
      </c>
      <c r="I281" s="79">
        <f>'Core Loads'!I363</f>
        <v>89605158.712475568</v>
      </c>
      <c r="J281" s="79">
        <f>'Core Loads'!J363</f>
        <v>89605158.712475568</v>
      </c>
      <c r="K281" s="79">
        <f>'Core Loads'!K363</f>
        <v>89605158.712475568</v>
      </c>
      <c r="L281" s="79">
        <f>'Core Loads'!L363</f>
        <v>89605158.712475568</v>
      </c>
      <c r="M281" s="79">
        <f>'Core Loads'!M363</f>
        <v>54355738.940860339</v>
      </c>
      <c r="N281" s="79">
        <f>'Core Loads'!N363</f>
        <v>54355738.940860339</v>
      </c>
      <c r="O281" s="79">
        <f>'Core Loads'!O363</f>
        <v>54355738.940860339</v>
      </c>
      <c r="P281" s="79">
        <f>'Core Loads'!P363</f>
        <v>54355738.940860339</v>
      </c>
      <c r="Q281" s="79">
        <f>'Core Loads'!Q363</f>
        <v>0</v>
      </c>
      <c r="R281" s="79">
        <f>'Core Loads'!R363</f>
        <v>0</v>
      </c>
      <c r="S281" s="79">
        <f>'Core Loads'!S363</f>
        <v>0</v>
      </c>
      <c r="T281" s="79">
        <f>'Core Loads'!T363</f>
        <v>0</v>
      </c>
      <c r="U281" s="79">
        <f>'Core Loads'!U363</f>
        <v>0</v>
      </c>
      <c r="V281" s="79">
        <f>'Core Loads'!V363</f>
        <v>0</v>
      </c>
      <c r="W281" s="79">
        <f>'Core Loads'!W363</f>
        <v>0</v>
      </c>
      <c r="X281" s="79">
        <f>'Core Loads'!X363</f>
        <v>0</v>
      </c>
      <c r="Y281" s="79">
        <f>'Core Loads'!Y363</f>
        <v>0</v>
      </c>
      <c r="Z281" s="79">
        <f>'Core Loads'!Z363</f>
        <v>0</v>
      </c>
      <c r="AA281" s="79">
        <f>'Core Loads'!AA363</f>
        <v>0</v>
      </c>
      <c r="AB281" s="79">
        <f>'Core Loads'!AB363</f>
        <v>0</v>
      </c>
      <c r="AC281" s="79">
        <f>'Core Loads'!AC363</f>
        <v>0</v>
      </c>
      <c r="AD281" s="79">
        <f>'Core Loads'!AD363</f>
        <v>0</v>
      </c>
      <c r="AE281" s="79">
        <f>'Core Loads'!AE363</f>
        <v>0</v>
      </c>
      <c r="AF281" s="79">
        <f>'Core Loads'!AF363</f>
        <v>0</v>
      </c>
      <c r="AG281"/>
      <c r="AH281" s="17" t="s">
        <v>279</v>
      </c>
    </row>
    <row r="282" spans="2:34" hidden="1" outlineLevel="1" x14ac:dyDescent="0.25">
      <c r="B282" s="31" t="s">
        <v>145</v>
      </c>
      <c r="C282" s="79">
        <f>'Core Loads'!C364</f>
        <v>11884388.380107559</v>
      </c>
      <c r="D282" s="79">
        <f>'Core Loads'!D364</f>
        <v>11884388.380107559</v>
      </c>
      <c r="E282" s="79">
        <f>'Core Loads'!E364</f>
        <v>11884388.380107559</v>
      </c>
      <c r="F282" s="79">
        <f>'Core Loads'!F364</f>
        <v>11884388.380107559</v>
      </c>
      <c r="G282" s="79">
        <f>'Core Loads'!G364</f>
        <v>11884388.380107559</v>
      </c>
      <c r="H282" s="79">
        <f>'Core Loads'!H364</f>
        <v>11884388.380107559</v>
      </c>
      <c r="I282" s="79">
        <f>'Core Loads'!I364</f>
        <v>11884388.380107559</v>
      </c>
      <c r="J282" s="79">
        <f>'Core Loads'!J364</f>
        <v>11884388.380107559</v>
      </c>
      <c r="K282" s="79">
        <f>'Core Loads'!K364</f>
        <v>11884388.380107559</v>
      </c>
      <c r="L282" s="79">
        <f>'Core Loads'!L364</f>
        <v>11884388.380107559</v>
      </c>
      <c r="M282" s="79">
        <f>'Core Loads'!M364</f>
        <v>11884388.380107559</v>
      </c>
      <c r="N282" s="79">
        <f>'Core Loads'!N364</f>
        <v>11884388.380107559</v>
      </c>
      <c r="O282" s="79">
        <f>'Core Loads'!O364</f>
        <v>11884388.380107559</v>
      </c>
      <c r="P282" s="79">
        <f>'Core Loads'!P364</f>
        <v>11884388.380107559</v>
      </c>
      <c r="Q282" s="79">
        <f>'Core Loads'!Q364</f>
        <v>0</v>
      </c>
      <c r="R282" s="79">
        <f>'Core Loads'!R364</f>
        <v>0</v>
      </c>
      <c r="S282" s="79">
        <f>'Core Loads'!S364</f>
        <v>0</v>
      </c>
      <c r="T282" s="79">
        <f>'Core Loads'!T364</f>
        <v>0</v>
      </c>
      <c r="U282" s="79">
        <f>'Core Loads'!U364</f>
        <v>0</v>
      </c>
      <c r="V282" s="79">
        <f>'Core Loads'!V364</f>
        <v>0</v>
      </c>
      <c r="W282" s="79">
        <f>'Core Loads'!W364</f>
        <v>0</v>
      </c>
      <c r="X282" s="79">
        <f>'Core Loads'!X364</f>
        <v>0</v>
      </c>
      <c r="Y282" s="79">
        <f>'Core Loads'!Y364</f>
        <v>0</v>
      </c>
      <c r="Z282" s="79">
        <f>'Core Loads'!Z364</f>
        <v>0</v>
      </c>
      <c r="AA282" s="79">
        <f>'Core Loads'!AA364</f>
        <v>0</v>
      </c>
      <c r="AB282" s="79">
        <f>'Core Loads'!AB364</f>
        <v>0</v>
      </c>
      <c r="AC282" s="79">
        <f>'Core Loads'!AC364</f>
        <v>0</v>
      </c>
      <c r="AD282" s="79">
        <f>'Core Loads'!AD364</f>
        <v>0</v>
      </c>
      <c r="AE282" s="79">
        <f>'Core Loads'!AE364</f>
        <v>0</v>
      </c>
      <c r="AF282" s="79">
        <f>'Core Loads'!AF364</f>
        <v>0</v>
      </c>
      <c r="AG282"/>
      <c r="AH282" s="17" t="s">
        <v>279</v>
      </c>
    </row>
    <row r="283" spans="2:34" hidden="1" outlineLevel="1" x14ac:dyDescent="0.25">
      <c r="B283" s="31" t="s">
        <v>244</v>
      </c>
      <c r="C283" s="79">
        <f>'Core Loads'!C365</f>
        <v>35030010.666666664</v>
      </c>
      <c r="D283" s="79">
        <f>'Core Loads'!D365</f>
        <v>35030010.666666664</v>
      </c>
      <c r="E283" s="79">
        <f>'Core Loads'!E365</f>
        <v>35030010.666666664</v>
      </c>
      <c r="F283" s="79">
        <f>'Core Loads'!F365</f>
        <v>33517716.333333336</v>
      </c>
      <c r="G283" s="79">
        <f>'Core Loads'!G365</f>
        <v>33517716.333333336</v>
      </c>
      <c r="H283" s="79">
        <f>'Core Loads'!H365</f>
        <v>27281130.833333336</v>
      </c>
      <c r="I283" s="79">
        <f>'Core Loads'!I365</f>
        <v>27281130.833333336</v>
      </c>
      <c r="J283" s="79">
        <f>'Core Loads'!J365</f>
        <v>27281130.833333336</v>
      </c>
      <c r="K283" s="79">
        <f>'Core Loads'!K365</f>
        <v>27281130.833333336</v>
      </c>
      <c r="L283" s="79">
        <f>'Core Loads'!L365</f>
        <v>27281130.833333336</v>
      </c>
      <c r="M283" s="79">
        <f>'Core Loads'!M365</f>
        <v>0</v>
      </c>
      <c r="N283" s="79">
        <f>'Core Loads'!N365</f>
        <v>0</v>
      </c>
      <c r="O283" s="79">
        <f>'Core Loads'!O365</f>
        <v>0</v>
      </c>
      <c r="P283" s="79">
        <f>'Core Loads'!P365</f>
        <v>0</v>
      </c>
      <c r="Q283" s="79">
        <f>'Core Loads'!Q365</f>
        <v>0</v>
      </c>
      <c r="R283" s="79">
        <f>'Core Loads'!R365</f>
        <v>0</v>
      </c>
      <c r="S283" s="79">
        <f>'Core Loads'!S365</f>
        <v>0</v>
      </c>
      <c r="T283" s="79">
        <f>'Core Loads'!T365</f>
        <v>0</v>
      </c>
      <c r="U283" s="79">
        <f>'Core Loads'!U365</f>
        <v>0</v>
      </c>
      <c r="V283" s="79">
        <f>'Core Loads'!V365</f>
        <v>0</v>
      </c>
      <c r="W283" s="79">
        <f>'Core Loads'!W365</f>
        <v>0</v>
      </c>
      <c r="X283" s="79">
        <f>'Core Loads'!X365</f>
        <v>0</v>
      </c>
      <c r="Y283" s="79">
        <f>'Core Loads'!Y365</f>
        <v>0</v>
      </c>
      <c r="Z283" s="79">
        <f>'Core Loads'!Z365</f>
        <v>0</v>
      </c>
      <c r="AA283" s="79">
        <f>'Core Loads'!AA365</f>
        <v>0</v>
      </c>
      <c r="AB283" s="79">
        <f>'Core Loads'!AB365</f>
        <v>0</v>
      </c>
      <c r="AC283" s="79">
        <f>'Core Loads'!AC365</f>
        <v>0</v>
      </c>
      <c r="AD283" s="79">
        <f>'Core Loads'!AD365</f>
        <v>0</v>
      </c>
      <c r="AE283" s="79">
        <f>'Core Loads'!AE365</f>
        <v>0</v>
      </c>
      <c r="AF283" s="79">
        <f>'Core Loads'!AF365</f>
        <v>0</v>
      </c>
      <c r="AG283"/>
      <c r="AH283" s="17" t="s">
        <v>279</v>
      </c>
    </row>
    <row r="284" spans="2:34" customFormat="1" hidden="1" outlineLevel="1" x14ac:dyDescent="0.25">
      <c r="B284" s="31" t="s">
        <v>147</v>
      </c>
      <c r="C284" s="79">
        <f>'Core Loads'!C366</f>
        <v>0</v>
      </c>
      <c r="D284" s="79">
        <f>'Core Loads'!D366</f>
        <v>0</v>
      </c>
      <c r="E284" s="79">
        <f>'Core Loads'!E366</f>
        <v>0</v>
      </c>
      <c r="F284" s="79">
        <f>'Core Loads'!F366</f>
        <v>0</v>
      </c>
      <c r="G284" s="79">
        <f>'Core Loads'!G366</f>
        <v>0</v>
      </c>
      <c r="H284" s="79">
        <f>'Core Loads'!H366</f>
        <v>0</v>
      </c>
      <c r="I284" s="79">
        <f>'Core Loads'!I366</f>
        <v>0</v>
      </c>
      <c r="J284" s="79">
        <f>'Core Loads'!J366</f>
        <v>0</v>
      </c>
      <c r="K284" s="79">
        <f>'Core Loads'!K366</f>
        <v>0</v>
      </c>
      <c r="L284" s="79">
        <f>'Core Loads'!L366</f>
        <v>0</v>
      </c>
      <c r="M284" s="79">
        <f>'Core Loads'!M366</f>
        <v>0</v>
      </c>
      <c r="N284" s="79">
        <f>'Core Loads'!N366</f>
        <v>0</v>
      </c>
      <c r="O284" s="79">
        <f>'Core Loads'!O366</f>
        <v>0</v>
      </c>
      <c r="P284" s="79">
        <f>'Core Loads'!P366</f>
        <v>0</v>
      </c>
      <c r="Q284" s="79">
        <f>'Core Loads'!Q366</f>
        <v>0</v>
      </c>
      <c r="R284" s="79">
        <f>'Core Loads'!R366</f>
        <v>0</v>
      </c>
      <c r="S284" s="79">
        <f>'Core Loads'!S366</f>
        <v>0</v>
      </c>
      <c r="T284" s="79">
        <f>'Core Loads'!T366</f>
        <v>0</v>
      </c>
      <c r="U284" s="79">
        <f>'Core Loads'!U366</f>
        <v>0</v>
      </c>
      <c r="V284" s="79">
        <f>'Core Loads'!V366</f>
        <v>0</v>
      </c>
      <c r="W284" s="79">
        <f>'Core Loads'!W366</f>
        <v>0</v>
      </c>
      <c r="X284" s="79">
        <f>'Core Loads'!X366</f>
        <v>0</v>
      </c>
      <c r="Y284" s="79">
        <f>'Core Loads'!Y366</f>
        <v>0</v>
      </c>
      <c r="Z284" s="79">
        <f>'Core Loads'!Z366</f>
        <v>0</v>
      </c>
      <c r="AA284" s="79">
        <f>'Core Loads'!AA366</f>
        <v>0</v>
      </c>
      <c r="AB284" s="79">
        <f>'Core Loads'!AB366</f>
        <v>0</v>
      </c>
      <c r="AC284" s="79">
        <f>'Core Loads'!AC366</f>
        <v>0</v>
      </c>
      <c r="AD284" s="79">
        <f>'Core Loads'!AD366</f>
        <v>0</v>
      </c>
      <c r="AE284" s="79">
        <f>'Core Loads'!AE366</f>
        <v>0</v>
      </c>
      <c r="AF284" s="79">
        <f>'Core Loads'!AF366</f>
        <v>0</v>
      </c>
      <c r="AH284" s="17" t="s">
        <v>279</v>
      </c>
    </row>
    <row r="285" spans="2:34" hidden="1" outlineLevel="1" x14ac:dyDescent="0.25">
      <c r="B285" s="31" t="s">
        <v>245</v>
      </c>
      <c r="C285" s="79">
        <f>'Core Loads'!C367</f>
        <v>0</v>
      </c>
      <c r="D285" s="79">
        <f>'Core Loads'!D367</f>
        <v>0</v>
      </c>
      <c r="E285" s="79">
        <f>'Core Loads'!E367</f>
        <v>0</v>
      </c>
      <c r="F285" s="79">
        <f>'Core Loads'!F367</f>
        <v>0</v>
      </c>
      <c r="G285" s="79">
        <f>'Core Loads'!G367</f>
        <v>0</v>
      </c>
      <c r="H285" s="79">
        <f>'Core Loads'!H367</f>
        <v>0</v>
      </c>
      <c r="I285" s="79">
        <f>'Core Loads'!I367</f>
        <v>0</v>
      </c>
      <c r="J285" s="79">
        <f>'Core Loads'!J367</f>
        <v>0</v>
      </c>
      <c r="K285" s="79">
        <f>'Core Loads'!K367</f>
        <v>0</v>
      </c>
      <c r="L285" s="79">
        <f>'Core Loads'!L367</f>
        <v>0</v>
      </c>
      <c r="M285" s="79">
        <f>'Core Loads'!M367</f>
        <v>0</v>
      </c>
      <c r="N285" s="79">
        <f>'Core Loads'!N367</f>
        <v>0</v>
      </c>
      <c r="O285" s="79">
        <f>'Core Loads'!O367</f>
        <v>0</v>
      </c>
      <c r="P285" s="79">
        <f>'Core Loads'!P367</f>
        <v>0</v>
      </c>
      <c r="Q285" s="79">
        <f>'Core Loads'!Q367</f>
        <v>0</v>
      </c>
      <c r="R285" s="79">
        <f>'Core Loads'!R367</f>
        <v>0</v>
      </c>
      <c r="S285" s="79">
        <f>'Core Loads'!S367</f>
        <v>0</v>
      </c>
      <c r="T285" s="79">
        <f>'Core Loads'!T367</f>
        <v>0</v>
      </c>
      <c r="U285" s="79">
        <f>'Core Loads'!U367</f>
        <v>0</v>
      </c>
      <c r="V285" s="79">
        <f>'Core Loads'!V367</f>
        <v>0</v>
      </c>
      <c r="W285" s="79">
        <f>'Core Loads'!W367</f>
        <v>0</v>
      </c>
      <c r="X285" s="79">
        <f>'Core Loads'!X367</f>
        <v>0</v>
      </c>
      <c r="Y285" s="79">
        <f>'Core Loads'!Y367</f>
        <v>0</v>
      </c>
      <c r="Z285" s="79">
        <f>'Core Loads'!Z367</f>
        <v>0</v>
      </c>
      <c r="AA285" s="79">
        <f>'Core Loads'!AA367</f>
        <v>0</v>
      </c>
      <c r="AB285" s="79">
        <f>'Core Loads'!AB367</f>
        <v>0</v>
      </c>
      <c r="AC285" s="79">
        <f>'Core Loads'!AC367</f>
        <v>0</v>
      </c>
      <c r="AD285" s="79">
        <f>'Core Loads'!AD367</f>
        <v>0</v>
      </c>
      <c r="AE285" s="79">
        <f>'Core Loads'!AE367</f>
        <v>0</v>
      </c>
      <c r="AF285" s="79">
        <f>'Core Loads'!AF367</f>
        <v>0</v>
      </c>
      <c r="AG285"/>
      <c r="AH285" s="17" t="s">
        <v>279</v>
      </c>
    </row>
    <row r="286" spans="2:34" hidden="1" outlineLevel="1" x14ac:dyDescent="0.25">
      <c r="B286" s="31" t="s">
        <v>149</v>
      </c>
      <c r="C286" s="79">
        <f>'Core Loads'!C368</f>
        <v>138132917.56317133</v>
      </c>
      <c r="D286" s="79">
        <f>'Core Loads'!D368</f>
        <v>138132917.56317133</v>
      </c>
      <c r="E286" s="79">
        <f>'Core Loads'!E368</f>
        <v>138132917.56317133</v>
      </c>
      <c r="F286" s="79">
        <f>'Core Loads'!F368</f>
        <v>136620623.22983801</v>
      </c>
      <c r="G286" s="79">
        <f>'Core Loads'!G368</f>
        <v>136620623.22983801</v>
      </c>
      <c r="H286" s="79">
        <f>'Core Loads'!H368</f>
        <v>128770677.92591646</v>
      </c>
      <c r="I286" s="79">
        <f>'Core Loads'!I368</f>
        <v>128770677.92591646</v>
      </c>
      <c r="J286" s="79">
        <f>'Core Loads'!J368</f>
        <v>128770677.92591646</v>
      </c>
      <c r="K286" s="79">
        <f>'Core Loads'!K368</f>
        <v>128770677.92591646</v>
      </c>
      <c r="L286" s="79">
        <f>'Core Loads'!L368</f>
        <v>128770677.92591646</v>
      </c>
      <c r="M286" s="79">
        <f>'Core Loads'!M368</f>
        <v>66240127.320967898</v>
      </c>
      <c r="N286" s="79">
        <f>'Core Loads'!N368</f>
        <v>66240127.320967898</v>
      </c>
      <c r="O286" s="79">
        <f>'Core Loads'!O368</f>
        <v>66240127.320967898</v>
      </c>
      <c r="P286" s="79">
        <f>'Core Loads'!P368</f>
        <v>66240127.320967898</v>
      </c>
      <c r="Q286" s="79">
        <f>'Core Loads'!Q368</f>
        <v>0</v>
      </c>
      <c r="R286" s="79">
        <f>'Core Loads'!R368</f>
        <v>0</v>
      </c>
      <c r="S286" s="79">
        <f>'Core Loads'!S368</f>
        <v>0</v>
      </c>
      <c r="T286" s="79">
        <f>'Core Loads'!T368</f>
        <v>0</v>
      </c>
      <c r="U286" s="79">
        <f>'Core Loads'!U368</f>
        <v>0</v>
      </c>
      <c r="V286" s="79">
        <f>'Core Loads'!V368</f>
        <v>0</v>
      </c>
      <c r="W286" s="79">
        <f>'Core Loads'!W368</f>
        <v>0</v>
      </c>
      <c r="X286" s="79">
        <f>'Core Loads'!X368</f>
        <v>0</v>
      </c>
      <c r="Y286" s="79">
        <f>'Core Loads'!Y368</f>
        <v>0</v>
      </c>
      <c r="Z286" s="79">
        <f>'Core Loads'!Z368</f>
        <v>0</v>
      </c>
      <c r="AA286" s="79">
        <f>'Core Loads'!AA368</f>
        <v>0</v>
      </c>
      <c r="AB286" s="79">
        <f>'Core Loads'!AB368</f>
        <v>0</v>
      </c>
      <c r="AC286" s="79">
        <f>'Core Loads'!AC368</f>
        <v>0</v>
      </c>
      <c r="AD286" s="79">
        <f>'Core Loads'!AD368</f>
        <v>0</v>
      </c>
      <c r="AE286" s="79">
        <f>'Core Loads'!AE368</f>
        <v>0</v>
      </c>
      <c r="AF286" s="79">
        <f>'Core Loads'!AF368</f>
        <v>0</v>
      </c>
      <c r="AG286"/>
      <c r="AH286" s="17" t="s">
        <v>279</v>
      </c>
    </row>
    <row r="287" spans="2:34" hidden="1" outlineLevel="1" x14ac:dyDescent="0.25">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c r="AH287"/>
    </row>
    <row r="288" spans="2:34" ht="15.75" hidden="1" outlineLevel="1" thickBot="1" x14ac:dyDescent="0.3">
      <c r="B288" s="28" t="s">
        <v>280</v>
      </c>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0"/>
      <c r="AH288" s="20" t="s">
        <v>15</v>
      </c>
    </row>
    <row r="289" spans="2:35" customFormat="1" hidden="1" outlineLevel="1" x14ac:dyDescent="0.25">
      <c r="B289" s="30"/>
      <c r="C289" s="17">
        <v>2025</v>
      </c>
      <c r="D289" s="44">
        <v>2026</v>
      </c>
      <c r="E289" s="44">
        <v>2027</v>
      </c>
      <c r="F289" s="44">
        <v>2028</v>
      </c>
      <c r="G289" s="44">
        <v>2029</v>
      </c>
      <c r="H289" s="44">
        <v>2030</v>
      </c>
      <c r="I289" s="44">
        <v>2031</v>
      </c>
      <c r="J289" s="44">
        <v>2032</v>
      </c>
      <c r="K289" s="44">
        <v>2033</v>
      </c>
      <c r="L289" s="44">
        <v>2034</v>
      </c>
      <c r="M289" s="44">
        <v>2035</v>
      </c>
      <c r="N289" s="44">
        <v>2036</v>
      </c>
      <c r="O289" s="44">
        <v>2037</v>
      </c>
      <c r="P289" s="44">
        <v>2038</v>
      </c>
      <c r="Q289" s="44">
        <v>2039</v>
      </c>
      <c r="R289" s="44">
        <v>2040</v>
      </c>
      <c r="S289" s="44">
        <v>2041</v>
      </c>
      <c r="T289" s="44">
        <v>2042</v>
      </c>
      <c r="U289" s="44">
        <v>2043</v>
      </c>
      <c r="V289" s="44">
        <v>2044</v>
      </c>
      <c r="W289" s="44">
        <v>2045</v>
      </c>
      <c r="X289" s="44">
        <v>2046</v>
      </c>
      <c r="Y289" s="44">
        <v>2047</v>
      </c>
      <c r="Z289" s="44">
        <v>2048</v>
      </c>
      <c r="AA289" s="44">
        <v>2049</v>
      </c>
      <c r="AB289" s="44">
        <v>2050</v>
      </c>
      <c r="AC289" s="44">
        <v>2051</v>
      </c>
      <c r="AD289" s="44">
        <v>2052</v>
      </c>
      <c r="AE289" s="44">
        <v>2053</v>
      </c>
      <c r="AF289" s="44">
        <v>2054</v>
      </c>
      <c r="AG289" s="1"/>
      <c r="AH289" s="1"/>
    </row>
    <row r="290" spans="2:35" hidden="1" outlineLevel="1" x14ac:dyDescent="0.25">
      <c r="B290" s="31" t="s">
        <v>144</v>
      </c>
      <c r="C290" s="79">
        <f>'Core Loads'!C372</f>
        <v>0</v>
      </c>
      <c r="D290" s="79">
        <f>'Core Loads'!D372</f>
        <v>0</v>
      </c>
      <c r="E290" s="79">
        <f>'Core Loads'!E372</f>
        <v>0</v>
      </c>
      <c r="F290" s="79">
        <f>'Core Loads'!F372</f>
        <v>0</v>
      </c>
      <c r="G290" s="79">
        <f>'Core Loads'!G372</f>
        <v>0</v>
      </c>
      <c r="H290" s="79">
        <f>'Core Loads'!H372</f>
        <v>0</v>
      </c>
      <c r="I290" s="79">
        <f>'Core Loads'!I372</f>
        <v>0</v>
      </c>
      <c r="J290" s="79">
        <f>'Core Loads'!J372</f>
        <v>0</v>
      </c>
      <c r="K290" s="79">
        <f>'Core Loads'!K372</f>
        <v>0</v>
      </c>
      <c r="L290" s="79">
        <f>'Core Loads'!L372</f>
        <v>0</v>
      </c>
      <c r="M290" s="79">
        <f>'Core Loads'!M372</f>
        <v>35249419.771615222</v>
      </c>
      <c r="N290" s="79">
        <f>'Core Loads'!N372</f>
        <v>35249419.771615222</v>
      </c>
      <c r="O290" s="79">
        <f>'Core Loads'!O372</f>
        <v>35249419.771615222</v>
      </c>
      <c r="P290" s="79">
        <f>'Core Loads'!P372</f>
        <v>35249419.771615222</v>
      </c>
      <c r="Q290" s="79">
        <f>'Core Loads'!Q372</f>
        <v>89605158.712475568</v>
      </c>
      <c r="R290" s="79">
        <f>'Core Loads'!R372</f>
        <v>89605158.712475568</v>
      </c>
      <c r="S290" s="79">
        <f>'Core Loads'!S372</f>
        <v>89605158.712475568</v>
      </c>
      <c r="T290" s="79">
        <f>'Core Loads'!T372</f>
        <v>89605158.712475568</v>
      </c>
      <c r="U290" s="79">
        <f>'Core Loads'!U372</f>
        <v>89605158.712475568</v>
      </c>
      <c r="V290" s="79">
        <f>'Core Loads'!V372</f>
        <v>89605158.712475568</v>
      </c>
      <c r="W290" s="79">
        <f>'Core Loads'!W372</f>
        <v>89605158.712475568</v>
      </c>
      <c r="X290" s="79">
        <f>'Core Loads'!X372</f>
        <v>89605158.712475568</v>
      </c>
      <c r="Y290" s="79">
        <f>'Core Loads'!Y372</f>
        <v>89605158.712475568</v>
      </c>
      <c r="Z290" s="79">
        <f>'Core Loads'!Z372</f>
        <v>89605158.712475568</v>
      </c>
      <c r="AA290" s="79">
        <f>'Core Loads'!AA372</f>
        <v>89605158.712475568</v>
      </c>
      <c r="AB290" s="79">
        <f>'Core Loads'!AB372</f>
        <v>89605158.712475568</v>
      </c>
      <c r="AC290" s="79">
        <f>'Core Loads'!AC372</f>
        <v>89605158.712475568</v>
      </c>
      <c r="AD290" s="79">
        <f>'Core Loads'!AD372</f>
        <v>89605158.712475568</v>
      </c>
      <c r="AE290" s="79">
        <f>'Core Loads'!AE372</f>
        <v>89605158.712475568</v>
      </c>
      <c r="AF290" s="79">
        <f>'Core Loads'!AF372</f>
        <v>89605158.712475568</v>
      </c>
      <c r="AG290"/>
      <c r="AH290" s="17" t="s">
        <v>279</v>
      </c>
    </row>
    <row r="291" spans="2:35" hidden="1" outlineLevel="1" x14ac:dyDescent="0.25">
      <c r="B291" s="31" t="s">
        <v>145</v>
      </c>
      <c r="C291" s="79">
        <f>'Core Loads'!C373</f>
        <v>0</v>
      </c>
      <c r="D291" s="79">
        <f>'Core Loads'!D373</f>
        <v>0</v>
      </c>
      <c r="E291" s="79">
        <f>'Core Loads'!E373</f>
        <v>0</v>
      </c>
      <c r="F291" s="79">
        <f>'Core Loads'!F373</f>
        <v>0</v>
      </c>
      <c r="G291" s="79">
        <f>'Core Loads'!G373</f>
        <v>0</v>
      </c>
      <c r="H291" s="79">
        <f>'Core Loads'!H373</f>
        <v>0</v>
      </c>
      <c r="I291" s="79">
        <f>'Core Loads'!I373</f>
        <v>0</v>
      </c>
      <c r="J291" s="79">
        <f>'Core Loads'!J373</f>
        <v>0</v>
      </c>
      <c r="K291" s="79">
        <f>'Core Loads'!K373</f>
        <v>0</v>
      </c>
      <c r="L291" s="79">
        <f>'Core Loads'!L373</f>
        <v>0</v>
      </c>
      <c r="M291" s="79">
        <f>'Core Loads'!M373</f>
        <v>0</v>
      </c>
      <c r="N291" s="79">
        <f>'Core Loads'!N373</f>
        <v>0</v>
      </c>
      <c r="O291" s="79">
        <f>'Core Loads'!O373</f>
        <v>0</v>
      </c>
      <c r="P291" s="79">
        <f>'Core Loads'!P373</f>
        <v>0</v>
      </c>
      <c r="Q291" s="79">
        <f>'Core Loads'!Q373</f>
        <v>11884388.380107559</v>
      </c>
      <c r="R291" s="79">
        <f>'Core Loads'!R373</f>
        <v>11884388.380107559</v>
      </c>
      <c r="S291" s="79">
        <f>'Core Loads'!S373</f>
        <v>11884388.380107559</v>
      </c>
      <c r="T291" s="79">
        <f>'Core Loads'!T373</f>
        <v>11525540.601956299</v>
      </c>
      <c r="U291" s="79">
        <f>'Core Loads'!U373</f>
        <v>11525540.601956299</v>
      </c>
      <c r="V291" s="79">
        <f>'Core Loads'!V373</f>
        <v>11525540.601956299</v>
      </c>
      <c r="W291" s="79">
        <f>'Core Loads'!W373</f>
        <v>11525540.601956299</v>
      </c>
      <c r="X291" s="79">
        <f>'Core Loads'!X373</f>
        <v>11525540.601956299</v>
      </c>
      <c r="Y291" s="79">
        <f>'Core Loads'!Y373</f>
        <v>11525540.601956299</v>
      </c>
      <c r="Z291" s="79">
        <f>'Core Loads'!Z373</f>
        <v>11525540.601956299</v>
      </c>
      <c r="AA291" s="79">
        <f>'Core Loads'!AA373</f>
        <v>11525540.601956299</v>
      </c>
      <c r="AB291" s="79">
        <f>'Core Loads'!AB373</f>
        <v>11525540.601956299</v>
      </c>
      <c r="AC291" s="79">
        <f>'Core Loads'!AC373</f>
        <v>11525540.601956299</v>
      </c>
      <c r="AD291" s="79">
        <f>'Core Loads'!AD373</f>
        <v>11525540.601956299</v>
      </c>
      <c r="AE291" s="79">
        <f>'Core Loads'!AE373</f>
        <v>11525540.601956299</v>
      </c>
      <c r="AF291" s="79">
        <f>'Core Loads'!AF373</f>
        <v>11525540.601956299</v>
      </c>
      <c r="AG291"/>
      <c r="AH291" s="17" t="s">
        <v>279</v>
      </c>
    </row>
    <row r="292" spans="2:35" customFormat="1" hidden="1" outlineLevel="1" x14ac:dyDescent="0.25">
      <c r="B292" s="31" t="s">
        <v>244</v>
      </c>
      <c r="C292" s="79">
        <f>'Core Loads'!C374</f>
        <v>0</v>
      </c>
      <c r="D292" s="79">
        <f>'Core Loads'!D374</f>
        <v>0</v>
      </c>
      <c r="E292" s="79">
        <f>'Core Loads'!E374</f>
        <v>0</v>
      </c>
      <c r="F292" s="79">
        <f>'Core Loads'!F374</f>
        <v>0</v>
      </c>
      <c r="G292" s="79">
        <f>'Core Loads'!G374</f>
        <v>0</v>
      </c>
      <c r="H292" s="79">
        <f>'Core Loads'!H374</f>
        <v>4717161.5</v>
      </c>
      <c r="I292" s="79">
        <f>'Core Loads'!I374</f>
        <v>4717161.5</v>
      </c>
      <c r="J292" s="79">
        <f>'Core Loads'!J374</f>
        <v>4717161.5</v>
      </c>
      <c r="K292" s="79">
        <f>'Core Loads'!K374</f>
        <v>4717161.5</v>
      </c>
      <c r="L292" s="79">
        <f>'Core Loads'!L374</f>
        <v>4717161.5</v>
      </c>
      <c r="M292" s="79">
        <f>'Core Loads'!M374</f>
        <v>31998292.333333336</v>
      </c>
      <c r="N292" s="79">
        <f>'Core Loads'!N374</f>
        <v>29833701.969607845</v>
      </c>
      <c r="O292" s="79">
        <f>'Core Loads'!O374</f>
        <v>29833701.969607845</v>
      </c>
      <c r="P292" s="79">
        <f>'Core Loads'!P374</f>
        <v>28875000.884313725</v>
      </c>
      <c r="Q292" s="79">
        <f>'Core Loads'!Q374</f>
        <v>28875000.884313725</v>
      </c>
      <c r="R292" s="79">
        <f>'Core Loads'!R374</f>
        <v>28875000.884313725</v>
      </c>
      <c r="S292" s="79">
        <f>'Core Loads'!S374</f>
        <v>28875000.884313725</v>
      </c>
      <c r="T292" s="79">
        <f>'Core Loads'!T374</f>
        <v>28875000.884313725</v>
      </c>
      <c r="U292" s="79">
        <f>'Core Loads'!U374</f>
        <v>28875000.884313725</v>
      </c>
      <c r="V292" s="79">
        <f>'Core Loads'!V374</f>
        <v>28875000.884313725</v>
      </c>
      <c r="W292" s="79">
        <f>'Core Loads'!W374</f>
        <v>28875000.884313725</v>
      </c>
      <c r="X292" s="79">
        <f>'Core Loads'!X374</f>
        <v>28875000.884313725</v>
      </c>
      <c r="Y292" s="79">
        <f>'Core Loads'!Y374</f>
        <v>28875000.884313725</v>
      </c>
      <c r="Z292" s="79">
        <f>'Core Loads'!Z374</f>
        <v>28875000.884313725</v>
      </c>
      <c r="AA292" s="79">
        <f>'Core Loads'!AA374</f>
        <v>28875000.884313725</v>
      </c>
      <c r="AB292" s="79">
        <f>'Core Loads'!AB374</f>
        <v>28875000.884313725</v>
      </c>
      <c r="AC292" s="79">
        <f>'Core Loads'!AC374</f>
        <v>28875000.884313725</v>
      </c>
      <c r="AD292" s="79">
        <f>'Core Loads'!AD374</f>
        <v>28875000.884313725</v>
      </c>
      <c r="AE292" s="79">
        <f>'Core Loads'!AE374</f>
        <v>28875000.884313725</v>
      </c>
      <c r="AF292" s="79">
        <f>'Core Loads'!AF374</f>
        <v>28875000.884313725</v>
      </c>
      <c r="AH292" s="17" t="s">
        <v>279</v>
      </c>
    </row>
    <row r="293" spans="2:35" hidden="1" outlineLevel="1" x14ac:dyDescent="0.25">
      <c r="B293" s="31" t="s">
        <v>147</v>
      </c>
      <c r="C293" s="79">
        <f>'Core Loads'!C375</f>
        <v>0</v>
      </c>
      <c r="D293" s="79">
        <f>'Core Loads'!D375</f>
        <v>0</v>
      </c>
      <c r="E293" s="79">
        <f>'Core Loads'!E375</f>
        <v>0</v>
      </c>
      <c r="F293" s="79">
        <f>'Core Loads'!F375</f>
        <v>0</v>
      </c>
      <c r="G293" s="79">
        <f>'Core Loads'!G375</f>
        <v>0</v>
      </c>
      <c r="H293" s="79">
        <f>'Core Loads'!H375</f>
        <v>0</v>
      </c>
      <c r="I293" s="79">
        <f>'Core Loads'!I375</f>
        <v>0</v>
      </c>
      <c r="J293" s="79">
        <f>'Core Loads'!J375</f>
        <v>0</v>
      </c>
      <c r="K293" s="79">
        <f>'Core Loads'!K375</f>
        <v>0</v>
      </c>
      <c r="L293" s="79">
        <f>'Core Loads'!L375</f>
        <v>0</v>
      </c>
      <c r="M293" s="79">
        <f>'Core Loads'!M375</f>
        <v>0</v>
      </c>
      <c r="N293" s="79">
        <f>'Core Loads'!N375</f>
        <v>0</v>
      </c>
      <c r="O293" s="79">
        <f>'Core Loads'!O375</f>
        <v>0</v>
      </c>
      <c r="P293" s="79">
        <f>'Core Loads'!P375</f>
        <v>0</v>
      </c>
      <c r="Q293" s="79">
        <f>'Core Loads'!Q375</f>
        <v>0</v>
      </c>
      <c r="R293" s="79">
        <f>'Core Loads'!R375</f>
        <v>0</v>
      </c>
      <c r="S293" s="79">
        <f>'Core Loads'!S375</f>
        <v>0</v>
      </c>
      <c r="T293" s="79">
        <f>'Core Loads'!T375</f>
        <v>0</v>
      </c>
      <c r="U293" s="79">
        <f>'Core Loads'!U375</f>
        <v>0</v>
      </c>
      <c r="V293" s="79">
        <f>'Core Loads'!V375</f>
        <v>0</v>
      </c>
      <c r="W293" s="79">
        <f>'Core Loads'!W375</f>
        <v>0</v>
      </c>
      <c r="X293" s="79">
        <f>'Core Loads'!X375</f>
        <v>0</v>
      </c>
      <c r="Y293" s="79">
        <f>'Core Loads'!Y375</f>
        <v>0</v>
      </c>
      <c r="Z293" s="79">
        <f>'Core Loads'!Z375</f>
        <v>0</v>
      </c>
      <c r="AA293" s="79">
        <f>'Core Loads'!AA375</f>
        <v>0</v>
      </c>
      <c r="AB293" s="79">
        <f>'Core Loads'!AB375</f>
        <v>0</v>
      </c>
      <c r="AC293" s="79">
        <f>'Core Loads'!AC375</f>
        <v>0</v>
      </c>
      <c r="AD293" s="79">
        <f>'Core Loads'!AD375</f>
        <v>0</v>
      </c>
      <c r="AE293" s="79">
        <f>'Core Loads'!AE375</f>
        <v>0</v>
      </c>
      <c r="AF293" s="79">
        <f>'Core Loads'!AF375</f>
        <v>0</v>
      </c>
      <c r="AG293"/>
      <c r="AH293" s="17" t="s">
        <v>279</v>
      </c>
    </row>
    <row r="294" spans="2:35" hidden="1" outlineLevel="1" x14ac:dyDescent="0.25">
      <c r="B294" s="31" t="s">
        <v>245</v>
      </c>
      <c r="C294" s="79">
        <f>'Core Loads'!C376</f>
        <v>0</v>
      </c>
      <c r="D294" s="79">
        <f>'Core Loads'!D376</f>
        <v>0</v>
      </c>
      <c r="E294" s="79">
        <f>'Core Loads'!E376</f>
        <v>0</v>
      </c>
      <c r="F294" s="79">
        <f>'Core Loads'!F376</f>
        <v>0</v>
      </c>
      <c r="G294" s="79">
        <f>'Core Loads'!G376</f>
        <v>0</v>
      </c>
      <c r="H294" s="79">
        <f>'Core Loads'!H376</f>
        <v>0</v>
      </c>
      <c r="I294" s="79">
        <f>'Core Loads'!I376</f>
        <v>0</v>
      </c>
      <c r="J294" s="79">
        <f>'Core Loads'!J376</f>
        <v>0</v>
      </c>
      <c r="K294" s="79">
        <f>'Core Loads'!K376</f>
        <v>0</v>
      </c>
      <c r="L294" s="79">
        <f>'Core Loads'!L376</f>
        <v>0</v>
      </c>
      <c r="M294" s="79">
        <f>'Core Loads'!M376</f>
        <v>0</v>
      </c>
      <c r="N294" s="79">
        <f>'Core Loads'!N376</f>
        <v>0</v>
      </c>
      <c r="O294" s="79">
        <f>'Core Loads'!O376</f>
        <v>0</v>
      </c>
      <c r="P294" s="79">
        <f>'Core Loads'!P376</f>
        <v>0</v>
      </c>
      <c r="Q294" s="79">
        <f>'Core Loads'!Q376</f>
        <v>0</v>
      </c>
      <c r="R294" s="79">
        <f>'Core Loads'!R376</f>
        <v>4623100.2231905619</v>
      </c>
      <c r="S294" s="79">
        <f>'Core Loads'!S376</f>
        <v>4623100.2231905619</v>
      </c>
      <c r="T294" s="79">
        <f>'Core Loads'!T376</f>
        <v>4623100.2231905619</v>
      </c>
      <c r="U294" s="79">
        <f>'Core Loads'!U376</f>
        <v>4623100.2231905619</v>
      </c>
      <c r="V294" s="79">
        <f>'Core Loads'!V376</f>
        <v>4623100.2231905619</v>
      </c>
      <c r="W294" s="79">
        <f>'Core Loads'!W376</f>
        <v>4623100.2231905619</v>
      </c>
      <c r="X294" s="79">
        <f>'Core Loads'!X376</f>
        <v>4623100.2231905619</v>
      </c>
      <c r="Y294" s="79">
        <f>'Core Loads'!Y376</f>
        <v>4623100.2231905619</v>
      </c>
      <c r="Z294" s="79">
        <f>'Core Loads'!Z376</f>
        <v>4623100.2231905619</v>
      </c>
      <c r="AA294" s="79">
        <f>'Core Loads'!AA376</f>
        <v>4623100.2231905619</v>
      </c>
      <c r="AB294" s="79">
        <f>'Core Loads'!AB376</f>
        <v>4623100.2231905619</v>
      </c>
      <c r="AC294" s="79">
        <f>'Core Loads'!AC376</f>
        <v>4623100.2231905619</v>
      </c>
      <c r="AD294" s="79">
        <f>'Core Loads'!AD376</f>
        <v>4623100.2231905619</v>
      </c>
      <c r="AE294" s="79">
        <f>'Core Loads'!AE376</f>
        <v>4623100.2231905619</v>
      </c>
      <c r="AF294" s="79">
        <f>'Core Loads'!AF376</f>
        <v>4623100.2231905619</v>
      </c>
      <c r="AG294"/>
      <c r="AH294" s="17" t="s">
        <v>279</v>
      </c>
    </row>
    <row r="295" spans="2:35" hidden="1" outlineLevel="1" x14ac:dyDescent="0.25">
      <c r="B295" s="31" t="s">
        <v>149</v>
      </c>
      <c r="C295" s="79">
        <f>'Core Loads'!C377</f>
        <v>0</v>
      </c>
      <c r="D295" s="79">
        <f>'Core Loads'!D377</f>
        <v>0</v>
      </c>
      <c r="E295" s="79">
        <f>'Core Loads'!E377</f>
        <v>0</v>
      </c>
      <c r="F295" s="79">
        <f>'Core Loads'!F377</f>
        <v>0</v>
      </c>
      <c r="G295" s="79">
        <f>'Core Loads'!G377</f>
        <v>0</v>
      </c>
      <c r="H295" s="79">
        <f>'Core Loads'!H377</f>
        <v>4717161.5</v>
      </c>
      <c r="I295" s="79">
        <f>'Core Loads'!I377</f>
        <v>4717161.5</v>
      </c>
      <c r="J295" s="79">
        <f>'Core Loads'!J377</f>
        <v>4717161.5</v>
      </c>
      <c r="K295" s="79">
        <f>'Core Loads'!K377</f>
        <v>4717161.5</v>
      </c>
      <c r="L295" s="79">
        <f>'Core Loads'!L377</f>
        <v>4717161.5</v>
      </c>
      <c r="M295" s="79">
        <f>'Core Loads'!M377</f>
        <v>67247712.10494855</v>
      </c>
      <c r="N295" s="79">
        <f>'Core Loads'!N377</f>
        <v>65083121.741223067</v>
      </c>
      <c r="O295" s="79">
        <f>'Core Loads'!O377</f>
        <v>65083121.741223067</v>
      </c>
      <c r="P295" s="79">
        <f>'Core Loads'!P377</f>
        <v>64124420.655928947</v>
      </c>
      <c r="Q295" s="79">
        <f>'Core Loads'!Q377</f>
        <v>130364547.97689685</v>
      </c>
      <c r="R295" s="79">
        <f>'Core Loads'!R377</f>
        <v>134987648.20008743</v>
      </c>
      <c r="S295" s="79">
        <f>'Core Loads'!S377</f>
        <v>134987648.20008743</v>
      </c>
      <c r="T295" s="79">
        <f>'Core Loads'!T377</f>
        <v>134628800.42193615</v>
      </c>
      <c r="U295" s="79">
        <f>'Core Loads'!U377</f>
        <v>134628800.42193615</v>
      </c>
      <c r="V295" s="79">
        <f>'Core Loads'!V377</f>
        <v>134628800.42193615</v>
      </c>
      <c r="W295" s="79">
        <f>'Core Loads'!W377</f>
        <v>134628800.42193615</v>
      </c>
      <c r="X295" s="79">
        <f>'Core Loads'!X377</f>
        <v>134628800.42193615</v>
      </c>
      <c r="Y295" s="79">
        <f>'Core Loads'!Y377</f>
        <v>134628800.42193615</v>
      </c>
      <c r="Z295" s="79">
        <f>'Core Loads'!Z377</f>
        <v>134628800.42193615</v>
      </c>
      <c r="AA295" s="79">
        <f>'Core Loads'!AA377</f>
        <v>134628800.42193615</v>
      </c>
      <c r="AB295" s="79">
        <f>'Core Loads'!AB377</f>
        <v>134628800.42193615</v>
      </c>
      <c r="AC295" s="79">
        <f>'Core Loads'!AC377</f>
        <v>134628800.42193615</v>
      </c>
      <c r="AD295" s="79">
        <f>'Core Loads'!AD377</f>
        <v>134628800.42193615</v>
      </c>
      <c r="AE295" s="79">
        <f>'Core Loads'!AE377</f>
        <v>134628800.42193615</v>
      </c>
      <c r="AF295" s="79">
        <f>'Core Loads'!AF377</f>
        <v>134628800.42193615</v>
      </c>
      <c r="AG295"/>
      <c r="AH295" s="17" t="s">
        <v>279</v>
      </c>
    </row>
    <row r="296" spans="2:35" hidden="1" outlineLevel="1" x14ac:dyDescent="0.25">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c r="AH296"/>
    </row>
    <row r="297" spans="2:35" hidden="1" outlineLevel="1" x14ac:dyDescent="0.25">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c r="AH297"/>
    </row>
    <row r="298" spans="2:35" ht="17.25" hidden="1" outlineLevel="1" thickBot="1" x14ac:dyDescent="0.3">
      <c r="B298" s="26" t="s">
        <v>282</v>
      </c>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row>
    <row r="299" spans="2:35" ht="16.5" hidden="1" outlineLevel="1" thickTop="1" thickBot="1" x14ac:dyDescent="0.3">
      <c r="B299" s="28" t="s">
        <v>278</v>
      </c>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0"/>
      <c r="AH299" s="20" t="s">
        <v>15</v>
      </c>
    </row>
    <row r="300" spans="2:35" customFormat="1" hidden="1" outlineLevel="1" x14ac:dyDescent="0.25">
      <c r="B300" s="30"/>
      <c r="C300" s="17">
        <v>2025</v>
      </c>
      <c r="D300" s="44">
        <v>2026</v>
      </c>
      <c r="E300" s="44">
        <v>2027</v>
      </c>
      <c r="F300" s="44">
        <v>2028</v>
      </c>
      <c r="G300" s="44">
        <v>2029</v>
      </c>
      <c r="H300" s="44">
        <v>2030</v>
      </c>
      <c r="I300" s="44">
        <v>2031</v>
      </c>
      <c r="J300" s="44">
        <v>2032</v>
      </c>
      <c r="K300" s="44">
        <v>2033</v>
      </c>
      <c r="L300" s="44">
        <v>2034</v>
      </c>
      <c r="M300" s="44">
        <v>2035</v>
      </c>
      <c r="N300" s="44">
        <v>2036</v>
      </c>
      <c r="O300" s="44">
        <v>2037</v>
      </c>
      <c r="P300" s="44">
        <v>2038</v>
      </c>
      <c r="Q300" s="44">
        <v>2039</v>
      </c>
      <c r="R300" s="44">
        <v>2040</v>
      </c>
      <c r="S300" s="44">
        <v>2041</v>
      </c>
      <c r="T300" s="44">
        <v>2042</v>
      </c>
      <c r="U300" s="44">
        <v>2043</v>
      </c>
      <c r="V300" s="44">
        <v>2044</v>
      </c>
      <c r="W300" s="44">
        <v>2045</v>
      </c>
      <c r="X300" s="44">
        <v>2046</v>
      </c>
      <c r="Y300" s="44">
        <v>2047</v>
      </c>
      <c r="Z300" s="44">
        <v>2048</v>
      </c>
      <c r="AA300" s="44">
        <v>2049</v>
      </c>
      <c r="AB300" s="44">
        <v>2050</v>
      </c>
      <c r="AC300" s="44">
        <v>2051</v>
      </c>
      <c r="AD300" s="44">
        <v>2052</v>
      </c>
      <c r="AE300" s="44">
        <v>2053</v>
      </c>
      <c r="AF300" s="44">
        <v>2054</v>
      </c>
      <c r="AH300" s="1"/>
      <c r="AI300" s="1"/>
    </row>
    <row r="301" spans="2:35" hidden="1" outlineLevel="1" x14ac:dyDescent="0.25">
      <c r="B301" s="31" t="s">
        <v>144</v>
      </c>
      <c r="C301" s="79">
        <f>'Core Loads'!C383</f>
        <v>342242.65102078754</v>
      </c>
      <c r="D301" s="79">
        <f>'Core Loads'!D383</f>
        <v>342242.65102078754</v>
      </c>
      <c r="E301" s="79">
        <f>'Core Loads'!E383</f>
        <v>342242.65102078754</v>
      </c>
      <c r="F301" s="79">
        <f>'Core Loads'!F383</f>
        <v>305603.30209601083</v>
      </c>
      <c r="G301" s="79">
        <f>'Core Loads'!G383</f>
        <v>305603.30209601083</v>
      </c>
      <c r="H301" s="79">
        <f>'Core Loads'!H383</f>
        <v>301207.80852934415</v>
      </c>
      <c r="I301" s="79">
        <f>'Core Loads'!I383</f>
        <v>301207.80852934415</v>
      </c>
      <c r="J301" s="79">
        <f>'Core Loads'!J383</f>
        <v>291945.6620454957</v>
      </c>
      <c r="K301" s="79">
        <f>'Core Loads'!K383</f>
        <v>291945.6620454957</v>
      </c>
      <c r="L301" s="79">
        <f>'Core Loads'!L383</f>
        <v>291945.6620454957</v>
      </c>
      <c r="M301" s="79">
        <f>'Core Loads'!M383</f>
        <v>171048.38041967916</v>
      </c>
      <c r="N301" s="79">
        <f>'Core Loads'!N383</f>
        <v>171048.38041967916</v>
      </c>
      <c r="O301" s="79">
        <f>'Core Loads'!O383</f>
        <v>171048.38041967916</v>
      </c>
      <c r="P301" s="79">
        <f>'Core Loads'!P383</f>
        <v>171048.38041967916</v>
      </c>
      <c r="Q301" s="79">
        <f>'Core Loads'!Q383</f>
        <v>0</v>
      </c>
      <c r="R301" s="79">
        <f>'Core Loads'!R383</f>
        <v>0</v>
      </c>
      <c r="S301" s="79">
        <f>'Core Loads'!S383</f>
        <v>0</v>
      </c>
      <c r="T301" s="79">
        <f>'Core Loads'!T383</f>
        <v>0</v>
      </c>
      <c r="U301" s="79">
        <f>'Core Loads'!U383</f>
        <v>0</v>
      </c>
      <c r="V301" s="79">
        <f>'Core Loads'!V383</f>
        <v>0</v>
      </c>
      <c r="W301" s="79">
        <f>'Core Loads'!W383</f>
        <v>0</v>
      </c>
      <c r="X301" s="79">
        <f>'Core Loads'!X383</f>
        <v>0</v>
      </c>
      <c r="Y301" s="79">
        <f>'Core Loads'!Y383</f>
        <v>0</v>
      </c>
      <c r="Z301" s="79">
        <f>'Core Loads'!Z383</f>
        <v>0</v>
      </c>
      <c r="AA301" s="79">
        <f>'Core Loads'!AA383</f>
        <v>0</v>
      </c>
      <c r="AB301" s="79">
        <f>'Core Loads'!AB383</f>
        <v>0</v>
      </c>
      <c r="AC301" s="79">
        <f>'Core Loads'!AC383</f>
        <v>0</v>
      </c>
      <c r="AD301" s="79">
        <f>'Core Loads'!AD383</f>
        <v>0</v>
      </c>
      <c r="AE301" s="79">
        <f>'Core Loads'!AE383</f>
        <v>0</v>
      </c>
      <c r="AF301" s="79">
        <f>'Core Loads'!AF383</f>
        <v>0</v>
      </c>
      <c r="AG301"/>
      <c r="AH301" s="17" t="s">
        <v>279</v>
      </c>
    </row>
    <row r="302" spans="2:35" customFormat="1" hidden="1" outlineLevel="1" x14ac:dyDescent="0.25">
      <c r="B302" s="31" t="s">
        <v>145</v>
      </c>
      <c r="C302" s="79">
        <f>'Core Loads'!C384</f>
        <v>98109.353104549853</v>
      </c>
      <c r="D302" s="79">
        <f>'Core Loads'!D384</f>
        <v>98109.353104549853</v>
      </c>
      <c r="E302" s="79">
        <f>'Core Loads'!E384</f>
        <v>98109.353104549853</v>
      </c>
      <c r="F302" s="79">
        <f>'Core Loads'!F384</f>
        <v>98109.353104549853</v>
      </c>
      <c r="G302" s="79">
        <f>'Core Loads'!G384</f>
        <v>98109.353104549853</v>
      </c>
      <c r="H302" s="79">
        <f>'Core Loads'!H384</f>
        <v>98109.353104549853</v>
      </c>
      <c r="I302" s="79">
        <f>'Core Loads'!I384</f>
        <v>98109.353104549853</v>
      </c>
      <c r="J302" s="79">
        <f>'Core Loads'!J384</f>
        <v>98109.353104549853</v>
      </c>
      <c r="K302" s="79">
        <f>'Core Loads'!K384</f>
        <v>98109.353104549853</v>
      </c>
      <c r="L302" s="79">
        <f>'Core Loads'!L384</f>
        <v>87477.430959262143</v>
      </c>
      <c r="M302" s="79">
        <f>'Core Loads'!M384</f>
        <v>87477.430959262143</v>
      </c>
      <c r="N302" s="79">
        <f>'Core Loads'!N384</f>
        <v>87477.430959262143</v>
      </c>
      <c r="O302" s="79">
        <f>'Core Loads'!O384</f>
        <v>87477.430959262143</v>
      </c>
      <c r="P302" s="79">
        <f>'Core Loads'!P384</f>
        <v>87287.517599226805</v>
      </c>
      <c r="Q302" s="79">
        <f>'Core Loads'!Q384</f>
        <v>0</v>
      </c>
      <c r="R302" s="79">
        <f>'Core Loads'!R384</f>
        <v>0</v>
      </c>
      <c r="S302" s="79">
        <f>'Core Loads'!S384</f>
        <v>0</v>
      </c>
      <c r="T302" s="79">
        <f>'Core Loads'!T384</f>
        <v>0</v>
      </c>
      <c r="U302" s="79">
        <f>'Core Loads'!U384</f>
        <v>0</v>
      </c>
      <c r="V302" s="79">
        <f>'Core Loads'!V384</f>
        <v>0</v>
      </c>
      <c r="W302" s="79">
        <f>'Core Loads'!W384</f>
        <v>0</v>
      </c>
      <c r="X302" s="79">
        <f>'Core Loads'!X384</f>
        <v>0</v>
      </c>
      <c r="Y302" s="79">
        <f>'Core Loads'!Y384</f>
        <v>0</v>
      </c>
      <c r="Z302" s="79">
        <f>'Core Loads'!Z384</f>
        <v>0</v>
      </c>
      <c r="AA302" s="79">
        <f>'Core Loads'!AA384</f>
        <v>0</v>
      </c>
      <c r="AB302" s="79">
        <f>'Core Loads'!AB384</f>
        <v>0</v>
      </c>
      <c r="AC302" s="79">
        <f>'Core Loads'!AC384</f>
        <v>0</v>
      </c>
      <c r="AD302" s="79">
        <f>'Core Loads'!AD384</f>
        <v>0</v>
      </c>
      <c r="AE302" s="79">
        <f>'Core Loads'!AE384</f>
        <v>0</v>
      </c>
      <c r="AF302" s="79">
        <f>'Core Loads'!AF384</f>
        <v>0</v>
      </c>
      <c r="AH302" s="17" t="s">
        <v>279</v>
      </c>
    </row>
    <row r="303" spans="2:35" hidden="1" outlineLevel="1" x14ac:dyDescent="0.25">
      <c r="B303" s="31" t="s">
        <v>244</v>
      </c>
      <c r="C303" s="79">
        <f>'Core Loads'!C385</f>
        <v>249408.4642786741</v>
      </c>
      <c r="D303" s="79">
        <f>'Core Loads'!D385</f>
        <v>249408.4642786741</v>
      </c>
      <c r="E303" s="79">
        <f>'Core Loads'!E385</f>
        <v>249408.4642786741</v>
      </c>
      <c r="F303" s="79">
        <f>'Core Loads'!F385</f>
        <v>271089.76978868787</v>
      </c>
      <c r="G303" s="79">
        <f>'Core Loads'!G385</f>
        <v>271089.76978868787</v>
      </c>
      <c r="H303" s="79">
        <f>'Core Loads'!H385</f>
        <v>143967.48679243695</v>
      </c>
      <c r="I303" s="79">
        <f>'Core Loads'!I385</f>
        <v>143967.48679243695</v>
      </c>
      <c r="J303" s="79">
        <f>'Core Loads'!J385</f>
        <v>128749.73854326934</v>
      </c>
      <c r="K303" s="79">
        <f>'Core Loads'!K385</f>
        <v>128749.73854326934</v>
      </c>
      <c r="L303" s="79">
        <f>'Core Loads'!L385</f>
        <v>128749.73854326934</v>
      </c>
      <c r="M303" s="79">
        <f>'Core Loads'!M385</f>
        <v>25437.408615120967</v>
      </c>
      <c r="N303" s="79">
        <f>'Core Loads'!N385</f>
        <v>23970.958709958686</v>
      </c>
      <c r="O303" s="79">
        <f>'Core Loads'!O385</f>
        <v>23970.958709958686</v>
      </c>
      <c r="P303" s="79">
        <f>'Core Loads'!P385</f>
        <v>23638.245441036677</v>
      </c>
      <c r="Q303" s="79">
        <f>'Core Loads'!Q385</f>
        <v>0</v>
      </c>
      <c r="R303" s="79">
        <f>'Core Loads'!R385</f>
        <v>0</v>
      </c>
      <c r="S303" s="79">
        <f>'Core Loads'!S385</f>
        <v>0</v>
      </c>
      <c r="T303" s="79">
        <f>'Core Loads'!T385</f>
        <v>0</v>
      </c>
      <c r="U303" s="79">
        <f>'Core Loads'!U385</f>
        <v>0</v>
      </c>
      <c r="V303" s="79">
        <f>'Core Loads'!V385</f>
        <v>0</v>
      </c>
      <c r="W303" s="79">
        <f>'Core Loads'!W385</f>
        <v>0</v>
      </c>
      <c r="X303" s="79">
        <f>'Core Loads'!X385</f>
        <v>0</v>
      </c>
      <c r="Y303" s="79">
        <f>'Core Loads'!Y385</f>
        <v>0</v>
      </c>
      <c r="Z303" s="79">
        <f>'Core Loads'!Z385</f>
        <v>0</v>
      </c>
      <c r="AA303" s="79">
        <f>'Core Loads'!AA385</f>
        <v>0</v>
      </c>
      <c r="AB303" s="79">
        <f>'Core Loads'!AB385</f>
        <v>0</v>
      </c>
      <c r="AC303" s="79">
        <f>'Core Loads'!AC385</f>
        <v>0</v>
      </c>
      <c r="AD303" s="79">
        <f>'Core Loads'!AD385</f>
        <v>0</v>
      </c>
      <c r="AE303" s="79">
        <f>'Core Loads'!AE385</f>
        <v>0</v>
      </c>
      <c r="AF303" s="79">
        <f>'Core Loads'!AF385</f>
        <v>0</v>
      </c>
      <c r="AG303"/>
      <c r="AH303" s="17" t="s">
        <v>279</v>
      </c>
    </row>
    <row r="304" spans="2:35" hidden="1" outlineLevel="1" x14ac:dyDescent="0.25">
      <c r="B304" s="31" t="s">
        <v>147</v>
      </c>
      <c r="C304" s="79">
        <f>'Core Loads'!C386</f>
        <v>0</v>
      </c>
      <c r="D304" s="79">
        <f>'Core Loads'!D386</f>
        <v>0</v>
      </c>
      <c r="E304" s="79">
        <f>'Core Loads'!E386</f>
        <v>0</v>
      </c>
      <c r="F304" s="79">
        <f>'Core Loads'!F386</f>
        <v>0</v>
      </c>
      <c r="G304" s="79">
        <f>'Core Loads'!G386</f>
        <v>0</v>
      </c>
      <c r="H304" s="79">
        <f>'Core Loads'!H386</f>
        <v>0</v>
      </c>
      <c r="I304" s="79">
        <f>'Core Loads'!I386</f>
        <v>0</v>
      </c>
      <c r="J304" s="79">
        <f>'Core Loads'!J386</f>
        <v>0</v>
      </c>
      <c r="K304" s="79">
        <f>'Core Loads'!K386</f>
        <v>0</v>
      </c>
      <c r="L304" s="79">
        <f>'Core Loads'!L386</f>
        <v>0</v>
      </c>
      <c r="M304" s="79">
        <f>'Core Loads'!M386</f>
        <v>0</v>
      </c>
      <c r="N304" s="79">
        <f>'Core Loads'!N386</f>
        <v>0</v>
      </c>
      <c r="O304" s="79">
        <f>'Core Loads'!O386</f>
        <v>0</v>
      </c>
      <c r="P304" s="79">
        <f>'Core Loads'!P386</f>
        <v>0</v>
      </c>
      <c r="Q304" s="79">
        <f>'Core Loads'!Q386</f>
        <v>0</v>
      </c>
      <c r="R304" s="79">
        <f>'Core Loads'!R386</f>
        <v>0</v>
      </c>
      <c r="S304" s="79">
        <f>'Core Loads'!S386</f>
        <v>0</v>
      </c>
      <c r="T304" s="79">
        <f>'Core Loads'!T386</f>
        <v>0</v>
      </c>
      <c r="U304" s="79">
        <f>'Core Loads'!U386</f>
        <v>0</v>
      </c>
      <c r="V304" s="79">
        <f>'Core Loads'!V386</f>
        <v>0</v>
      </c>
      <c r="W304" s="79">
        <f>'Core Loads'!W386</f>
        <v>0</v>
      </c>
      <c r="X304" s="79">
        <f>'Core Loads'!X386</f>
        <v>0</v>
      </c>
      <c r="Y304" s="79">
        <f>'Core Loads'!Y386</f>
        <v>0</v>
      </c>
      <c r="Z304" s="79">
        <f>'Core Loads'!Z386</f>
        <v>0</v>
      </c>
      <c r="AA304" s="79">
        <f>'Core Loads'!AA386</f>
        <v>0</v>
      </c>
      <c r="AB304" s="79">
        <f>'Core Loads'!AB386</f>
        <v>0</v>
      </c>
      <c r="AC304" s="79">
        <f>'Core Loads'!AC386</f>
        <v>0</v>
      </c>
      <c r="AD304" s="79">
        <f>'Core Loads'!AD386</f>
        <v>0</v>
      </c>
      <c r="AE304" s="79">
        <f>'Core Loads'!AE386</f>
        <v>0</v>
      </c>
      <c r="AF304" s="79">
        <f>'Core Loads'!AF386</f>
        <v>0</v>
      </c>
      <c r="AG304"/>
      <c r="AH304" s="17" t="s">
        <v>279</v>
      </c>
    </row>
    <row r="305" spans="2:34" hidden="1" outlineLevel="1" x14ac:dyDescent="0.25">
      <c r="B305" s="31" t="s">
        <v>245</v>
      </c>
      <c r="C305" s="79">
        <f>'Core Loads'!C387</f>
        <v>15010.998282483361</v>
      </c>
      <c r="D305" s="79">
        <f>'Core Loads'!D387</f>
        <v>15010.998282483361</v>
      </c>
      <c r="E305" s="79">
        <f>'Core Loads'!E387</f>
        <v>15010.998282483361</v>
      </c>
      <c r="F305" s="79">
        <f>'Core Loads'!F387</f>
        <v>15010.998282483361</v>
      </c>
      <c r="G305" s="79">
        <f>'Core Loads'!G387</f>
        <v>15010.998282483361</v>
      </c>
      <c r="H305" s="79">
        <f>'Core Loads'!H387</f>
        <v>15010.998282483361</v>
      </c>
      <c r="I305" s="79">
        <f>'Core Loads'!I387</f>
        <v>15010.998282483361</v>
      </c>
      <c r="J305" s="79">
        <f>'Core Loads'!J387</f>
        <v>15010.998282483361</v>
      </c>
      <c r="K305" s="79">
        <f>'Core Loads'!K387</f>
        <v>15010.998282483361</v>
      </c>
      <c r="L305" s="79">
        <f>'Core Loads'!L387</f>
        <v>15010.998282483361</v>
      </c>
      <c r="M305" s="79">
        <f>'Core Loads'!M387</f>
        <v>15010.998282483361</v>
      </c>
      <c r="N305" s="79">
        <f>'Core Loads'!N387</f>
        <v>13436.692112233934</v>
      </c>
      <c r="O305" s="79">
        <f>'Core Loads'!O387</f>
        <v>13436.692112233934</v>
      </c>
      <c r="P305" s="79">
        <f>'Core Loads'!P387</f>
        <v>13436.692112233934</v>
      </c>
      <c r="Q305" s="79">
        <f>'Core Loads'!Q387</f>
        <v>0</v>
      </c>
      <c r="R305" s="79">
        <f>'Core Loads'!R387</f>
        <v>0</v>
      </c>
      <c r="S305" s="79">
        <f>'Core Loads'!S387</f>
        <v>0</v>
      </c>
      <c r="T305" s="79">
        <f>'Core Loads'!T387</f>
        <v>0</v>
      </c>
      <c r="U305" s="79">
        <f>'Core Loads'!U387</f>
        <v>0</v>
      </c>
      <c r="V305" s="79">
        <f>'Core Loads'!V387</f>
        <v>0</v>
      </c>
      <c r="W305" s="79">
        <f>'Core Loads'!W387</f>
        <v>0</v>
      </c>
      <c r="X305" s="79">
        <f>'Core Loads'!X387</f>
        <v>0</v>
      </c>
      <c r="Y305" s="79">
        <f>'Core Loads'!Y387</f>
        <v>0</v>
      </c>
      <c r="Z305" s="79">
        <f>'Core Loads'!Z387</f>
        <v>0</v>
      </c>
      <c r="AA305" s="79">
        <f>'Core Loads'!AA387</f>
        <v>0</v>
      </c>
      <c r="AB305" s="79">
        <f>'Core Loads'!AB387</f>
        <v>0</v>
      </c>
      <c r="AC305" s="79">
        <f>'Core Loads'!AC387</f>
        <v>0</v>
      </c>
      <c r="AD305" s="79">
        <f>'Core Loads'!AD387</f>
        <v>0</v>
      </c>
      <c r="AE305" s="79">
        <f>'Core Loads'!AE387</f>
        <v>0</v>
      </c>
      <c r="AF305" s="79">
        <f>'Core Loads'!AF387</f>
        <v>0</v>
      </c>
      <c r="AG305"/>
      <c r="AH305" s="17" t="s">
        <v>279</v>
      </c>
    </row>
    <row r="306" spans="2:34" hidden="1" outlineLevel="1" x14ac:dyDescent="0.25">
      <c r="B306" s="31" t="s">
        <v>149</v>
      </c>
      <c r="C306" s="79">
        <f>'Core Loads'!C388</f>
        <v>704771.46668649488</v>
      </c>
      <c r="D306" s="79">
        <f>'Core Loads'!D388</f>
        <v>704771.46668649488</v>
      </c>
      <c r="E306" s="79">
        <f>'Core Loads'!E388</f>
        <v>704771.46668649488</v>
      </c>
      <c r="F306" s="79">
        <f>'Core Loads'!F388</f>
        <v>689813.42327173194</v>
      </c>
      <c r="G306" s="79">
        <f>'Core Loads'!G388</f>
        <v>689813.42327173194</v>
      </c>
      <c r="H306" s="79">
        <f>'Core Loads'!H388</f>
        <v>558295.64670881431</v>
      </c>
      <c r="I306" s="79">
        <f>'Core Loads'!I388</f>
        <v>558295.64670881431</v>
      </c>
      <c r="J306" s="79">
        <f>'Core Loads'!J388</f>
        <v>533815.75197579828</v>
      </c>
      <c r="K306" s="79">
        <f>'Core Loads'!K388</f>
        <v>533815.75197579828</v>
      </c>
      <c r="L306" s="79">
        <f>'Core Loads'!L388</f>
        <v>523183.82983051054</v>
      </c>
      <c r="M306" s="79">
        <f>'Core Loads'!M388</f>
        <v>298974.21827654564</v>
      </c>
      <c r="N306" s="79">
        <f>'Core Loads'!N388</f>
        <v>295933.46220113395</v>
      </c>
      <c r="O306" s="79">
        <f>'Core Loads'!O388</f>
        <v>295933.46220113395</v>
      </c>
      <c r="P306" s="79">
        <f>'Core Loads'!P388</f>
        <v>295410.83557217661</v>
      </c>
      <c r="Q306" s="79">
        <f>'Core Loads'!Q388</f>
        <v>0</v>
      </c>
      <c r="R306" s="79">
        <f>'Core Loads'!R388</f>
        <v>0</v>
      </c>
      <c r="S306" s="79">
        <f>'Core Loads'!S388</f>
        <v>0</v>
      </c>
      <c r="T306" s="79">
        <f>'Core Loads'!T388</f>
        <v>0</v>
      </c>
      <c r="U306" s="79">
        <f>'Core Loads'!U388</f>
        <v>0</v>
      </c>
      <c r="V306" s="79">
        <f>'Core Loads'!V388</f>
        <v>0</v>
      </c>
      <c r="W306" s="79">
        <f>'Core Loads'!W388</f>
        <v>0</v>
      </c>
      <c r="X306" s="79">
        <f>'Core Loads'!X388</f>
        <v>0</v>
      </c>
      <c r="Y306" s="79">
        <f>'Core Loads'!Y388</f>
        <v>0</v>
      </c>
      <c r="Z306" s="79">
        <f>'Core Loads'!Z388</f>
        <v>0</v>
      </c>
      <c r="AA306" s="79">
        <f>'Core Loads'!AA388</f>
        <v>0</v>
      </c>
      <c r="AB306" s="79">
        <f>'Core Loads'!AB388</f>
        <v>0</v>
      </c>
      <c r="AC306" s="79">
        <f>'Core Loads'!AC388</f>
        <v>0</v>
      </c>
      <c r="AD306" s="79">
        <f>'Core Loads'!AD388</f>
        <v>0</v>
      </c>
      <c r="AE306" s="79">
        <f>'Core Loads'!AE388</f>
        <v>0</v>
      </c>
      <c r="AF306" s="79">
        <f>'Core Loads'!AF388</f>
        <v>0</v>
      </c>
      <c r="AG306"/>
      <c r="AH306" s="17" t="s">
        <v>279</v>
      </c>
    </row>
    <row r="307" spans="2:34" hidden="1" outlineLevel="1" x14ac:dyDescent="0.25">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row>
    <row r="308" spans="2:34" ht="15.75" hidden="1" outlineLevel="1" thickBot="1" x14ac:dyDescent="0.3">
      <c r="B308" s="28" t="s">
        <v>280</v>
      </c>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0"/>
      <c r="AH308" s="20" t="s">
        <v>15</v>
      </c>
    </row>
    <row r="309" spans="2:34" customFormat="1" hidden="1" outlineLevel="1" x14ac:dyDescent="0.25">
      <c r="B309" s="30"/>
      <c r="C309" s="17">
        <v>2025</v>
      </c>
      <c r="D309" s="44">
        <v>2026</v>
      </c>
      <c r="E309" s="44">
        <v>2027</v>
      </c>
      <c r="F309" s="44">
        <v>2028</v>
      </c>
      <c r="G309" s="44">
        <v>2029</v>
      </c>
      <c r="H309" s="44">
        <v>2030</v>
      </c>
      <c r="I309" s="44">
        <v>2031</v>
      </c>
      <c r="J309" s="44">
        <v>2032</v>
      </c>
      <c r="K309" s="44">
        <v>2033</v>
      </c>
      <c r="L309" s="44">
        <v>2034</v>
      </c>
      <c r="M309" s="44">
        <v>2035</v>
      </c>
      <c r="N309" s="44">
        <v>2036</v>
      </c>
      <c r="O309" s="44">
        <v>2037</v>
      </c>
      <c r="P309" s="44">
        <v>2038</v>
      </c>
      <c r="Q309" s="44">
        <v>2039</v>
      </c>
      <c r="R309" s="44">
        <v>2040</v>
      </c>
      <c r="S309" s="44">
        <v>2041</v>
      </c>
      <c r="T309" s="44">
        <v>2042</v>
      </c>
      <c r="U309" s="44">
        <v>2043</v>
      </c>
      <c r="V309" s="44">
        <v>2044</v>
      </c>
      <c r="W309" s="44">
        <v>2045</v>
      </c>
      <c r="X309" s="44">
        <v>2046</v>
      </c>
      <c r="Y309" s="44">
        <v>2047</v>
      </c>
      <c r="Z309" s="44">
        <v>2048</v>
      </c>
      <c r="AA309" s="44">
        <v>2049</v>
      </c>
      <c r="AB309" s="44">
        <v>2050</v>
      </c>
      <c r="AC309" s="44">
        <v>2051</v>
      </c>
      <c r="AD309" s="44">
        <v>2052</v>
      </c>
      <c r="AE309" s="44">
        <v>2053</v>
      </c>
      <c r="AF309" s="44">
        <v>2054</v>
      </c>
      <c r="AH309" s="1"/>
    </row>
    <row r="310" spans="2:34" hidden="1" outlineLevel="1" x14ac:dyDescent="0.25">
      <c r="B310" s="31" t="s">
        <v>144</v>
      </c>
      <c r="C310" s="79">
        <f>'Core Loads'!C392</f>
        <v>0</v>
      </c>
      <c r="D310" s="79">
        <f>'Core Loads'!D392</f>
        <v>0</v>
      </c>
      <c r="E310" s="79">
        <f>'Core Loads'!E392</f>
        <v>0</v>
      </c>
      <c r="F310" s="79">
        <f>'Core Loads'!F392</f>
        <v>0</v>
      </c>
      <c r="G310" s="79">
        <f>'Core Loads'!G392</f>
        <v>0</v>
      </c>
      <c r="H310" s="79">
        <f>'Core Loads'!H392</f>
        <v>0</v>
      </c>
      <c r="I310" s="79">
        <f>'Core Loads'!I392</f>
        <v>0</v>
      </c>
      <c r="J310" s="79">
        <f>'Core Loads'!J392</f>
        <v>0</v>
      </c>
      <c r="K310" s="79">
        <f>'Core Loads'!K392</f>
        <v>0</v>
      </c>
      <c r="L310" s="79">
        <f>'Core Loads'!L392</f>
        <v>0</v>
      </c>
      <c r="M310" s="79">
        <f>'Core Loads'!M392</f>
        <v>120897.28162581658</v>
      </c>
      <c r="N310" s="79">
        <f>'Core Loads'!N392</f>
        <v>120897.28162581658</v>
      </c>
      <c r="O310" s="79">
        <f>'Core Loads'!O392</f>
        <v>120897.28162581658</v>
      </c>
      <c r="P310" s="79">
        <f>'Core Loads'!P392</f>
        <v>120897.28162581658</v>
      </c>
      <c r="Q310" s="79">
        <f>'Core Loads'!Q392</f>
        <v>291945.6620454957</v>
      </c>
      <c r="R310" s="79">
        <f>'Core Loads'!R392</f>
        <v>291945.6620454957</v>
      </c>
      <c r="S310" s="79">
        <f>'Core Loads'!S392</f>
        <v>291945.6620454957</v>
      </c>
      <c r="T310" s="79">
        <f>'Core Loads'!T392</f>
        <v>291945.6620454957</v>
      </c>
      <c r="U310" s="79">
        <f>'Core Loads'!U392</f>
        <v>291945.6620454957</v>
      </c>
      <c r="V310" s="79">
        <f>'Core Loads'!V392</f>
        <v>291945.6620454957</v>
      </c>
      <c r="W310" s="79">
        <f>'Core Loads'!W392</f>
        <v>291945.6620454957</v>
      </c>
      <c r="X310" s="79">
        <f>'Core Loads'!X392</f>
        <v>291945.6620454957</v>
      </c>
      <c r="Y310" s="79">
        <f>'Core Loads'!Y392</f>
        <v>291945.6620454957</v>
      </c>
      <c r="Z310" s="79">
        <f>'Core Loads'!Z392</f>
        <v>291945.6620454957</v>
      </c>
      <c r="AA310" s="79">
        <f>'Core Loads'!AA392</f>
        <v>291945.6620454957</v>
      </c>
      <c r="AB310" s="79">
        <f>'Core Loads'!AB392</f>
        <v>291945.6620454957</v>
      </c>
      <c r="AC310" s="79">
        <f>'Core Loads'!AC392</f>
        <v>291945.6620454957</v>
      </c>
      <c r="AD310" s="79">
        <f>'Core Loads'!AD392</f>
        <v>291945.6620454957</v>
      </c>
      <c r="AE310" s="79">
        <f>'Core Loads'!AE392</f>
        <v>291945.6620454957</v>
      </c>
      <c r="AF310" s="79">
        <f>'Core Loads'!AF392</f>
        <v>291945.6620454957</v>
      </c>
      <c r="AG310"/>
      <c r="AH310" s="17" t="s">
        <v>279</v>
      </c>
    </row>
    <row r="311" spans="2:34" hidden="1" outlineLevel="1" x14ac:dyDescent="0.25">
      <c r="B311" s="31" t="s">
        <v>145</v>
      </c>
      <c r="C311" s="79">
        <f>'Core Loads'!C393</f>
        <v>0</v>
      </c>
      <c r="D311" s="79">
        <f>'Core Loads'!D393</f>
        <v>0</v>
      </c>
      <c r="E311" s="79">
        <f>'Core Loads'!E393</f>
        <v>0</v>
      </c>
      <c r="F311" s="79">
        <f>'Core Loads'!F393</f>
        <v>0</v>
      </c>
      <c r="G311" s="79">
        <f>'Core Loads'!G393</f>
        <v>0</v>
      </c>
      <c r="H311" s="79">
        <f>'Core Loads'!H393</f>
        <v>0</v>
      </c>
      <c r="I311" s="79">
        <f>'Core Loads'!I393</f>
        <v>0</v>
      </c>
      <c r="J311" s="79">
        <f>'Core Loads'!J393</f>
        <v>0</v>
      </c>
      <c r="K311" s="79">
        <f>'Core Loads'!K393</f>
        <v>0</v>
      </c>
      <c r="L311" s="79">
        <f>'Core Loads'!L393</f>
        <v>0</v>
      </c>
      <c r="M311" s="79">
        <f>'Core Loads'!M393</f>
        <v>0</v>
      </c>
      <c r="N311" s="79">
        <f>'Core Loads'!N393</f>
        <v>0</v>
      </c>
      <c r="O311" s="79">
        <f>'Core Loads'!O393</f>
        <v>0</v>
      </c>
      <c r="P311" s="79">
        <f>'Core Loads'!P393</f>
        <v>0</v>
      </c>
      <c r="Q311" s="79">
        <f>'Core Loads'!Q393</f>
        <v>87287.517599226805</v>
      </c>
      <c r="R311" s="79">
        <f>'Core Loads'!R393</f>
        <v>86872.013217632499</v>
      </c>
      <c r="S311" s="79">
        <f>'Core Loads'!S393</f>
        <v>86872.013217632499</v>
      </c>
      <c r="T311" s="79">
        <f>'Core Loads'!T393</f>
        <v>85195.012122318236</v>
      </c>
      <c r="U311" s="79">
        <f>'Core Loads'!U393</f>
        <v>85195.012122318236</v>
      </c>
      <c r="V311" s="79">
        <f>'Core Loads'!V393</f>
        <v>85195.012122318236</v>
      </c>
      <c r="W311" s="79">
        <f>'Core Loads'!W393</f>
        <v>85195.012122318236</v>
      </c>
      <c r="X311" s="79">
        <f>'Core Loads'!X393</f>
        <v>85195.012122318236</v>
      </c>
      <c r="Y311" s="79">
        <f>'Core Loads'!Y393</f>
        <v>85195.012122318236</v>
      </c>
      <c r="Z311" s="79">
        <f>'Core Loads'!Z393</f>
        <v>85195.012122318236</v>
      </c>
      <c r="AA311" s="79">
        <f>'Core Loads'!AA393</f>
        <v>85195.012122318236</v>
      </c>
      <c r="AB311" s="79">
        <f>'Core Loads'!AB393</f>
        <v>83077.009532805183</v>
      </c>
      <c r="AC311" s="79">
        <f>'Core Loads'!AC393</f>
        <v>83077.009532805183</v>
      </c>
      <c r="AD311" s="79">
        <f>'Core Loads'!AD393</f>
        <v>83077.009532805183</v>
      </c>
      <c r="AE311" s="79">
        <f>'Core Loads'!AE393</f>
        <v>83077.009532805183</v>
      </c>
      <c r="AF311" s="79">
        <f>'Core Loads'!AF393</f>
        <v>83077.009532805183</v>
      </c>
      <c r="AG311"/>
      <c r="AH311" s="17" t="s">
        <v>279</v>
      </c>
    </row>
    <row r="312" spans="2:34" hidden="1" outlineLevel="1" x14ac:dyDescent="0.25">
      <c r="B312" s="31" t="s">
        <v>244</v>
      </c>
      <c r="C312" s="79">
        <f>'Core Loads'!C394</f>
        <v>0</v>
      </c>
      <c r="D312" s="79">
        <f>'Core Loads'!D394</f>
        <v>0</v>
      </c>
      <c r="E312" s="79">
        <f>'Core Loads'!E394</f>
        <v>0</v>
      </c>
      <c r="F312" s="79">
        <f>'Core Loads'!F394</f>
        <v>0</v>
      </c>
      <c r="G312" s="79">
        <f>'Core Loads'!G394</f>
        <v>0</v>
      </c>
      <c r="H312" s="79">
        <f>'Core Loads'!H394</f>
        <v>120595.95328017237</v>
      </c>
      <c r="I312" s="79">
        <f>'Core Loads'!I394</f>
        <v>120595.95328017237</v>
      </c>
      <c r="J312" s="79">
        <f>'Core Loads'!J394</f>
        <v>112719.78622308007</v>
      </c>
      <c r="K312" s="79">
        <f>'Core Loads'!K394</f>
        <v>112719.78622308007</v>
      </c>
      <c r="L312" s="79">
        <f>'Core Loads'!L394</f>
        <v>112719.78622308007</v>
      </c>
      <c r="M312" s="79">
        <f>'Core Loads'!M394</f>
        <v>216032.11615122846</v>
      </c>
      <c r="N312" s="79">
        <f>'Core Loads'!N394</f>
        <v>204189.93160830886</v>
      </c>
      <c r="O312" s="79">
        <f>'Core Loads'!O394</f>
        <v>204189.93160830886</v>
      </c>
      <c r="P312" s="79">
        <f>'Core Loads'!P394</f>
        <v>201456.41053787043</v>
      </c>
      <c r="Q312" s="79">
        <f>'Core Loads'!Q394</f>
        <v>225094.6559789071</v>
      </c>
      <c r="R312" s="79">
        <f>'Core Loads'!R394</f>
        <v>231209.69947117515</v>
      </c>
      <c r="S312" s="79">
        <f>'Core Loads'!S394</f>
        <v>231209.69947117515</v>
      </c>
      <c r="T312" s="79">
        <f>'Core Loads'!T394</f>
        <v>231209.69947117515</v>
      </c>
      <c r="U312" s="79">
        <f>'Core Loads'!U394</f>
        <v>231209.69947117515</v>
      </c>
      <c r="V312" s="79">
        <f>'Core Loads'!V394</f>
        <v>229096.82281032932</v>
      </c>
      <c r="W312" s="79">
        <f>'Core Loads'!W394</f>
        <v>229096.82281032932</v>
      </c>
      <c r="X312" s="79">
        <f>'Core Loads'!X394</f>
        <v>229096.82281032932</v>
      </c>
      <c r="Y312" s="79">
        <f>'Core Loads'!Y394</f>
        <v>229096.82281032932</v>
      </c>
      <c r="Z312" s="79">
        <f>'Core Loads'!Z394</f>
        <v>229096.82281032932</v>
      </c>
      <c r="AA312" s="79">
        <f>'Core Loads'!AA394</f>
        <v>229096.82281032932</v>
      </c>
      <c r="AB312" s="79">
        <f>'Core Loads'!AB394</f>
        <v>229096.82281032932</v>
      </c>
      <c r="AC312" s="79">
        <f>'Core Loads'!AC394</f>
        <v>229096.82281032932</v>
      </c>
      <c r="AD312" s="79">
        <f>'Core Loads'!AD394</f>
        <v>229096.82281032932</v>
      </c>
      <c r="AE312" s="79">
        <f>'Core Loads'!AE394</f>
        <v>229096.82281032932</v>
      </c>
      <c r="AF312" s="79">
        <f>'Core Loads'!AF394</f>
        <v>229096.82281032932</v>
      </c>
      <c r="AG312"/>
      <c r="AH312" s="17" t="s">
        <v>279</v>
      </c>
    </row>
    <row r="313" spans="2:34" hidden="1" outlineLevel="1" x14ac:dyDescent="0.25">
      <c r="B313" s="31" t="s">
        <v>147</v>
      </c>
      <c r="C313" s="79">
        <f>'Core Loads'!C395</f>
        <v>0</v>
      </c>
      <c r="D313" s="79">
        <f>'Core Loads'!D395</f>
        <v>0</v>
      </c>
      <c r="E313" s="79">
        <f>'Core Loads'!E395</f>
        <v>0</v>
      </c>
      <c r="F313" s="79">
        <f>'Core Loads'!F395</f>
        <v>0</v>
      </c>
      <c r="G313" s="79">
        <f>'Core Loads'!G395</f>
        <v>0</v>
      </c>
      <c r="H313" s="79">
        <f>'Core Loads'!H395</f>
        <v>0</v>
      </c>
      <c r="I313" s="79">
        <f>'Core Loads'!I395</f>
        <v>0</v>
      </c>
      <c r="J313" s="79">
        <f>'Core Loads'!J395</f>
        <v>0</v>
      </c>
      <c r="K313" s="79">
        <f>'Core Loads'!K395</f>
        <v>0</v>
      </c>
      <c r="L313" s="79">
        <f>'Core Loads'!L395</f>
        <v>0</v>
      </c>
      <c r="M313" s="79">
        <f>'Core Loads'!M395</f>
        <v>0</v>
      </c>
      <c r="N313" s="79">
        <f>'Core Loads'!N395</f>
        <v>0</v>
      </c>
      <c r="O313" s="79">
        <f>'Core Loads'!O395</f>
        <v>0</v>
      </c>
      <c r="P313" s="79">
        <f>'Core Loads'!P395</f>
        <v>0</v>
      </c>
      <c r="Q313" s="79">
        <f>'Core Loads'!Q395</f>
        <v>0</v>
      </c>
      <c r="R313" s="79">
        <f>'Core Loads'!R395</f>
        <v>0</v>
      </c>
      <c r="S313" s="79">
        <f>'Core Loads'!S395</f>
        <v>0</v>
      </c>
      <c r="T313" s="79">
        <f>'Core Loads'!T395</f>
        <v>0</v>
      </c>
      <c r="U313" s="79">
        <f>'Core Loads'!U395</f>
        <v>0</v>
      </c>
      <c r="V313" s="79">
        <f>'Core Loads'!V395</f>
        <v>0</v>
      </c>
      <c r="W313" s="79">
        <f>'Core Loads'!W395</f>
        <v>0</v>
      </c>
      <c r="X313" s="79">
        <f>'Core Loads'!X395</f>
        <v>0</v>
      </c>
      <c r="Y313" s="79">
        <f>'Core Loads'!Y395</f>
        <v>0</v>
      </c>
      <c r="Z313" s="79">
        <f>'Core Loads'!Z395</f>
        <v>0</v>
      </c>
      <c r="AA313" s="79">
        <f>'Core Loads'!AA395</f>
        <v>0</v>
      </c>
      <c r="AB313" s="79">
        <f>'Core Loads'!AB395</f>
        <v>0</v>
      </c>
      <c r="AC313" s="79">
        <f>'Core Loads'!AC395</f>
        <v>0</v>
      </c>
      <c r="AD313" s="79">
        <f>'Core Loads'!AD395</f>
        <v>0</v>
      </c>
      <c r="AE313" s="79">
        <f>'Core Loads'!AE395</f>
        <v>0</v>
      </c>
      <c r="AF313" s="79">
        <f>'Core Loads'!AF395</f>
        <v>0</v>
      </c>
      <c r="AG313"/>
      <c r="AH313" s="17" t="s">
        <v>279</v>
      </c>
    </row>
    <row r="314" spans="2:34" hidden="1" outlineLevel="1" x14ac:dyDescent="0.25">
      <c r="B314" s="31" t="s">
        <v>245</v>
      </c>
      <c r="C314" s="79">
        <f>'Core Loads'!C396</f>
        <v>0</v>
      </c>
      <c r="D314" s="79">
        <f>'Core Loads'!D396</f>
        <v>0</v>
      </c>
      <c r="E314" s="79">
        <f>'Core Loads'!E396</f>
        <v>0</v>
      </c>
      <c r="F314" s="79">
        <f>'Core Loads'!F396</f>
        <v>0</v>
      </c>
      <c r="G314" s="79">
        <f>'Core Loads'!G396</f>
        <v>0</v>
      </c>
      <c r="H314" s="79">
        <f>'Core Loads'!H396</f>
        <v>0</v>
      </c>
      <c r="I314" s="79">
        <f>'Core Loads'!I396</f>
        <v>0</v>
      </c>
      <c r="J314" s="79">
        <f>'Core Loads'!J396</f>
        <v>0</v>
      </c>
      <c r="K314" s="79">
        <f>'Core Loads'!K396</f>
        <v>0</v>
      </c>
      <c r="L314" s="79">
        <f>'Core Loads'!L396</f>
        <v>0</v>
      </c>
      <c r="M314" s="79">
        <f>'Core Loads'!M396</f>
        <v>0</v>
      </c>
      <c r="N314" s="79">
        <f>'Core Loads'!N396</f>
        <v>0</v>
      </c>
      <c r="O314" s="79">
        <f>'Core Loads'!O396</f>
        <v>0</v>
      </c>
      <c r="P314" s="79">
        <f>'Core Loads'!P396</f>
        <v>0</v>
      </c>
      <c r="Q314" s="79">
        <f>'Core Loads'!Q396</f>
        <v>13436.692112233934</v>
      </c>
      <c r="R314" s="79">
        <f>'Core Loads'!R396</f>
        <v>51778.373813264858</v>
      </c>
      <c r="S314" s="79">
        <f>'Core Loads'!S396</f>
        <v>51778.373813264858</v>
      </c>
      <c r="T314" s="79">
        <f>'Core Loads'!T396</f>
        <v>51778.373813264858</v>
      </c>
      <c r="U314" s="79">
        <f>'Core Loads'!U396</f>
        <v>51778.373813264858</v>
      </c>
      <c r="V314" s="79">
        <f>'Core Loads'!V396</f>
        <v>51778.373813264858</v>
      </c>
      <c r="W314" s="79">
        <f>'Core Loads'!W396</f>
        <v>51778.373813264858</v>
      </c>
      <c r="X314" s="79">
        <f>'Core Loads'!X396</f>
        <v>51778.373813264858</v>
      </c>
      <c r="Y314" s="79">
        <f>'Core Loads'!Y396</f>
        <v>51778.373813264858</v>
      </c>
      <c r="Z314" s="79">
        <f>'Core Loads'!Z396</f>
        <v>51778.373813264858</v>
      </c>
      <c r="AA314" s="79">
        <f>'Core Loads'!AA396</f>
        <v>51778.373813264858</v>
      </c>
      <c r="AB314" s="79">
        <f>'Core Loads'!AB396</f>
        <v>51778.373813264858</v>
      </c>
      <c r="AC314" s="79">
        <f>'Core Loads'!AC396</f>
        <v>51778.373813264858</v>
      </c>
      <c r="AD314" s="79">
        <f>'Core Loads'!AD396</f>
        <v>51778.373813264858</v>
      </c>
      <c r="AE314" s="79">
        <f>'Core Loads'!AE396</f>
        <v>51778.373813264858</v>
      </c>
      <c r="AF314" s="79">
        <f>'Core Loads'!AF396</f>
        <v>51778.373813264858</v>
      </c>
      <c r="AG314"/>
      <c r="AH314" s="17" t="s">
        <v>279</v>
      </c>
    </row>
    <row r="315" spans="2:34" hidden="1" outlineLevel="1" x14ac:dyDescent="0.25">
      <c r="B315" s="31" t="s">
        <v>149</v>
      </c>
      <c r="C315" s="79">
        <f>'Core Loads'!C397</f>
        <v>0</v>
      </c>
      <c r="D315" s="79">
        <f>'Core Loads'!D397</f>
        <v>0</v>
      </c>
      <c r="E315" s="79">
        <f>'Core Loads'!E397</f>
        <v>0</v>
      </c>
      <c r="F315" s="79">
        <f>'Core Loads'!F397</f>
        <v>0</v>
      </c>
      <c r="G315" s="79">
        <f>'Core Loads'!G397</f>
        <v>0</v>
      </c>
      <c r="H315" s="79">
        <f>'Core Loads'!H397</f>
        <v>120595.95328017237</v>
      </c>
      <c r="I315" s="79">
        <f>'Core Loads'!I397</f>
        <v>120595.95328017237</v>
      </c>
      <c r="J315" s="79">
        <f>'Core Loads'!J397</f>
        <v>112719.78622308007</v>
      </c>
      <c r="K315" s="79">
        <f>'Core Loads'!K397</f>
        <v>112719.78622308007</v>
      </c>
      <c r="L315" s="79">
        <f>'Core Loads'!L397</f>
        <v>112719.78622308007</v>
      </c>
      <c r="M315" s="79">
        <f>'Core Loads'!M397</f>
        <v>336929.39777704503</v>
      </c>
      <c r="N315" s="79">
        <f>'Core Loads'!N397</f>
        <v>325087.21323412546</v>
      </c>
      <c r="O315" s="79">
        <f>'Core Loads'!O397</f>
        <v>325087.21323412546</v>
      </c>
      <c r="P315" s="79">
        <f>'Core Loads'!P397</f>
        <v>322353.69216368702</v>
      </c>
      <c r="Q315" s="79">
        <f>'Core Loads'!Q397</f>
        <v>617764.52773586358</v>
      </c>
      <c r="R315" s="79">
        <f>'Core Loads'!R397</f>
        <v>661805.74854756822</v>
      </c>
      <c r="S315" s="79">
        <f>'Core Loads'!S397</f>
        <v>661805.74854756822</v>
      </c>
      <c r="T315" s="79">
        <f>'Core Loads'!T397</f>
        <v>660128.74745225406</v>
      </c>
      <c r="U315" s="79">
        <f>'Core Loads'!U397</f>
        <v>660128.74745225406</v>
      </c>
      <c r="V315" s="79">
        <f>'Core Loads'!V397</f>
        <v>658015.87079140812</v>
      </c>
      <c r="W315" s="79">
        <f>'Core Loads'!W397</f>
        <v>658015.87079140812</v>
      </c>
      <c r="X315" s="79">
        <f>'Core Loads'!X397</f>
        <v>658015.87079140812</v>
      </c>
      <c r="Y315" s="79">
        <f>'Core Loads'!Y397</f>
        <v>658015.87079140812</v>
      </c>
      <c r="Z315" s="79">
        <f>'Core Loads'!Z397</f>
        <v>658015.87079140812</v>
      </c>
      <c r="AA315" s="79">
        <f>'Core Loads'!AA397</f>
        <v>658015.87079140812</v>
      </c>
      <c r="AB315" s="79">
        <f>'Core Loads'!AB397</f>
        <v>655897.86820189503</v>
      </c>
      <c r="AC315" s="79">
        <f>'Core Loads'!AC397</f>
        <v>655897.86820189503</v>
      </c>
      <c r="AD315" s="79">
        <f>'Core Loads'!AD397</f>
        <v>655897.86820189503</v>
      </c>
      <c r="AE315" s="79">
        <f>'Core Loads'!AE397</f>
        <v>655897.86820189503</v>
      </c>
      <c r="AF315" s="79">
        <f>'Core Loads'!AF397</f>
        <v>655897.86820189503</v>
      </c>
      <c r="AG315"/>
      <c r="AH315" s="17" t="s">
        <v>279</v>
      </c>
    </row>
    <row r="316" spans="2:34" hidden="1" outlineLevel="1" x14ac:dyDescent="0.25">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row>
    <row r="317" spans="2:34" hidden="1" outlineLevel="1" x14ac:dyDescent="0.25">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row>
    <row r="318" spans="2:34" ht="17.25" hidden="1" outlineLevel="1" thickBot="1" x14ac:dyDescent="0.3">
      <c r="B318" s="26" t="s">
        <v>283</v>
      </c>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row>
    <row r="319" spans="2:34" ht="16.5" hidden="1" outlineLevel="1" thickTop="1" thickBot="1" x14ac:dyDescent="0.3">
      <c r="B319" s="28" t="s">
        <v>278</v>
      </c>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0"/>
      <c r="AH319" s="20" t="s">
        <v>15</v>
      </c>
    </row>
    <row r="320" spans="2:34" customFormat="1" hidden="1" outlineLevel="1" x14ac:dyDescent="0.25">
      <c r="B320" s="30"/>
      <c r="C320" s="17">
        <v>2025</v>
      </c>
      <c r="D320" s="44">
        <v>2026</v>
      </c>
      <c r="E320" s="44">
        <v>2027</v>
      </c>
      <c r="F320" s="44">
        <v>2028</v>
      </c>
      <c r="G320" s="44">
        <v>2029</v>
      </c>
      <c r="H320" s="44">
        <v>2030</v>
      </c>
      <c r="I320" s="44">
        <v>2031</v>
      </c>
      <c r="J320" s="44">
        <v>2032</v>
      </c>
      <c r="K320" s="44">
        <v>2033</v>
      </c>
      <c r="L320" s="44">
        <v>2034</v>
      </c>
      <c r="M320" s="44">
        <v>2035</v>
      </c>
      <c r="N320" s="44">
        <v>2036</v>
      </c>
      <c r="O320" s="44">
        <v>2037</v>
      </c>
      <c r="P320" s="44">
        <v>2038</v>
      </c>
      <c r="Q320" s="44">
        <v>2039</v>
      </c>
      <c r="R320" s="44">
        <v>2040</v>
      </c>
      <c r="S320" s="44">
        <v>2041</v>
      </c>
      <c r="T320" s="44">
        <v>2042</v>
      </c>
      <c r="U320" s="44">
        <v>2043</v>
      </c>
      <c r="V320" s="44">
        <v>2044</v>
      </c>
      <c r="W320" s="44">
        <v>2045</v>
      </c>
      <c r="X320" s="44">
        <v>2046</v>
      </c>
      <c r="Y320" s="44">
        <v>2047</v>
      </c>
      <c r="Z320" s="44">
        <v>2048</v>
      </c>
      <c r="AA320" s="44">
        <v>2049</v>
      </c>
      <c r="AB320" s="44">
        <v>2050</v>
      </c>
      <c r="AC320" s="44">
        <v>2051</v>
      </c>
      <c r="AD320" s="44">
        <v>2052</v>
      </c>
      <c r="AE320" s="44">
        <v>2053</v>
      </c>
      <c r="AF320" s="44">
        <v>2054</v>
      </c>
      <c r="AH320" s="1"/>
    </row>
    <row r="321" spans="2:34" hidden="1" outlineLevel="1" x14ac:dyDescent="0.25">
      <c r="B321" s="31" t="s">
        <v>144</v>
      </c>
      <c r="C321" s="79">
        <f>'Core Loads'!C403</f>
        <v>8678140.1263548788</v>
      </c>
      <c r="D321" s="79">
        <f>'Core Loads'!D403</f>
        <v>8678140.1263548788</v>
      </c>
      <c r="E321" s="79">
        <f>'Core Loads'!E403</f>
        <v>8678140.1263548788</v>
      </c>
      <c r="F321" s="79">
        <f>'Core Loads'!F403</f>
        <v>8237611.3694371348</v>
      </c>
      <c r="G321" s="79">
        <f>'Core Loads'!G403</f>
        <v>8237611.3694371348</v>
      </c>
      <c r="H321" s="79">
        <f>'Core Loads'!H403</f>
        <v>9012734.2894371357</v>
      </c>
      <c r="I321" s="79">
        <f>'Core Loads'!I403</f>
        <v>9012734.2894371357</v>
      </c>
      <c r="J321" s="79">
        <f>'Core Loads'!J403</f>
        <v>8552617.6962371375</v>
      </c>
      <c r="K321" s="79">
        <f>'Core Loads'!K403</f>
        <v>8552617.6962371375</v>
      </c>
      <c r="L321" s="79">
        <f>'Core Loads'!L403</f>
        <v>9180639.3762371354</v>
      </c>
      <c r="M321" s="79">
        <f>'Core Loads'!M403</f>
        <v>5064964.101999999</v>
      </c>
      <c r="N321" s="79">
        <f>'Core Loads'!N403</f>
        <v>5064964.101999999</v>
      </c>
      <c r="O321" s="79">
        <f>'Core Loads'!O403</f>
        <v>5064964.101999999</v>
      </c>
      <c r="P321" s="79">
        <f>'Core Loads'!P403</f>
        <v>5064964.101999999</v>
      </c>
      <c r="Q321" s="79">
        <f>'Core Loads'!Q403</f>
        <v>0</v>
      </c>
      <c r="R321" s="79">
        <f>'Core Loads'!R403</f>
        <v>0</v>
      </c>
      <c r="S321" s="79">
        <f>'Core Loads'!S403</f>
        <v>0</v>
      </c>
      <c r="T321" s="79">
        <f>'Core Loads'!T403</f>
        <v>0</v>
      </c>
      <c r="U321" s="79">
        <f>'Core Loads'!U403</f>
        <v>0</v>
      </c>
      <c r="V321" s="79">
        <f>'Core Loads'!V403</f>
        <v>0</v>
      </c>
      <c r="W321" s="79">
        <f>'Core Loads'!W403</f>
        <v>0</v>
      </c>
      <c r="X321" s="79">
        <f>'Core Loads'!X403</f>
        <v>0</v>
      </c>
      <c r="Y321" s="79">
        <f>'Core Loads'!Y403</f>
        <v>0</v>
      </c>
      <c r="Z321" s="79">
        <f>'Core Loads'!Z403</f>
        <v>0</v>
      </c>
      <c r="AA321" s="79">
        <f>'Core Loads'!AA403</f>
        <v>0</v>
      </c>
      <c r="AB321" s="79">
        <f>'Core Loads'!AB403</f>
        <v>0</v>
      </c>
      <c r="AC321" s="79">
        <f>'Core Loads'!AC403</f>
        <v>0</v>
      </c>
      <c r="AD321" s="79">
        <f>'Core Loads'!AD403</f>
        <v>0</v>
      </c>
      <c r="AE321" s="79">
        <f>'Core Loads'!AE403</f>
        <v>0</v>
      </c>
      <c r="AF321" s="79">
        <f>'Core Loads'!AF403</f>
        <v>0</v>
      </c>
      <c r="AG321"/>
      <c r="AH321" s="17" t="s">
        <v>279</v>
      </c>
    </row>
    <row r="322" spans="2:34" hidden="1" outlineLevel="1" x14ac:dyDescent="0.25">
      <c r="B322" s="31" t="s">
        <v>145</v>
      </c>
      <c r="C322" s="79">
        <f>'Core Loads'!C404</f>
        <v>3544817.3883669907</v>
      </c>
      <c r="D322" s="79">
        <f>'Core Loads'!D404</f>
        <v>7148037.0083669899</v>
      </c>
      <c r="E322" s="79">
        <f>'Core Loads'!E404</f>
        <v>7148037.0083669899</v>
      </c>
      <c r="F322" s="79">
        <f>'Core Loads'!F404</f>
        <v>7148037.0083669899</v>
      </c>
      <c r="G322" s="79">
        <f>'Core Loads'!G404</f>
        <v>7148037.0083669899</v>
      </c>
      <c r="H322" s="79">
        <f>'Core Loads'!H404</f>
        <v>7234294.6083669895</v>
      </c>
      <c r="I322" s="79">
        <f>'Core Loads'!I404</f>
        <v>7234294.6083669895</v>
      </c>
      <c r="J322" s="79">
        <f>'Core Loads'!J404</f>
        <v>7234294.6083669895</v>
      </c>
      <c r="K322" s="79">
        <f>'Core Loads'!K404</f>
        <v>7234294.6083669895</v>
      </c>
      <c r="L322" s="79">
        <f>'Core Loads'!L404</f>
        <v>7082106.2166567408</v>
      </c>
      <c r="M322" s="79">
        <f>'Core Loads'!M404</f>
        <v>7082106.2166567408</v>
      </c>
      <c r="N322" s="79">
        <f>'Core Loads'!N404</f>
        <v>7082106.2166567408</v>
      </c>
      <c r="O322" s="79">
        <f>'Core Loads'!O404</f>
        <v>7082106.2166567408</v>
      </c>
      <c r="P322" s="79">
        <f>'Core Loads'!P404</f>
        <v>7070995.9866567403</v>
      </c>
      <c r="Q322" s="79">
        <f>'Core Loads'!Q404</f>
        <v>0</v>
      </c>
      <c r="R322" s="79">
        <f>'Core Loads'!R404</f>
        <v>0</v>
      </c>
      <c r="S322" s="79">
        <f>'Core Loads'!S404</f>
        <v>0</v>
      </c>
      <c r="T322" s="79">
        <f>'Core Loads'!T404</f>
        <v>0</v>
      </c>
      <c r="U322" s="79">
        <f>'Core Loads'!U404</f>
        <v>0</v>
      </c>
      <c r="V322" s="79">
        <f>'Core Loads'!V404</f>
        <v>0</v>
      </c>
      <c r="W322" s="79">
        <f>'Core Loads'!W404</f>
        <v>0</v>
      </c>
      <c r="X322" s="79">
        <f>'Core Loads'!X404</f>
        <v>0</v>
      </c>
      <c r="Y322" s="79">
        <f>'Core Loads'!Y404</f>
        <v>0</v>
      </c>
      <c r="Z322" s="79">
        <f>'Core Loads'!Z404</f>
        <v>0</v>
      </c>
      <c r="AA322" s="79">
        <f>'Core Loads'!AA404</f>
        <v>0</v>
      </c>
      <c r="AB322" s="79">
        <f>'Core Loads'!AB404</f>
        <v>0</v>
      </c>
      <c r="AC322" s="79">
        <f>'Core Loads'!AC404</f>
        <v>0</v>
      </c>
      <c r="AD322" s="79">
        <f>'Core Loads'!AD404</f>
        <v>0</v>
      </c>
      <c r="AE322" s="79">
        <f>'Core Loads'!AE404</f>
        <v>0</v>
      </c>
      <c r="AF322" s="79">
        <f>'Core Loads'!AF404</f>
        <v>0</v>
      </c>
      <c r="AG322"/>
      <c r="AH322" s="17" t="s">
        <v>279</v>
      </c>
    </row>
    <row r="323" spans="2:34" hidden="1" outlineLevel="1" x14ac:dyDescent="0.25">
      <c r="B323" s="31" t="s">
        <v>244</v>
      </c>
      <c r="C323" s="79">
        <f>'Core Loads'!C405</f>
        <v>10424562.72955735</v>
      </c>
      <c r="D323" s="79">
        <f>'Core Loads'!D405</f>
        <v>10424562.72955735</v>
      </c>
      <c r="E323" s="79">
        <f>'Core Loads'!E405</f>
        <v>10424562.72955735</v>
      </c>
      <c r="F323" s="79">
        <f>'Core Loads'!F405</f>
        <v>14928448.609557347</v>
      </c>
      <c r="G323" s="79">
        <f>'Core Loads'!G405</f>
        <v>14928448.609557347</v>
      </c>
      <c r="H323" s="79">
        <f>'Core Loads'!H405</f>
        <v>6973484.3262776919</v>
      </c>
      <c r="I323" s="79">
        <f>'Core Loads'!I405</f>
        <v>6973484.3262776919</v>
      </c>
      <c r="J323" s="79">
        <f>'Core Loads'!J405</f>
        <v>6629207.9921415634</v>
      </c>
      <c r="K323" s="79">
        <f>'Core Loads'!K405</f>
        <v>6629207.9921415634</v>
      </c>
      <c r="L323" s="79">
        <f>'Core Loads'!L405</f>
        <v>6629207.9921415634</v>
      </c>
      <c r="M323" s="79">
        <f>'Core Loads'!M405</f>
        <v>2965166.7972395755</v>
      </c>
      <c r="N323" s="79">
        <f>'Core Loads'!N405</f>
        <v>2961275.4139773296</v>
      </c>
      <c r="O323" s="79">
        <f>'Core Loads'!O405</f>
        <v>2961275.4139773296</v>
      </c>
      <c r="P323" s="79">
        <f>'Core Loads'!P405</f>
        <v>2953492.6474528383</v>
      </c>
      <c r="Q323" s="79">
        <f>'Core Loads'!Q405</f>
        <v>0</v>
      </c>
      <c r="R323" s="79">
        <f>'Core Loads'!R405</f>
        <v>0</v>
      </c>
      <c r="S323" s="79">
        <f>'Core Loads'!S405</f>
        <v>0</v>
      </c>
      <c r="T323" s="79">
        <f>'Core Loads'!T405</f>
        <v>0</v>
      </c>
      <c r="U323" s="79">
        <f>'Core Loads'!U405</f>
        <v>0</v>
      </c>
      <c r="V323" s="79">
        <f>'Core Loads'!V405</f>
        <v>0</v>
      </c>
      <c r="W323" s="79">
        <f>'Core Loads'!W405</f>
        <v>0</v>
      </c>
      <c r="X323" s="79">
        <f>'Core Loads'!X405</f>
        <v>0</v>
      </c>
      <c r="Y323" s="79">
        <f>'Core Loads'!Y405</f>
        <v>0</v>
      </c>
      <c r="Z323" s="79">
        <f>'Core Loads'!Z405</f>
        <v>0</v>
      </c>
      <c r="AA323" s="79">
        <f>'Core Loads'!AA405</f>
        <v>0</v>
      </c>
      <c r="AB323" s="79">
        <f>'Core Loads'!AB405</f>
        <v>0</v>
      </c>
      <c r="AC323" s="79">
        <f>'Core Loads'!AC405</f>
        <v>0</v>
      </c>
      <c r="AD323" s="79">
        <f>'Core Loads'!AD405</f>
        <v>0</v>
      </c>
      <c r="AE323" s="79">
        <f>'Core Loads'!AE405</f>
        <v>0</v>
      </c>
      <c r="AF323" s="79">
        <f>'Core Loads'!AF405</f>
        <v>0</v>
      </c>
      <c r="AG323"/>
      <c r="AH323" s="17" t="s">
        <v>279</v>
      </c>
    </row>
    <row r="324" spans="2:34" hidden="1" outlineLevel="1" x14ac:dyDescent="0.25">
      <c r="B324" s="31" t="s">
        <v>147</v>
      </c>
      <c r="C324" s="79">
        <f>'Core Loads'!C406</f>
        <v>0</v>
      </c>
      <c r="D324" s="79">
        <f>'Core Loads'!D406</f>
        <v>0</v>
      </c>
      <c r="E324" s="79">
        <f>'Core Loads'!E406</f>
        <v>0</v>
      </c>
      <c r="F324" s="79">
        <f>'Core Loads'!F406</f>
        <v>0</v>
      </c>
      <c r="G324" s="79">
        <f>'Core Loads'!G406</f>
        <v>0</v>
      </c>
      <c r="H324" s="79">
        <f>'Core Loads'!H406</f>
        <v>0</v>
      </c>
      <c r="I324" s="79">
        <f>'Core Loads'!I406</f>
        <v>0</v>
      </c>
      <c r="J324" s="79">
        <f>'Core Loads'!J406</f>
        <v>0</v>
      </c>
      <c r="K324" s="79">
        <f>'Core Loads'!K406</f>
        <v>0</v>
      </c>
      <c r="L324" s="79">
        <f>'Core Loads'!L406</f>
        <v>0</v>
      </c>
      <c r="M324" s="79">
        <f>'Core Loads'!M406</f>
        <v>0</v>
      </c>
      <c r="N324" s="79">
        <f>'Core Loads'!N406</f>
        <v>0</v>
      </c>
      <c r="O324" s="79">
        <f>'Core Loads'!O406</f>
        <v>0</v>
      </c>
      <c r="P324" s="79">
        <f>'Core Loads'!P406</f>
        <v>0</v>
      </c>
      <c r="Q324" s="79">
        <f>'Core Loads'!Q406</f>
        <v>0</v>
      </c>
      <c r="R324" s="79">
        <f>'Core Loads'!R406</f>
        <v>0</v>
      </c>
      <c r="S324" s="79">
        <f>'Core Loads'!S406</f>
        <v>0</v>
      </c>
      <c r="T324" s="79">
        <f>'Core Loads'!T406</f>
        <v>0</v>
      </c>
      <c r="U324" s="79">
        <f>'Core Loads'!U406</f>
        <v>0</v>
      </c>
      <c r="V324" s="79">
        <f>'Core Loads'!V406</f>
        <v>0</v>
      </c>
      <c r="W324" s="79">
        <f>'Core Loads'!W406</f>
        <v>0</v>
      </c>
      <c r="X324" s="79">
        <f>'Core Loads'!X406</f>
        <v>0</v>
      </c>
      <c r="Y324" s="79">
        <f>'Core Loads'!Y406</f>
        <v>0</v>
      </c>
      <c r="Z324" s="79">
        <f>'Core Loads'!Z406</f>
        <v>0</v>
      </c>
      <c r="AA324" s="79">
        <f>'Core Loads'!AA406</f>
        <v>0</v>
      </c>
      <c r="AB324" s="79">
        <f>'Core Loads'!AB406</f>
        <v>0</v>
      </c>
      <c r="AC324" s="79">
        <f>'Core Loads'!AC406</f>
        <v>0</v>
      </c>
      <c r="AD324" s="79">
        <f>'Core Loads'!AD406</f>
        <v>0</v>
      </c>
      <c r="AE324" s="79">
        <f>'Core Loads'!AE406</f>
        <v>0</v>
      </c>
      <c r="AF324" s="79">
        <f>'Core Loads'!AF406</f>
        <v>0</v>
      </c>
      <c r="AG324"/>
      <c r="AH324" s="17" t="s">
        <v>279</v>
      </c>
    </row>
    <row r="325" spans="2:34" hidden="1" outlineLevel="1" x14ac:dyDescent="0.25">
      <c r="B325" s="31" t="s">
        <v>245</v>
      </c>
      <c r="C325" s="79">
        <f>'Core Loads'!C407</f>
        <v>1207501.7119999998</v>
      </c>
      <c r="D325" s="79">
        <f>'Core Loads'!D407</f>
        <v>1207501.7119999998</v>
      </c>
      <c r="E325" s="79">
        <f>'Core Loads'!E407</f>
        <v>1207501.7119999998</v>
      </c>
      <c r="F325" s="79">
        <f>'Core Loads'!F407</f>
        <v>1207501.7119999998</v>
      </c>
      <c r="G325" s="79">
        <f>'Core Loads'!G407</f>
        <v>1207501.7119999998</v>
      </c>
      <c r="H325" s="79">
        <f>'Core Loads'!H407</f>
        <v>3455696.2320000003</v>
      </c>
      <c r="I325" s="79">
        <f>'Core Loads'!I407</f>
        <v>3455696.2320000003</v>
      </c>
      <c r="J325" s="79">
        <f>'Core Loads'!J407</f>
        <v>3455696.2320000003</v>
      </c>
      <c r="K325" s="79">
        <f>'Core Loads'!K407</f>
        <v>3455696.2320000003</v>
      </c>
      <c r="L325" s="79">
        <f>'Core Loads'!L407</f>
        <v>3455696.2320000003</v>
      </c>
      <c r="M325" s="79">
        <f>'Core Loads'!M407</f>
        <v>3455696.2320000003</v>
      </c>
      <c r="N325" s="79">
        <f>'Core Loads'!N407</f>
        <v>3395321.1464</v>
      </c>
      <c r="O325" s="79">
        <f>'Core Loads'!O407</f>
        <v>3395321.1464</v>
      </c>
      <c r="P325" s="79">
        <f>'Core Loads'!P407</f>
        <v>3395321.1464</v>
      </c>
      <c r="Q325" s="79">
        <f>'Core Loads'!Q407</f>
        <v>0</v>
      </c>
      <c r="R325" s="79">
        <f>'Core Loads'!R407</f>
        <v>0</v>
      </c>
      <c r="S325" s="79">
        <f>'Core Loads'!S407</f>
        <v>0</v>
      </c>
      <c r="T325" s="79">
        <f>'Core Loads'!T407</f>
        <v>0</v>
      </c>
      <c r="U325" s="79">
        <f>'Core Loads'!U407</f>
        <v>0</v>
      </c>
      <c r="V325" s="79">
        <f>'Core Loads'!V407</f>
        <v>0</v>
      </c>
      <c r="W325" s="79">
        <f>'Core Loads'!W407</f>
        <v>0</v>
      </c>
      <c r="X325" s="79">
        <f>'Core Loads'!X407</f>
        <v>0</v>
      </c>
      <c r="Y325" s="79">
        <f>'Core Loads'!Y407</f>
        <v>0</v>
      </c>
      <c r="Z325" s="79">
        <f>'Core Loads'!Z407</f>
        <v>0</v>
      </c>
      <c r="AA325" s="79">
        <f>'Core Loads'!AA407</f>
        <v>0</v>
      </c>
      <c r="AB325" s="79">
        <f>'Core Loads'!AB407</f>
        <v>0</v>
      </c>
      <c r="AC325" s="79">
        <f>'Core Loads'!AC407</f>
        <v>0</v>
      </c>
      <c r="AD325" s="79">
        <f>'Core Loads'!AD407</f>
        <v>0</v>
      </c>
      <c r="AE325" s="79">
        <f>'Core Loads'!AE407</f>
        <v>0</v>
      </c>
      <c r="AF325" s="79">
        <f>'Core Loads'!AF407</f>
        <v>0</v>
      </c>
      <c r="AG325"/>
      <c r="AH325" s="17" t="s">
        <v>279</v>
      </c>
    </row>
    <row r="326" spans="2:34" hidden="1" outlineLevel="1" x14ac:dyDescent="0.25">
      <c r="B326" s="31" t="s">
        <v>149</v>
      </c>
      <c r="C326" s="79">
        <f>'Core Loads'!C408</f>
        <v>23855021.956279222</v>
      </c>
      <c r="D326" s="79">
        <f>'Core Loads'!D408</f>
        <v>27458241.576279219</v>
      </c>
      <c r="E326" s="79">
        <f>'Core Loads'!E408</f>
        <v>27458241.576279219</v>
      </c>
      <c r="F326" s="79">
        <f>'Core Loads'!F408</f>
        <v>31521598.699361473</v>
      </c>
      <c r="G326" s="79">
        <f>'Core Loads'!G408</f>
        <v>31521598.699361473</v>
      </c>
      <c r="H326" s="79">
        <f>'Core Loads'!H408</f>
        <v>26676209.456081819</v>
      </c>
      <c r="I326" s="79">
        <f>'Core Loads'!I408</f>
        <v>26676209.456081819</v>
      </c>
      <c r="J326" s="79">
        <f>'Core Loads'!J408</f>
        <v>25871816.528745692</v>
      </c>
      <c r="K326" s="79">
        <f>'Core Loads'!K408</f>
        <v>25871816.528745692</v>
      </c>
      <c r="L326" s="79">
        <f>'Core Loads'!L408</f>
        <v>26347649.81703544</v>
      </c>
      <c r="M326" s="79">
        <f>'Core Loads'!M408</f>
        <v>18567933.347896315</v>
      </c>
      <c r="N326" s="79">
        <f>'Core Loads'!N408</f>
        <v>18503666.879034068</v>
      </c>
      <c r="O326" s="79">
        <f>'Core Loads'!O408</f>
        <v>18503666.879034068</v>
      </c>
      <c r="P326" s="79">
        <f>'Core Loads'!P408</f>
        <v>18484773.882509578</v>
      </c>
      <c r="Q326" s="79">
        <f>'Core Loads'!Q408</f>
        <v>0</v>
      </c>
      <c r="R326" s="79">
        <f>'Core Loads'!R408</f>
        <v>0</v>
      </c>
      <c r="S326" s="79">
        <f>'Core Loads'!S408</f>
        <v>0</v>
      </c>
      <c r="T326" s="79">
        <f>'Core Loads'!T408</f>
        <v>0</v>
      </c>
      <c r="U326" s="79">
        <f>'Core Loads'!U408</f>
        <v>0</v>
      </c>
      <c r="V326" s="79">
        <f>'Core Loads'!V408</f>
        <v>0</v>
      </c>
      <c r="W326" s="79">
        <f>'Core Loads'!W408</f>
        <v>0</v>
      </c>
      <c r="X326" s="79">
        <f>'Core Loads'!X408</f>
        <v>0</v>
      </c>
      <c r="Y326" s="79">
        <f>'Core Loads'!Y408</f>
        <v>0</v>
      </c>
      <c r="Z326" s="79">
        <f>'Core Loads'!Z408</f>
        <v>0</v>
      </c>
      <c r="AA326" s="79">
        <f>'Core Loads'!AA408</f>
        <v>0</v>
      </c>
      <c r="AB326" s="79">
        <f>'Core Loads'!AB408</f>
        <v>0</v>
      </c>
      <c r="AC326" s="79">
        <f>'Core Loads'!AC408</f>
        <v>0</v>
      </c>
      <c r="AD326" s="79">
        <f>'Core Loads'!AD408</f>
        <v>0</v>
      </c>
      <c r="AE326" s="79">
        <f>'Core Loads'!AE408</f>
        <v>0</v>
      </c>
      <c r="AF326" s="79">
        <f>'Core Loads'!AF408</f>
        <v>0</v>
      </c>
      <c r="AG326"/>
      <c r="AH326" s="17" t="s">
        <v>279</v>
      </c>
    </row>
    <row r="327" spans="2:34" hidden="1" outlineLevel="1" x14ac:dyDescent="0.25">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row>
    <row r="328" spans="2:34" ht="15.75" hidden="1" outlineLevel="1" thickBot="1" x14ac:dyDescent="0.3">
      <c r="B328" s="28" t="s">
        <v>280</v>
      </c>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0"/>
      <c r="AH328" s="20" t="s">
        <v>15</v>
      </c>
    </row>
    <row r="329" spans="2:34" customFormat="1" hidden="1" outlineLevel="1" x14ac:dyDescent="0.25">
      <c r="B329" s="30"/>
      <c r="C329" s="17">
        <v>2025</v>
      </c>
      <c r="D329" s="44">
        <v>2026</v>
      </c>
      <c r="E329" s="44">
        <v>2027</v>
      </c>
      <c r="F329" s="44">
        <v>2028</v>
      </c>
      <c r="G329" s="44">
        <v>2029</v>
      </c>
      <c r="H329" s="44">
        <v>2030</v>
      </c>
      <c r="I329" s="44">
        <v>2031</v>
      </c>
      <c r="J329" s="44">
        <v>2032</v>
      </c>
      <c r="K329" s="44">
        <v>2033</v>
      </c>
      <c r="L329" s="44">
        <v>2034</v>
      </c>
      <c r="M329" s="44">
        <v>2035</v>
      </c>
      <c r="N329" s="44">
        <v>2036</v>
      </c>
      <c r="O329" s="44">
        <v>2037</v>
      </c>
      <c r="P329" s="44">
        <v>2038</v>
      </c>
      <c r="Q329" s="44">
        <v>2039</v>
      </c>
      <c r="R329" s="44">
        <v>2040</v>
      </c>
      <c r="S329" s="44">
        <v>2041</v>
      </c>
      <c r="T329" s="44">
        <v>2042</v>
      </c>
      <c r="U329" s="44">
        <v>2043</v>
      </c>
      <c r="V329" s="44">
        <v>2044</v>
      </c>
      <c r="W329" s="44">
        <v>2045</v>
      </c>
      <c r="X329" s="44">
        <v>2046</v>
      </c>
      <c r="Y329" s="44">
        <v>2047</v>
      </c>
      <c r="Z329" s="44">
        <v>2048</v>
      </c>
      <c r="AA329" s="44">
        <v>2049</v>
      </c>
      <c r="AB329" s="44">
        <v>2050</v>
      </c>
      <c r="AC329" s="44">
        <v>2051</v>
      </c>
      <c r="AD329" s="44">
        <v>2052</v>
      </c>
      <c r="AE329" s="44">
        <v>2053</v>
      </c>
      <c r="AF329" s="44">
        <v>2054</v>
      </c>
      <c r="AH329" s="1"/>
    </row>
    <row r="330" spans="2:34" hidden="1" outlineLevel="1" x14ac:dyDescent="0.25">
      <c r="B330" s="31" t="s">
        <v>144</v>
      </c>
      <c r="C330" s="79">
        <f>'Core Loads'!C412</f>
        <v>0</v>
      </c>
      <c r="D330" s="79">
        <f>'Core Loads'!D412</f>
        <v>0</v>
      </c>
      <c r="E330" s="79">
        <f>'Core Loads'!E412</f>
        <v>0</v>
      </c>
      <c r="F330" s="79">
        <f>'Core Loads'!F412</f>
        <v>0</v>
      </c>
      <c r="G330" s="79">
        <f>'Core Loads'!G412</f>
        <v>0</v>
      </c>
      <c r="H330" s="79">
        <f>'Core Loads'!H412</f>
        <v>0</v>
      </c>
      <c r="I330" s="79">
        <f>'Core Loads'!I412</f>
        <v>0</v>
      </c>
      <c r="J330" s="79">
        <f>'Core Loads'!J412</f>
        <v>0</v>
      </c>
      <c r="K330" s="79">
        <f>'Core Loads'!K412</f>
        <v>0</v>
      </c>
      <c r="L330" s="79">
        <f>'Core Loads'!L412</f>
        <v>0</v>
      </c>
      <c r="M330" s="79">
        <f>'Core Loads'!M412</f>
        <v>4115675.2742371354</v>
      </c>
      <c r="N330" s="79">
        <f>'Core Loads'!N412</f>
        <v>4115675.2742371354</v>
      </c>
      <c r="O330" s="79">
        <f>'Core Loads'!O412</f>
        <v>4115675.2742371354</v>
      </c>
      <c r="P330" s="79">
        <f>'Core Loads'!P412</f>
        <v>4115675.2742371354</v>
      </c>
      <c r="Q330" s="79">
        <f>'Core Loads'!Q412</f>
        <v>9180639.3762371354</v>
      </c>
      <c r="R330" s="79">
        <f>'Core Loads'!R412</f>
        <v>9180639.3762371354</v>
      </c>
      <c r="S330" s="79">
        <f>'Core Loads'!S412</f>
        <v>9180639.3762371354</v>
      </c>
      <c r="T330" s="79">
        <f>'Core Loads'!T412</f>
        <v>9180639.3762371354</v>
      </c>
      <c r="U330" s="79">
        <f>'Core Loads'!U412</f>
        <v>9180639.3762371354</v>
      </c>
      <c r="V330" s="79">
        <f>'Core Loads'!V412</f>
        <v>9180639.3762371354</v>
      </c>
      <c r="W330" s="79">
        <f>'Core Loads'!W412</f>
        <v>9180639.3762371354</v>
      </c>
      <c r="X330" s="79">
        <f>'Core Loads'!X412</f>
        <v>9180639.3762371354</v>
      </c>
      <c r="Y330" s="79">
        <f>'Core Loads'!Y412</f>
        <v>9180639.3762371354</v>
      </c>
      <c r="Z330" s="79">
        <f>'Core Loads'!Z412</f>
        <v>9180639.3762371354</v>
      </c>
      <c r="AA330" s="79">
        <f>'Core Loads'!AA412</f>
        <v>9180639.3762371354</v>
      </c>
      <c r="AB330" s="79">
        <f>'Core Loads'!AB412</f>
        <v>9180639.3762371354</v>
      </c>
      <c r="AC330" s="79">
        <f>'Core Loads'!AC412</f>
        <v>9180639.3762371354</v>
      </c>
      <c r="AD330" s="79">
        <f>'Core Loads'!AD412</f>
        <v>9180639.3762371354</v>
      </c>
      <c r="AE330" s="79">
        <f>'Core Loads'!AE412</f>
        <v>9180639.3762371354</v>
      </c>
      <c r="AF330" s="79">
        <f>'Core Loads'!AF412</f>
        <v>9180639.3762371354</v>
      </c>
      <c r="AG330"/>
      <c r="AH330" s="17" t="s">
        <v>279</v>
      </c>
    </row>
    <row r="331" spans="2:34" hidden="1" outlineLevel="1" x14ac:dyDescent="0.25">
      <c r="B331" s="31" t="s">
        <v>145</v>
      </c>
      <c r="C331" s="79">
        <f>'Core Loads'!C413</f>
        <v>0</v>
      </c>
      <c r="D331" s="79">
        <f>'Core Loads'!D413</f>
        <v>0</v>
      </c>
      <c r="E331" s="79">
        <f>'Core Loads'!E413</f>
        <v>0</v>
      </c>
      <c r="F331" s="79">
        <f>'Core Loads'!F413</f>
        <v>0</v>
      </c>
      <c r="G331" s="79">
        <f>'Core Loads'!G413</f>
        <v>0</v>
      </c>
      <c r="H331" s="79">
        <f>'Core Loads'!H413</f>
        <v>0</v>
      </c>
      <c r="I331" s="79">
        <f>'Core Loads'!I413</f>
        <v>0</v>
      </c>
      <c r="J331" s="79">
        <f>'Core Loads'!J413</f>
        <v>0</v>
      </c>
      <c r="K331" s="79">
        <f>'Core Loads'!K413</f>
        <v>0</v>
      </c>
      <c r="L331" s="79">
        <f>'Core Loads'!L413</f>
        <v>0</v>
      </c>
      <c r="M331" s="79">
        <f>'Core Loads'!M413</f>
        <v>0</v>
      </c>
      <c r="N331" s="79">
        <f>'Core Loads'!N413</f>
        <v>0</v>
      </c>
      <c r="O331" s="79">
        <f>'Core Loads'!O413</f>
        <v>0</v>
      </c>
      <c r="P331" s="79">
        <f>'Core Loads'!P413</f>
        <v>0</v>
      </c>
      <c r="Q331" s="79">
        <f>'Core Loads'!Q413</f>
        <v>7070995.9866567403</v>
      </c>
      <c r="R331" s="79">
        <f>'Core Loads'!R413</f>
        <v>7414629.3906567395</v>
      </c>
      <c r="S331" s="79">
        <f>'Core Loads'!S413</f>
        <v>7414629.3906567395</v>
      </c>
      <c r="T331" s="79">
        <f>'Core Loads'!T413</f>
        <v>7414629.3906567395</v>
      </c>
      <c r="U331" s="79">
        <f>'Core Loads'!U413</f>
        <v>7414629.3906567395</v>
      </c>
      <c r="V331" s="79">
        <f>'Core Loads'!V413</f>
        <v>7414629.3906567395</v>
      </c>
      <c r="W331" s="79">
        <f>'Core Loads'!W413</f>
        <v>7414629.3906567395</v>
      </c>
      <c r="X331" s="79">
        <f>'Core Loads'!X413</f>
        <v>7414629.3906567395</v>
      </c>
      <c r="Y331" s="79">
        <f>'Core Loads'!Y413</f>
        <v>7414629.3906567395</v>
      </c>
      <c r="Z331" s="79">
        <f>'Core Loads'!Z413</f>
        <v>7414629.3906567395</v>
      </c>
      <c r="AA331" s="79">
        <f>'Core Loads'!AA413</f>
        <v>7414629.3906567395</v>
      </c>
      <c r="AB331" s="79">
        <f>'Core Loads'!AB413</f>
        <v>7275034.2137464946</v>
      </c>
      <c r="AC331" s="79">
        <f>'Core Loads'!AC413</f>
        <v>7275034.2137464946</v>
      </c>
      <c r="AD331" s="79">
        <f>'Core Loads'!AD413</f>
        <v>7275034.2137464946</v>
      </c>
      <c r="AE331" s="79">
        <f>'Core Loads'!AE413</f>
        <v>7275034.2137464946</v>
      </c>
      <c r="AF331" s="79">
        <f>'Core Loads'!AF413</f>
        <v>7275034.2137464946</v>
      </c>
      <c r="AG331"/>
      <c r="AH331" s="17" t="s">
        <v>279</v>
      </c>
    </row>
    <row r="332" spans="2:34" hidden="1" outlineLevel="1" x14ac:dyDescent="0.25">
      <c r="B332" s="31" t="s">
        <v>244</v>
      </c>
      <c r="C332" s="79">
        <f>'Core Loads'!C414</f>
        <v>0</v>
      </c>
      <c r="D332" s="79">
        <f>'Core Loads'!D414</f>
        <v>0</v>
      </c>
      <c r="E332" s="79">
        <f>'Core Loads'!E414</f>
        <v>0</v>
      </c>
      <c r="F332" s="79">
        <f>'Core Loads'!F414</f>
        <v>0</v>
      </c>
      <c r="G332" s="79">
        <f>'Core Loads'!G414</f>
        <v>0</v>
      </c>
      <c r="H332" s="79">
        <f>'Core Loads'!H414</f>
        <v>9030220.9413444977</v>
      </c>
      <c r="I332" s="79">
        <f>'Core Loads'!I414</f>
        <v>9030220.9413444977</v>
      </c>
      <c r="J332" s="79">
        <f>'Core Loads'!J414</f>
        <v>8618746.7922525238</v>
      </c>
      <c r="K332" s="79">
        <f>'Core Loads'!K414</f>
        <v>8618746.7922525238</v>
      </c>
      <c r="L332" s="79">
        <f>'Core Loads'!L414</f>
        <v>8618746.7922525238</v>
      </c>
      <c r="M332" s="79">
        <f>'Core Loads'!M414</f>
        <v>12282787.987154512</v>
      </c>
      <c r="N332" s="79">
        <f>'Core Loads'!N414</f>
        <v>12072341.823565682</v>
      </c>
      <c r="O332" s="79">
        <f>'Core Loads'!O414</f>
        <v>12072341.823565682</v>
      </c>
      <c r="P332" s="79">
        <f>'Core Loads'!P414</f>
        <v>12043702.36541985</v>
      </c>
      <c r="Q332" s="79">
        <f>'Core Loads'!Q414</f>
        <v>14997195.012872687</v>
      </c>
      <c r="R332" s="79">
        <f>'Core Loads'!R414</f>
        <v>15766985.012872687</v>
      </c>
      <c r="S332" s="79">
        <f>'Core Loads'!S414</f>
        <v>15766985.012872687</v>
      </c>
      <c r="T332" s="79">
        <f>'Core Loads'!T414</f>
        <v>15766985.012872687</v>
      </c>
      <c r="U332" s="79">
        <f>'Core Loads'!U414</f>
        <v>15766985.012872687</v>
      </c>
      <c r="V332" s="79">
        <f>'Core Loads'!V414</f>
        <v>15661982.603749251</v>
      </c>
      <c r="W332" s="79">
        <f>'Core Loads'!W414</f>
        <v>15661982.603749251</v>
      </c>
      <c r="X332" s="79">
        <f>'Core Loads'!X414</f>
        <v>15661982.603749251</v>
      </c>
      <c r="Y332" s="79">
        <f>'Core Loads'!Y414</f>
        <v>15661982.603749251</v>
      </c>
      <c r="Z332" s="79">
        <f>'Core Loads'!Z414</f>
        <v>15661982.603749251</v>
      </c>
      <c r="AA332" s="79">
        <f>'Core Loads'!AA414</f>
        <v>15661982.603749251</v>
      </c>
      <c r="AB332" s="79">
        <f>'Core Loads'!AB414</f>
        <v>15661982.603749251</v>
      </c>
      <c r="AC332" s="79">
        <f>'Core Loads'!AC414</f>
        <v>15661982.603749251</v>
      </c>
      <c r="AD332" s="79">
        <f>'Core Loads'!AD414</f>
        <v>15661982.603749251</v>
      </c>
      <c r="AE332" s="79">
        <f>'Core Loads'!AE414</f>
        <v>15661982.603749251</v>
      </c>
      <c r="AF332" s="79">
        <f>'Core Loads'!AF414</f>
        <v>15661982.603749251</v>
      </c>
      <c r="AG332"/>
      <c r="AH332" s="17" t="s">
        <v>279</v>
      </c>
    </row>
    <row r="333" spans="2:34" hidden="1" outlineLevel="1" x14ac:dyDescent="0.25">
      <c r="B333" s="31" t="s">
        <v>147</v>
      </c>
      <c r="C333" s="79">
        <f>'Core Loads'!C415</f>
        <v>0</v>
      </c>
      <c r="D333" s="79">
        <f>'Core Loads'!D415</f>
        <v>0</v>
      </c>
      <c r="E333" s="79">
        <f>'Core Loads'!E415</f>
        <v>0</v>
      </c>
      <c r="F333" s="79">
        <f>'Core Loads'!F415</f>
        <v>0</v>
      </c>
      <c r="G333" s="79">
        <f>'Core Loads'!G415</f>
        <v>0</v>
      </c>
      <c r="H333" s="79">
        <f>'Core Loads'!H415</f>
        <v>0</v>
      </c>
      <c r="I333" s="79">
        <f>'Core Loads'!I415</f>
        <v>0</v>
      </c>
      <c r="J333" s="79">
        <f>'Core Loads'!J415</f>
        <v>0</v>
      </c>
      <c r="K333" s="79">
        <f>'Core Loads'!K415</f>
        <v>0</v>
      </c>
      <c r="L333" s="79">
        <f>'Core Loads'!L415</f>
        <v>0</v>
      </c>
      <c r="M333" s="79">
        <f>'Core Loads'!M415</f>
        <v>0</v>
      </c>
      <c r="N333" s="79">
        <f>'Core Loads'!N415</f>
        <v>0</v>
      </c>
      <c r="O333" s="79">
        <f>'Core Loads'!O415</f>
        <v>0</v>
      </c>
      <c r="P333" s="79">
        <f>'Core Loads'!P415</f>
        <v>0</v>
      </c>
      <c r="Q333" s="79">
        <f>'Core Loads'!Q415</f>
        <v>0</v>
      </c>
      <c r="R333" s="79">
        <f>'Core Loads'!R415</f>
        <v>0</v>
      </c>
      <c r="S333" s="79">
        <f>'Core Loads'!S415</f>
        <v>0</v>
      </c>
      <c r="T333" s="79">
        <f>'Core Loads'!T415</f>
        <v>0</v>
      </c>
      <c r="U333" s="79">
        <f>'Core Loads'!U415</f>
        <v>0</v>
      </c>
      <c r="V333" s="79">
        <f>'Core Loads'!V415</f>
        <v>0</v>
      </c>
      <c r="W333" s="79">
        <f>'Core Loads'!W415</f>
        <v>0</v>
      </c>
      <c r="X333" s="79">
        <f>'Core Loads'!X415</f>
        <v>0</v>
      </c>
      <c r="Y333" s="79">
        <f>'Core Loads'!Y415</f>
        <v>0</v>
      </c>
      <c r="Z333" s="79">
        <f>'Core Loads'!Z415</f>
        <v>0</v>
      </c>
      <c r="AA333" s="79">
        <f>'Core Loads'!AA415</f>
        <v>0</v>
      </c>
      <c r="AB333" s="79">
        <f>'Core Loads'!AB415</f>
        <v>0</v>
      </c>
      <c r="AC333" s="79">
        <f>'Core Loads'!AC415</f>
        <v>0</v>
      </c>
      <c r="AD333" s="79">
        <f>'Core Loads'!AD415</f>
        <v>0</v>
      </c>
      <c r="AE333" s="79">
        <f>'Core Loads'!AE415</f>
        <v>0</v>
      </c>
      <c r="AF333" s="79">
        <f>'Core Loads'!AF415</f>
        <v>0</v>
      </c>
      <c r="AG333"/>
      <c r="AH333" s="17" t="s">
        <v>279</v>
      </c>
    </row>
    <row r="334" spans="2:34" hidden="1" outlineLevel="1" x14ac:dyDescent="0.25">
      <c r="B334" s="31" t="s">
        <v>245</v>
      </c>
      <c r="C334" s="79">
        <f>'Core Loads'!C416</f>
        <v>0</v>
      </c>
      <c r="D334" s="79">
        <f>'Core Loads'!D416</f>
        <v>0</v>
      </c>
      <c r="E334" s="79">
        <f>'Core Loads'!E416</f>
        <v>0</v>
      </c>
      <c r="F334" s="79">
        <f>'Core Loads'!F416</f>
        <v>0</v>
      </c>
      <c r="G334" s="79">
        <f>'Core Loads'!G416</f>
        <v>0</v>
      </c>
      <c r="H334" s="79">
        <f>'Core Loads'!H416</f>
        <v>0</v>
      </c>
      <c r="I334" s="79">
        <f>'Core Loads'!I416</f>
        <v>0</v>
      </c>
      <c r="J334" s="79">
        <f>'Core Loads'!J416</f>
        <v>0</v>
      </c>
      <c r="K334" s="79">
        <f>'Core Loads'!K416</f>
        <v>0</v>
      </c>
      <c r="L334" s="79">
        <f>'Core Loads'!L416</f>
        <v>0</v>
      </c>
      <c r="M334" s="79">
        <f>'Core Loads'!M416</f>
        <v>0</v>
      </c>
      <c r="N334" s="79">
        <f>'Core Loads'!N416</f>
        <v>0</v>
      </c>
      <c r="O334" s="79">
        <f>'Core Loads'!O416</f>
        <v>0</v>
      </c>
      <c r="P334" s="79">
        <f>'Core Loads'!P416</f>
        <v>0</v>
      </c>
      <c r="Q334" s="79">
        <f>'Core Loads'!Q416</f>
        <v>3395321.1464</v>
      </c>
      <c r="R334" s="79">
        <f>'Core Loads'!R416</f>
        <v>8011631.8983999994</v>
      </c>
      <c r="S334" s="79">
        <f>'Core Loads'!S416</f>
        <v>8011631.8983999994</v>
      </c>
      <c r="T334" s="79">
        <f>'Core Loads'!T416</f>
        <v>8011631.8983999994</v>
      </c>
      <c r="U334" s="79">
        <f>'Core Loads'!U416</f>
        <v>8011631.8983999994</v>
      </c>
      <c r="V334" s="79">
        <f>'Core Loads'!V416</f>
        <v>8011631.8983999994</v>
      </c>
      <c r="W334" s="79">
        <f>'Core Loads'!W416</f>
        <v>8011631.8983999994</v>
      </c>
      <c r="X334" s="79">
        <f>'Core Loads'!X416</f>
        <v>8011631.8983999994</v>
      </c>
      <c r="Y334" s="79">
        <f>'Core Loads'!Y416</f>
        <v>8011631.8983999994</v>
      </c>
      <c r="Z334" s="79">
        <f>'Core Loads'!Z416</f>
        <v>8011631.8983999994</v>
      </c>
      <c r="AA334" s="79">
        <f>'Core Loads'!AA416</f>
        <v>8011631.8983999994</v>
      </c>
      <c r="AB334" s="79">
        <f>'Core Loads'!AB416</f>
        <v>8011631.8983999994</v>
      </c>
      <c r="AC334" s="79">
        <f>'Core Loads'!AC416</f>
        <v>8011631.8983999994</v>
      </c>
      <c r="AD334" s="79">
        <f>'Core Loads'!AD416</f>
        <v>8011631.8983999994</v>
      </c>
      <c r="AE334" s="79">
        <f>'Core Loads'!AE416</f>
        <v>8011631.8983999994</v>
      </c>
      <c r="AF334" s="79">
        <f>'Core Loads'!AF416</f>
        <v>8011631.8983999994</v>
      </c>
      <c r="AG334"/>
      <c r="AH334" s="17" t="s">
        <v>279</v>
      </c>
    </row>
    <row r="335" spans="2:34" hidden="1" outlineLevel="1" x14ac:dyDescent="0.25">
      <c r="B335" s="31" t="s">
        <v>149</v>
      </c>
      <c r="C335" s="79">
        <f>'Core Loads'!C417</f>
        <v>0</v>
      </c>
      <c r="D335" s="79">
        <f>'Core Loads'!D417</f>
        <v>0</v>
      </c>
      <c r="E335" s="79">
        <f>'Core Loads'!E417</f>
        <v>0</v>
      </c>
      <c r="F335" s="79">
        <f>'Core Loads'!F417</f>
        <v>0</v>
      </c>
      <c r="G335" s="79">
        <f>'Core Loads'!G417</f>
        <v>0</v>
      </c>
      <c r="H335" s="79">
        <f>'Core Loads'!H417</f>
        <v>9030220.9413444977</v>
      </c>
      <c r="I335" s="79">
        <f>'Core Loads'!I417</f>
        <v>9030220.9413444977</v>
      </c>
      <c r="J335" s="79">
        <f>'Core Loads'!J417</f>
        <v>8618746.7922525238</v>
      </c>
      <c r="K335" s="79">
        <f>'Core Loads'!K417</f>
        <v>8618746.7922525238</v>
      </c>
      <c r="L335" s="79">
        <f>'Core Loads'!L417</f>
        <v>8618746.7922525238</v>
      </c>
      <c r="M335" s="79">
        <f>'Core Loads'!M417</f>
        <v>16398463.261391647</v>
      </c>
      <c r="N335" s="79">
        <f>'Core Loads'!N417</f>
        <v>16188017.097802818</v>
      </c>
      <c r="O335" s="79">
        <f>'Core Loads'!O417</f>
        <v>16188017.097802818</v>
      </c>
      <c r="P335" s="79">
        <f>'Core Loads'!P417</f>
        <v>16159377.639656985</v>
      </c>
      <c r="Q335" s="79">
        <f>'Core Loads'!Q417</f>
        <v>34644151.522166558</v>
      </c>
      <c r="R335" s="79">
        <f>'Core Loads'!R417</f>
        <v>40373885.678166561</v>
      </c>
      <c r="S335" s="79">
        <f>'Core Loads'!S417</f>
        <v>40373885.678166561</v>
      </c>
      <c r="T335" s="79">
        <f>'Core Loads'!T417</f>
        <v>40373885.678166561</v>
      </c>
      <c r="U335" s="79">
        <f>'Core Loads'!U417</f>
        <v>40373885.678166561</v>
      </c>
      <c r="V335" s="79">
        <f>'Core Loads'!V417</f>
        <v>40268883.269043125</v>
      </c>
      <c r="W335" s="79">
        <f>'Core Loads'!W417</f>
        <v>40268883.269043125</v>
      </c>
      <c r="X335" s="79">
        <f>'Core Loads'!X417</f>
        <v>40268883.269043125</v>
      </c>
      <c r="Y335" s="79">
        <f>'Core Loads'!Y417</f>
        <v>40268883.269043125</v>
      </c>
      <c r="Z335" s="79">
        <f>'Core Loads'!Z417</f>
        <v>40268883.269043125</v>
      </c>
      <c r="AA335" s="79">
        <f>'Core Loads'!AA417</f>
        <v>40268883.269043125</v>
      </c>
      <c r="AB335" s="79">
        <f>'Core Loads'!AB417</f>
        <v>40129288.092132881</v>
      </c>
      <c r="AC335" s="79">
        <f>'Core Loads'!AC417</f>
        <v>40129288.092132881</v>
      </c>
      <c r="AD335" s="79">
        <f>'Core Loads'!AD417</f>
        <v>40129288.092132881</v>
      </c>
      <c r="AE335" s="79">
        <f>'Core Loads'!AE417</f>
        <v>40129288.092132881</v>
      </c>
      <c r="AF335" s="79">
        <f>'Core Loads'!AF417</f>
        <v>40129288.092132881</v>
      </c>
      <c r="AG335"/>
      <c r="AH335" s="17" t="s">
        <v>279</v>
      </c>
    </row>
    <row r="336" spans="2:34" hidden="1" outlineLevel="1" x14ac:dyDescent="0.25"/>
    <row r="337" spans="2:35" hidden="1" outlineLevel="1" x14ac:dyDescent="0.25"/>
    <row r="338" spans="2:35" ht="15.75" collapsed="1" thickTop="1" x14ac:dyDescent="0.25"/>
    <row r="339" spans="2:35" ht="20.25" thickBot="1" x14ac:dyDescent="0.35">
      <c r="B339" s="18" t="s">
        <v>289</v>
      </c>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row>
    <row r="340" spans="2:35" ht="18" outlineLevel="1" thickTop="1" thickBot="1" x14ac:dyDescent="0.3">
      <c r="B340" s="26" t="s">
        <v>277</v>
      </c>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19"/>
      <c r="AH340" s="19"/>
    </row>
    <row r="341" spans="2:35" ht="16.5" outlineLevel="1" thickTop="1" thickBot="1" x14ac:dyDescent="0.3">
      <c r="B341" s="28" t="s">
        <v>278</v>
      </c>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0"/>
      <c r="AH341" s="20" t="s">
        <v>15</v>
      </c>
    </row>
    <row r="342" spans="2:35" customFormat="1" outlineLevel="1" x14ac:dyDescent="0.25">
      <c r="B342" s="30"/>
      <c r="C342" s="17">
        <v>2025</v>
      </c>
      <c r="D342" s="44">
        <v>2026</v>
      </c>
      <c r="E342" s="44">
        <v>2027</v>
      </c>
      <c r="F342" s="44">
        <v>2028</v>
      </c>
      <c r="G342" s="44">
        <v>2029</v>
      </c>
      <c r="H342" s="44">
        <v>2030</v>
      </c>
      <c r="I342" s="44">
        <v>2031</v>
      </c>
      <c r="J342" s="44">
        <v>2032</v>
      </c>
      <c r="K342" s="44">
        <v>2033</v>
      </c>
      <c r="L342" s="44">
        <v>2034</v>
      </c>
      <c r="M342" s="44">
        <v>2035</v>
      </c>
      <c r="N342" s="44">
        <v>2036</v>
      </c>
      <c r="O342" s="44">
        <v>2037</v>
      </c>
      <c r="P342" s="44">
        <v>2038</v>
      </c>
      <c r="Q342" s="44">
        <v>2039</v>
      </c>
      <c r="R342" s="44">
        <v>2040</v>
      </c>
      <c r="S342" s="44">
        <v>2041</v>
      </c>
      <c r="T342" s="44">
        <v>2042</v>
      </c>
      <c r="U342" s="44">
        <v>2043</v>
      </c>
      <c r="V342" s="44">
        <v>2044</v>
      </c>
      <c r="W342" s="44">
        <v>2045</v>
      </c>
      <c r="X342" s="44">
        <v>2046</v>
      </c>
      <c r="Y342" s="44">
        <v>2047</v>
      </c>
      <c r="Z342" s="44">
        <v>2048</v>
      </c>
      <c r="AA342" s="44">
        <v>2049</v>
      </c>
      <c r="AB342" s="44">
        <v>2050</v>
      </c>
      <c r="AC342" s="44">
        <v>2051</v>
      </c>
      <c r="AD342" s="44">
        <v>2052</v>
      </c>
      <c r="AE342" s="44">
        <v>2053</v>
      </c>
      <c r="AF342" s="44">
        <v>2054</v>
      </c>
    </row>
    <row r="343" spans="2:35" outlineLevel="1" x14ac:dyDescent="0.25">
      <c r="B343" s="31" t="s">
        <v>144</v>
      </c>
      <c r="C343" s="79">
        <f>'Core Loads'!C507</f>
        <v>41100367.759866863</v>
      </c>
      <c r="D343" s="79">
        <f>'Core Loads'!D507</f>
        <v>41100367.759866863</v>
      </c>
      <c r="E343" s="79">
        <f>'Core Loads'!E507</f>
        <v>41100367.759866863</v>
      </c>
      <c r="F343" s="79">
        <f>'Core Loads'!F507</f>
        <v>0</v>
      </c>
      <c r="G343" s="79">
        <f>'Core Loads'!G507</f>
        <v>0</v>
      </c>
      <c r="H343" s="79">
        <f>'Core Loads'!H507</f>
        <v>0</v>
      </c>
      <c r="I343" s="79">
        <f>'Core Loads'!I507</f>
        <v>0</v>
      </c>
      <c r="J343" s="79">
        <f>'Core Loads'!J507</f>
        <v>0</v>
      </c>
      <c r="K343" s="79">
        <f>'Core Loads'!K507</f>
        <v>0</v>
      </c>
      <c r="L343" s="79">
        <f>'Core Loads'!L507</f>
        <v>0</v>
      </c>
      <c r="M343" s="79">
        <f>'Core Loads'!M507</f>
        <v>0</v>
      </c>
      <c r="N343" s="79">
        <f>'Core Loads'!N507</f>
        <v>0</v>
      </c>
      <c r="O343" s="79">
        <f>'Core Loads'!O507</f>
        <v>0</v>
      </c>
      <c r="P343" s="79">
        <f>'Core Loads'!P507</f>
        <v>0</v>
      </c>
      <c r="Q343" s="79">
        <f>'Core Loads'!Q507</f>
        <v>0</v>
      </c>
      <c r="R343" s="79">
        <f>'Core Loads'!R507</f>
        <v>0</v>
      </c>
      <c r="S343" s="79">
        <f>'Core Loads'!S507</f>
        <v>0</v>
      </c>
      <c r="T343" s="79">
        <f>'Core Loads'!T507</f>
        <v>0</v>
      </c>
      <c r="U343" s="79">
        <f>'Core Loads'!U507</f>
        <v>0</v>
      </c>
      <c r="V343" s="79">
        <f>'Core Loads'!V507</f>
        <v>0</v>
      </c>
      <c r="W343" s="79">
        <f>'Core Loads'!W507</f>
        <v>0</v>
      </c>
      <c r="X343" s="79">
        <f>'Core Loads'!X507</f>
        <v>0</v>
      </c>
      <c r="Y343" s="79">
        <f>'Core Loads'!Y507</f>
        <v>0</v>
      </c>
      <c r="Z343" s="79">
        <f>'Core Loads'!Z507</f>
        <v>0</v>
      </c>
      <c r="AA343" s="79">
        <f>'Core Loads'!AA507</f>
        <v>0</v>
      </c>
      <c r="AB343" s="79">
        <f>'Core Loads'!AB507</f>
        <v>0</v>
      </c>
      <c r="AC343" s="79">
        <f>'Core Loads'!AC507</f>
        <v>0</v>
      </c>
      <c r="AD343" s="79">
        <f>'Core Loads'!AD507</f>
        <v>0</v>
      </c>
      <c r="AE343" s="79">
        <f>'Core Loads'!AE507</f>
        <v>0</v>
      </c>
      <c r="AF343" s="79">
        <f>'Core Loads'!AF507</f>
        <v>0</v>
      </c>
      <c r="AG343"/>
      <c r="AH343" s="17" t="s">
        <v>279</v>
      </c>
    </row>
    <row r="344" spans="2:35" outlineLevel="1" x14ac:dyDescent="0.25">
      <c r="B344" s="31" t="s">
        <v>145</v>
      </c>
      <c r="C344" s="79">
        <f>'Core Loads'!C508</f>
        <v>15277743.907373067</v>
      </c>
      <c r="D344" s="79">
        <f>'Core Loads'!D508</f>
        <v>15770486.74488374</v>
      </c>
      <c r="E344" s="79">
        <f>'Core Loads'!E508</f>
        <v>15770486.74488374</v>
      </c>
      <c r="F344" s="79">
        <f>'Core Loads'!F508</f>
        <v>0</v>
      </c>
      <c r="G344" s="79">
        <f>'Core Loads'!G508</f>
        <v>0</v>
      </c>
      <c r="H344" s="79">
        <f>'Core Loads'!H508</f>
        <v>0</v>
      </c>
      <c r="I344" s="79">
        <f>'Core Loads'!I508</f>
        <v>0</v>
      </c>
      <c r="J344" s="79">
        <f>'Core Loads'!J508</f>
        <v>0</v>
      </c>
      <c r="K344" s="79">
        <f>'Core Loads'!K508</f>
        <v>0</v>
      </c>
      <c r="L344" s="79">
        <f>'Core Loads'!L508</f>
        <v>0</v>
      </c>
      <c r="M344" s="79">
        <f>'Core Loads'!M508</f>
        <v>0</v>
      </c>
      <c r="N344" s="79">
        <f>'Core Loads'!N508</f>
        <v>0</v>
      </c>
      <c r="O344" s="79">
        <f>'Core Loads'!O508</f>
        <v>0</v>
      </c>
      <c r="P344" s="79">
        <f>'Core Loads'!P508</f>
        <v>0</v>
      </c>
      <c r="Q344" s="79">
        <f>'Core Loads'!Q508</f>
        <v>0</v>
      </c>
      <c r="R344" s="79">
        <f>'Core Loads'!R508</f>
        <v>0</v>
      </c>
      <c r="S344" s="79">
        <f>'Core Loads'!S508</f>
        <v>0</v>
      </c>
      <c r="T344" s="79">
        <f>'Core Loads'!T508</f>
        <v>0</v>
      </c>
      <c r="U344" s="79">
        <f>'Core Loads'!U508</f>
        <v>0</v>
      </c>
      <c r="V344" s="79">
        <f>'Core Loads'!V508</f>
        <v>0</v>
      </c>
      <c r="W344" s="79">
        <f>'Core Loads'!W508</f>
        <v>0</v>
      </c>
      <c r="X344" s="79">
        <f>'Core Loads'!X508</f>
        <v>0</v>
      </c>
      <c r="Y344" s="79">
        <f>'Core Loads'!Y508</f>
        <v>0</v>
      </c>
      <c r="Z344" s="79">
        <f>'Core Loads'!Z508</f>
        <v>0</v>
      </c>
      <c r="AA344" s="79">
        <f>'Core Loads'!AA508</f>
        <v>0</v>
      </c>
      <c r="AB344" s="79">
        <f>'Core Loads'!AB508</f>
        <v>0</v>
      </c>
      <c r="AC344" s="79">
        <f>'Core Loads'!AC508</f>
        <v>0</v>
      </c>
      <c r="AD344" s="79">
        <f>'Core Loads'!AD508</f>
        <v>0</v>
      </c>
      <c r="AE344" s="79">
        <f>'Core Loads'!AE508</f>
        <v>0</v>
      </c>
      <c r="AF344" s="79">
        <f>'Core Loads'!AF508</f>
        <v>0</v>
      </c>
      <c r="AG344"/>
      <c r="AH344" s="17" t="s">
        <v>279</v>
      </c>
    </row>
    <row r="345" spans="2:35" outlineLevel="1" x14ac:dyDescent="0.25">
      <c r="B345" s="31" t="s">
        <v>244</v>
      </c>
      <c r="C345" s="79">
        <f>'Core Loads'!C509</f>
        <v>74467327.643795222</v>
      </c>
      <c r="D345" s="79">
        <f>'Core Loads'!D509</f>
        <v>74467327.643795222</v>
      </c>
      <c r="E345" s="79">
        <f>'Core Loads'!E509</f>
        <v>0</v>
      </c>
      <c r="F345" s="79">
        <f>'Core Loads'!F509</f>
        <v>0</v>
      </c>
      <c r="G345" s="79">
        <f>'Core Loads'!G509</f>
        <v>0</v>
      </c>
      <c r="H345" s="79">
        <f>'Core Loads'!H509</f>
        <v>0</v>
      </c>
      <c r="I345" s="79">
        <f>'Core Loads'!I509</f>
        <v>0</v>
      </c>
      <c r="J345" s="79">
        <f>'Core Loads'!J509</f>
        <v>0</v>
      </c>
      <c r="K345" s="79">
        <f>'Core Loads'!K509</f>
        <v>0</v>
      </c>
      <c r="L345" s="79">
        <f>'Core Loads'!L509</f>
        <v>0</v>
      </c>
      <c r="M345" s="79">
        <f>'Core Loads'!M509</f>
        <v>0</v>
      </c>
      <c r="N345" s="79">
        <f>'Core Loads'!N509</f>
        <v>0</v>
      </c>
      <c r="O345" s="79">
        <f>'Core Loads'!O509</f>
        <v>0</v>
      </c>
      <c r="P345" s="79">
        <f>'Core Loads'!P509</f>
        <v>0</v>
      </c>
      <c r="Q345" s="79">
        <f>'Core Loads'!Q509</f>
        <v>0</v>
      </c>
      <c r="R345" s="79">
        <f>'Core Loads'!R509</f>
        <v>0</v>
      </c>
      <c r="S345" s="79">
        <f>'Core Loads'!S509</f>
        <v>0</v>
      </c>
      <c r="T345" s="79">
        <f>'Core Loads'!T509</f>
        <v>0</v>
      </c>
      <c r="U345" s="79">
        <f>'Core Loads'!U509</f>
        <v>0</v>
      </c>
      <c r="V345" s="79">
        <f>'Core Loads'!V509</f>
        <v>0</v>
      </c>
      <c r="W345" s="79">
        <f>'Core Loads'!W509</f>
        <v>0</v>
      </c>
      <c r="X345" s="79">
        <f>'Core Loads'!X509</f>
        <v>0</v>
      </c>
      <c r="Y345" s="79">
        <f>'Core Loads'!Y509</f>
        <v>0</v>
      </c>
      <c r="Z345" s="79">
        <f>'Core Loads'!Z509</f>
        <v>0</v>
      </c>
      <c r="AA345" s="79">
        <f>'Core Loads'!AA509</f>
        <v>0</v>
      </c>
      <c r="AB345" s="79">
        <f>'Core Loads'!AB509</f>
        <v>0</v>
      </c>
      <c r="AC345" s="79">
        <f>'Core Loads'!AC509</f>
        <v>0</v>
      </c>
      <c r="AD345" s="79">
        <f>'Core Loads'!AD509</f>
        <v>0</v>
      </c>
      <c r="AE345" s="79">
        <f>'Core Loads'!AE509</f>
        <v>0</v>
      </c>
      <c r="AF345" s="79">
        <f>'Core Loads'!AF509</f>
        <v>0</v>
      </c>
      <c r="AG345"/>
      <c r="AH345" s="17" t="s">
        <v>279</v>
      </c>
    </row>
    <row r="346" spans="2:35" outlineLevel="1" x14ac:dyDescent="0.25">
      <c r="B346" s="31" t="s">
        <v>147</v>
      </c>
      <c r="C346" s="79">
        <f>'Core Loads'!C510</f>
        <v>0</v>
      </c>
      <c r="D346" s="79">
        <f>'Core Loads'!D510</f>
        <v>0</v>
      </c>
      <c r="E346" s="79">
        <f>'Core Loads'!E510</f>
        <v>0</v>
      </c>
      <c r="F346" s="79">
        <f>'Core Loads'!F510</f>
        <v>0</v>
      </c>
      <c r="G346" s="79">
        <f>'Core Loads'!G510</f>
        <v>0</v>
      </c>
      <c r="H346" s="79">
        <f>'Core Loads'!H510</f>
        <v>0</v>
      </c>
      <c r="I346" s="79">
        <f>'Core Loads'!I510</f>
        <v>0</v>
      </c>
      <c r="J346" s="79">
        <f>'Core Loads'!J510</f>
        <v>0</v>
      </c>
      <c r="K346" s="79">
        <f>'Core Loads'!K510</f>
        <v>0</v>
      </c>
      <c r="L346" s="79">
        <f>'Core Loads'!L510</f>
        <v>0</v>
      </c>
      <c r="M346" s="79">
        <f>'Core Loads'!M510</f>
        <v>0</v>
      </c>
      <c r="N346" s="79">
        <f>'Core Loads'!N510</f>
        <v>0</v>
      </c>
      <c r="O346" s="79">
        <f>'Core Loads'!O510</f>
        <v>0</v>
      </c>
      <c r="P346" s="79">
        <f>'Core Loads'!P510</f>
        <v>0</v>
      </c>
      <c r="Q346" s="79">
        <f>'Core Loads'!Q510</f>
        <v>0</v>
      </c>
      <c r="R346" s="79">
        <f>'Core Loads'!R510</f>
        <v>0</v>
      </c>
      <c r="S346" s="79">
        <f>'Core Loads'!S510</f>
        <v>0</v>
      </c>
      <c r="T346" s="79">
        <f>'Core Loads'!T510</f>
        <v>0</v>
      </c>
      <c r="U346" s="79">
        <f>'Core Loads'!U510</f>
        <v>0</v>
      </c>
      <c r="V346" s="79">
        <f>'Core Loads'!V510</f>
        <v>0</v>
      </c>
      <c r="W346" s="79">
        <f>'Core Loads'!W510</f>
        <v>0</v>
      </c>
      <c r="X346" s="79">
        <f>'Core Loads'!X510</f>
        <v>0</v>
      </c>
      <c r="Y346" s="79">
        <f>'Core Loads'!Y510</f>
        <v>0</v>
      </c>
      <c r="Z346" s="79">
        <f>'Core Loads'!Z510</f>
        <v>0</v>
      </c>
      <c r="AA346" s="79">
        <f>'Core Loads'!AA510</f>
        <v>0</v>
      </c>
      <c r="AB346" s="79">
        <f>'Core Loads'!AB510</f>
        <v>0</v>
      </c>
      <c r="AC346" s="79">
        <f>'Core Loads'!AC510</f>
        <v>0</v>
      </c>
      <c r="AD346" s="79">
        <f>'Core Loads'!AD510</f>
        <v>0</v>
      </c>
      <c r="AE346" s="79">
        <f>'Core Loads'!AE510</f>
        <v>0</v>
      </c>
      <c r="AF346" s="79">
        <f>'Core Loads'!AF510</f>
        <v>0</v>
      </c>
      <c r="AG346"/>
      <c r="AH346" s="17" t="s">
        <v>279</v>
      </c>
    </row>
    <row r="347" spans="2:35" outlineLevel="1" x14ac:dyDescent="0.25">
      <c r="B347" s="31" t="s">
        <v>245</v>
      </c>
      <c r="C347" s="79">
        <f>'Core Loads'!C511</f>
        <v>5531260.8599999994</v>
      </c>
      <c r="D347" s="79">
        <f>'Core Loads'!D511</f>
        <v>5531260.8599999994</v>
      </c>
      <c r="E347" s="79">
        <f>'Core Loads'!E511</f>
        <v>5531260.8599999994</v>
      </c>
      <c r="F347" s="79">
        <f>'Core Loads'!F511</f>
        <v>0</v>
      </c>
      <c r="G347" s="79">
        <f>'Core Loads'!G511</f>
        <v>0</v>
      </c>
      <c r="H347" s="79">
        <f>'Core Loads'!H511</f>
        <v>0</v>
      </c>
      <c r="I347" s="79">
        <f>'Core Loads'!I511</f>
        <v>0</v>
      </c>
      <c r="J347" s="79">
        <f>'Core Loads'!J511</f>
        <v>0</v>
      </c>
      <c r="K347" s="79">
        <f>'Core Loads'!K511</f>
        <v>0</v>
      </c>
      <c r="L347" s="79">
        <f>'Core Loads'!L511</f>
        <v>0</v>
      </c>
      <c r="M347" s="79">
        <f>'Core Loads'!M511</f>
        <v>0</v>
      </c>
      <c r="N347" s="79">
        <f>'Core Loads'!N511</f>
        <v>0</v>
      </c>
      <c r="O347" s="79">
        <f>'Core Loads'!O511</f>
        <v>0</v>
      </c>
      <c r="P347" s="79">
        <f>'Core Loads'!P511</f>
        <v>0</v>
      </c>
      <c r="Q347" s="79">
        <f>'Core Loads'!Q511</f>
        <v>0</v>
      </c>
      <c r="R347" s="79">
        <f>'Core Loads'!R511</f>
        <v>0</v>
      </c>
      <c r="S347" s="79">
        <f>'Core Loads'!S511</f>
        <v>0</v>
      </c>
      <c r="T347" s="79">
        <f>'Core Loads'!T511</f>
        <v>0</v>
      </c>
      <c r="U347" s="79">
        <f>'Core Loads'!U511</f>
        <v>0</v>
      </c>
      <c r="V347" s="79">
        <f>'Core Loads'!V511</f>
        <v>0</v>
      </c>
      <c r="W347" s="79">
        <f>'Core Loads'!W511</f>
        <v>0</v>
      </c>
      <c r="X347" s="79">
        <f>'Core Loads'!X511</f>
        <v>0</v>
      </c>
      <c r="Y347" s="79">
        <f>'Core Loads'!Y511</f>
        <v>0</v>
      </c>
      <c r="Z347" s="79">
        <f>'Core Loads'!Z511</f>
        <v>0</v>
      </c>
      <c r="AA347" s="79">
        <f>'Core Loads'!AA511</f>
        <v>0</v>
      </c>
      <c r="AB347" s="79">
        <f>'Core Loads'!AB511</f>
        <v>0</v>
      </c>
      <c r="AC347" s="79">
        <f>'Core Loads'!AC511</f>
        <v>0</v>
      </c>
      <c r="AD347" s="79">
        <f>'Core Loads'!AD511</f>
        <v>0</v>
      </c>
      <c r="AE347" s="79">
        <f>'Core Loads'!AE511</f>
        <v>0</v>
      </c>
      <c r="AF347" s="79">
        <f>'Core Loads'!AF511</f>
        <v>0</v>
      </c>
      <c r="AG347"/>
      <c r="AH347" s="17" t="s">
        <v>279</v>
      </c>
    </row>
    <row r="348" spans="2:35" outlineLevel="1" x14ac:dyDescent="0.25">
      <c r="B348" s="31" t="s">
        <v>149</v>
      </c>
      <c r="C348" s="79">
        <f>'Core Loads'!C512</f>
        <v>136376700.17103517</v>
      </c>
      <c r="D348" s="79">
        <f>'Core Loads'!D512</f>
        <v>136869443.00854582</v>
      </c>
      <c r="E348" s="79">
        <f>'Core Loads'!E512</f>
        <v>62402115.364750601</v>
      </c>
      <c r="F348" s="79">
        <f>'Core Loads'!F512</f>
        <v>0</v>
      </c>
      <c r="G348" s="79">
        <f>'Core Loads'!G512</f>
        <v>0</v>
      </c>
      <c r="H348" s="79">
        <f>'Core Loads'!H512</f>
        <v>0</v>
      </c>
      <c r="I348" s="79">
        <f>'Core Loads'!I512</f>
        <v>0</v>
      </c>
      <c r="J348" s="79">
        <f>'Core Loads'!J512</f>
        <v>0</v>
      </c>
      <c r="K348" s="79">
        <f>'Core Loads'!K512</f>
        <v>0</v>
      </c>
      <c r="L348" s="79">
        <f>'Core Loads'!L512</f>
        <v>0</v>
      </c>
      <c r="M348" s="79">
        <f>'Core Loads'!M512</f>
        <v>0</v>
      </c>
      <c r="N348" s="79">
        <f>'Core Loads'!N512</f>
        <v>0</v>
      </c>
      <c r="O348" s="79">
        <f>'Core Loads'!O512</f>
        <v>0</v>
      </c>
      <c r="P348" s="79">
        <f>'Core Loads'!P512</f>
        <v>0</v>
      </c>
      <c r="Q348" s="79">
        <f>'Core Loads'!Q512</f>
        <v>0</v>
      </c>
      <c r="R348" s="79">
        <f>'Core Loads'!R512</f>
        <v>0</v>
      </c>
      <c r="S348" s="79">
        <f>'Core Loads'!S512</f>
        <v>0</v>
      </c>
      <c r="T348" s="79">
        <f>'Core Loads'!T512</f>
        <v>0</v>
      </c>
      <c r="U348" s="79">
        <f>'Core Loads'!U512</f>
        <v>0</v>
      </c>
      <c r="V348" s="79">
        <f>'Core Loads'!V512</f>
        <v>0</v>
      </c>
      <c r="W348" s="79">
        <f>'Core Loads'!W512</f>
        <v>0</v>
      </c>
      <c r="X348" s="79">
        <f>'Core Loads'!X512</f>
        <v>0</v>
      </c>
      <c r="Y348" s="79">
        <f>'Core Loads'!Y512</f>
        <v>0</v>
      </c>
      <c r="Z348" s="79">
        <f>'Core Loads'!Z512</f>
        <v>0</v>
      </c>
      <c r="AA348" s="79">
        <f>'Core Loads'!AA512</f>
        <v>0</v>
      </c>
      <c r="AB348" s="79">
        <f>'Core Loads'!AB512</f>
        <v>0</v>
      </c>
      <c r="AC348" s="79">
        <f>'Core Loads'!AC512</f>
        <v>0</v>
      </c>
      <c r="AD348" s="79">
        <f>'Core Loads'!AD512</f>
        <v>0</v>
      </c>
      <c r="AE348" s="79">
        <f>'Core Loads'!AE512</f>
        <v>0</v>
      </c>
      <c r="AF348" s="79">
        <f>'Core Loads'!AF512</f>
        <v>0</v>
      </c>
      <c r="AG348"/>
      <c r="AH348" s="17" t="s">
        <v>279</v>
      </c>
      <c r="AI348"/>
    </row>
    <row r="349" spans="2:35" outlineLevel="1" x14ac:dyDescent="0.25">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c r="AH349"/>
      <c r="AI349"/>
    </row>
    <row r="350" spans="2:35" customFormat="1" ht="15.75" outlineLevel="1" thickBot="1" x14ac:dyDescent="0.3">
      <c r="B350" s="28" t="s">
        <v>280</v>
      </c>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0"/>
      <c r="AH350" s="20" t="s">
        <v>15</v>
      </c>
    </row>
    <row r="351" spans="2:35" customFormat="1" outlineLevel="1" x14ac:dyDescent="0.25">
      <c r="B351" s="30"/>
      <c r="C351" s="17">
        <v>2025</v>
      </c>
      <c r="D351" s="44">
        <v>2026</v>
      </c>
      <c r="E351" s="44">
        <v>2027</v>
      </c>
      <c r="F351" s="44">
        <v>2028</v>
      </c>
      <c r="G351" s="44">
        <v>2029</v>
      </c>
      <c r="H351" s="44">
        <v>2030</v>
      </c>
      <c r="I351" s="44">
        <v>2031</v>
      </c>
      <c r="J351" s="44">
        <v>2032</v>
      </c>
      <c r="K351" s="44">
        <v>2033</v>
      </c>
      <c r="L351" s="44">
        <v>2034</v>
      </c>
      <c r="M351" s="44">
        <v>2035</v>
      </c>
      <c r="N351" s="44">
        <v>2036</v>
      </c>
      <c r="O351" s="44">
        <v>2037</v>
      </c>
      <c r="P351" s="44">
        <v>2038</v>
      </c>
      <c r="Q351" s="44">
        <v>2039</v>
      </c>
      <c r="R351" s="44">
        <v>2040</v>
      </c>
      <c r="S351" s="44">
        <v>2041</v>
      </c>
      <c r="T351" s="44">
        <v>2042</v>
      </c>
      <c r="U351" s="44">
        <v>2043</v>
      </c>
      <c r="V351" s="44">
        <v>2044</v>
      </c>
      <c r="W351" s="44">
        <v>2045</v>
      </c>
      <c r="X351" s="44">
        <v>2046</v>
      </c>
      <c r="Y351" s="44">
        <v>2047</v>
      </c>
      <c r="Z351" s="44">
        <v>2048</v>
      </c>
      <c r="AA351" s="44">
        <v>2049</v>
      </c>
      <c r="AB351" s="44">
        <v>2050</v>
      </c>
      <c r="AC351" s="44">
        <v>2051</v>
      </c>
      <c r="AD351" s="44">
        <v>2052</v>
      </c>
      <c r="AE351" s="44">
        <v>2053</v>
      </c>
      <c r="AF351" s="44">
        <v>2054</v>
      </c>
    </row>
    <row r="352" spans="2:35" outlineLevel="1" x14ac:dyDescent="0.25">
      <c r="B352" s="31" t="s">
        <v>144</v>
      </c>
      <c r="C352" s="79">
        <f>'Core Loads'!C516</f>
        <v>0</v>
      </c>
      <c r="D352" s="79">
        <f>'Core Loads'!D516</f>
        <v>0</v>
      </c>
      <c r="E352" s="79">
        <f>'Core Loads'!E516</f>
        <v>0</v>
      </c>
      <c r="F352" s="79">
        <f>'Core Loads'!F516</f>
        <v>39612639.320832737</v>
      </c>
      <c r="G352" s="79">
        <f>'Core Loads'!G516</f>
        <v>39612639.320832737</v>
      </c>
      <c r="H352" s="79">
        <f>'Core Loads'!H516</f>
        <v>39763990.663512737</v>
      </c>
      <c r="I352" s="79">
        <f>'Core Loads'!I516</f>
        <v>39763990.663512737</v>
      </c>
      <c r="J352" s="79">
        <f>'Core Loads'!J516</f>
        <v>38704492.561179683</v>
      </c>
      <c r="K352" s="79">
        <f>'Core Loads'!K516</f>
        <v>38704492.561179683</v>
      </c>
      <c r="L352" s="79">
        <f>'Core Loads'!L516</f>
        <v>38772187.839759685</v>
      </c>
      <c r="M352" s="79">
        <f>'Core Loads'!M516</f>
        <v>38772187.839759685</v>
      </c>
      <c r="N352" s="79">
        <f>'Core Loads'!N516</f>
        <v>38772187.839759685</v>
      </c>
      <c r="O352" s="79">
        <f>'Core Loads'!O516</f>
        <v>38772187.839759685</v>
      </c>
      <c r="P352" s="79">
        <f>'Core Loads'!P516</f>
        <v>38772187.839759685</v>
      </c>
      <c r="Q352" s="79">
        <f>'Core Loads'!Q516</f>
        <v>38772187.839759685</v>
      </c>
      <c r="R352" s="79">
        <f>'Core Loads'!R516</f>
        <v>38772187.839759685</v>
      </c>
      <c r="S352" s="79">
        <f>'Core Loads'!S516</f>
        <v>38772187.839759685</v>
      </c>
      <c r="T352" s="79">
        <f>'Core Loads'!T516</f>
        <v>38772187.839759685</v>
      </c>
      <c r="U352" s="79">
        <f>'Core Loads'!U516</f>
        <v>38772187.839759685</v>
      </c>
      <c r="V352" s="79">
        <f>'Core Loads'!V516</f>
        <v>38772187.839759685</v>
      </c>
      <c r="W352" s="79">
        <f>'Core Loads'!W516</f>
        <v>38772187.839759685</v>
      </c>
      <c r="X352" s="79">
        <f>'Core Loads'!X516</f>
        <v>38772187.839759685</v>
      </c>
      <c r="Y352" s="79">
        <f>'Core Loads'!Y516</f>
        <v>38772187.839759685</v>
      </c>
      <c r="Z352" s="79">
        <f>'Core Loads'!Z516</f>
        <v>38772187.839759685</v>
      </c>
      <c r="AA352" s="79">
        <f>'Core Loads'!AA516</f>
        <v>38772187.839759685</v>
      </c>
      <c r="AB352" s="79">
        <f>'Core Loads'!AB516</f>
        <v>38772187.839759685</v>
      </c>
      <c r="AC352" s="79">
        <f>'Core Loads'!AC516</f>
        <v>38772187.839759685</v>
      </c>
      <c r="AD352" s="79">
        <f>'Core Loads'!AD516</f>
        <v>38772187.839759685</v>
      </c>
      <c r="AE352" s="79">
        <f>'Core Loads'!AE516</f>
        <v>38772187.839759685</v>
      </c>
      <c r="AF352" s="79">
        <f>'Core Loads'!AF516</f>
        <v>38772187.839759685</v>
      </c>
      <c r="AG352"/>
      <c r="AH352" s="17" t="s">
        <v>279</v>
      </c>
    </row>
    <row r="353" spans="2:34" outlineLevel="1" x14ac:dyDescent="0.25">
      <c r="B353" s="31" t="s">
        <v>145</v>
      </c>
      <c r="C353" s="79">
        <f>'Core Loads'!C517</f>
        <v>0</v>
      </c>
      <c r="D353" s="79">
        <f>'Core Loads'!D517</f>
        <v>0</v>
      </c>
      <c r="E353" s="79">
        <f>'Core Loads'!E517</f>
        <v>0</v>
      </c>
      <c r="F353" s="79">
        <f>'Core Loads'!F517</f>
        <v>15770486.74488374</v>
      </c>
      <c r="G353" s="79">
        <f>'Core Loads'!G517</f>
        <v>15770486.74488374</v>
      </c>
      <c r="H353" s="79">
        <f>'Core Loads'!H517</f>
        <v>15787184.845623737</v>
      </c>
      <c r="I353" s="79">
        <f>'Core Loads'!I517</f>
        <v>15787184.845623737</v>
      </c>
      <c r="J353" s="79">
        <f>'Core Loads'!J517</f>
        <v>15787184.845623737</v>
      </c>
      <c r="K353" s="79">
        <f>'Core Loads'!K517</f>
        <v>15787184.845623737</v>
      </c>
      <c r="L353" s="79">
        <f>'Core Loads'!L517</f>
        <v>15390568.910004416</v>
      </c>
      <c r="M353" s="79">
        <f>'Core Loads'!M517</f>
        <v>15390568.910004416</v>
      </c>
      <c r="N353" s="79">
        <f>'Core Loads'!N517</f>
        <v>15390568.910004416</v>
      </c>
      <c r="O353" s="79">
        <f>'Core Loads'!O517</f>
        <v>15390568.910004416</v>
      </c>
      <c r="P353" s="79">
        <f>'Core Loads'!P517</f>
        <v>15364645.040004415</v>
      </c>
      <c r="Q353" s="79">
        <f>'Core Loads'!Q517</f>
        <v>15364645.040004415</v>
      </c>
      <c r="R353" s="79">
        <f>'Core Loads'!R517</f>
        <v>15384699.734404417</v>
      </c>
      <c r="S353" s="79">
        <f>'Core Loads'!S517</f>
        <v>15384699.734404417</v>
      </c>
      <c r="T353" s="79">
        <f>'Core Loads'!T517</f>
        <v>15384699.734404417</v>
      </c>
      <c r="U353" s="79">
        <f>'Core Loads'!U517</f>
        <v>15384699.734404417</v>
      </c>
      <c r="V353" s="79">
        <f>'Core Loads'!V517</f>
        <v>15384699.734404417</v>
      </c>
      <c r="W353" s="79">
        <f>'Core Loads'!W517</f>
        <v>15384699.734404417</v>
      </c>
      <c r="X353" s="79">
        <f>'Core Loads'!X517</f>
        <v>15384699.734404417</v>
      </c>
      <c r="Y353" s="79">
        <f>'Core Loads'!Y517</f>
        <v>15384699.734404417</v>
      </c>
      <c r="Z353" s="79">
        <f>'Core Loads'!Z517</f>
        <v>15384699.734404417</v>
      </c>
      <c r="AA353" s="79">
        <f>'Core Loads'!AA517</f>
        <v>15384699.734404417</v>
      </c>
      <c r="AB353" s="79">
        <f>'Core Loads'!AB517</f>
        <v>14843250.017475424</v>
      </c>
      <c r="AC353" s="79">
        <f>'Core Loads'!AC517</f>
        <v>14843250.017475424</v>
      </c>
      <c r="AD353" s="79">
        <f>'Core Loads'!AD517</f>
        <v>14843250.017475424</v>
      </c>
      <c r="AE353" s="79">
        <f>'Core Loads'!AE517</f>
        <v>14843250.017475424</v>
      </c>
      <c r="AF353" s="79">
        <f>'Core Loads'!AF517</f>
        <v>14843250.017475424</v>
      </c>
      <c r="AG353"/>
      <c r="AH353" s="17" t="s">
        <v>279</v>
      </c>
    </row>
    <row r="354" spans="2:34" outlineLevel="1" x14ac:dyDescent="0.25">
      <c r="B354" s="31" t="s">
        <v>244</v>
      </c>
      <c r="C354" s="79">
        <f>'Core Loads'!C518</f>
        <v>0</v>
      </c>
      <c r="D354" s="79">
        <f>'Core Loads'!D518</f>
        <v>0</v>
      </c>
      <c r="E354" s="79">
        <f>'Core Loads'!E518</f>
        <v>74467327.643795222</v>
      </c>
      <c r="F354" s="79">
        <f>'Core Loads'!F518</f>
        <v>87649721.664786637</v>
      </c>
      <c r="G354" s="79">
        <f>'Core Loads'!G518</f>
        <v>87649721.664786637</v>
      </c>
      <c r="H354" s="79">
        <f>'Core Loads'!H518</f>
        <v>88236897.776487172</v>
      </c>
      <c r="I354" s="79">
        <f>'Core Loads'!I518</f>
        <v>88236897.776487172</v>
      </c>
      <c r="J354" s="79">
        <f>'Core Loads'!J518</f>
        <v>80002966.613187522</v>
      </c>
      <c r="K354" s="79">
        <f>'Core Loads'!K518</f>
        <v>80002966.613187522</v>
      </c>
      <c r="L354" s="79">
        <f>'Core Loads'!L518</f>
        <v>80002966.613187522</v>
      </c>
      <c r="M354" s="79">
        <f>'Core Loads'!M518</f>
        <v>80002966.613187522</v>
      </c>
      <c r="N354" s="79">
        <f>'Core Loads'!N518</f>
        <v>79425262.459042355</v>
      </c>
      <c r="O354" s="79">
        <f>'Core Loads'!O518</f>
        <v>79425262.459042355</v>
      </c>
      <c r="P354" s="79">
        <f>'Core Loads'!P518</f>
        <v>79425262.459042355</v>
      </c>
      <c r="Q354" s="79">
        <f>'Core Loads'!Q518</f>
        <v>79425262.459042355</v>
      </c>
      <c r="R354" s="79">
        <f>'Core Loads'!R518</f>
        <v>82311974.959042355</v>
      </c>
      <c r="S354" s="79">
        <f>'Core Loads'!S518</f>
        <v>82311974.959042355</v>
      </c>
      <c r="T354" s="79">
        <f>'Core Loads'!T518</f>
        <v>82311974.959042355</v>
      </c>
      <c r="U354" s="79">
        <f>'Core Loads'!U518</f>
        <v>82311974.959042355</v>
      </c>
      <c r="V354" s="79">
        <f>'Core Loads'!V518</f>
        <v>81863454.238701224</v>
      </c>
      <c r="W354" s="79">
        <f>'Core Loads'!W518</f>
        <v>81863454.238701224</v>
      </c>
      <c r="X354" s="79">
        <f>'Core Loads'!X518</f>
        <v>81863454.238701224</v>
      </c>
      <c r="Y354" s="79">
        <f>'Core Loads'!Y518</f>
        <v>81863454.238701224</v>
      </c>
      <c r="Z354" s="79">
        <f>'Core Loads'!Z518</f>
        <v>81863454.238701224</v>
      </c>
      <c r="AA354" s="79">
        <f>'Core Loads'!AA518</f>
        <v>81863454.238701224</v>
      </c>
      <c r="AB354" s="79">
        <f>'Core Loads'!AB518</f>
        <v>81863454.238701224</v>
      </c>
      <c r="AC354" s="79">
        <f>'Core Loads'!AC518</f>
        <v>81863454.238701224</v>
      </c>
      <c r="AD354" s="79">
        <f>'Core Loads'!AD518</f>
        <v>81863454.238701224</v>
      </c>
      <c r="AE354" s="79">
        <f>'Core Loads'!AE518</f>
        <v>81863454.238701224</v>
      </c>
      <c r="AF354" s="79">
        <f>'Core Loads'!AF518</f>
        <v>81863454.238701224</v>
      </c>
      <c r="AG354"/>
      <c r="AH354" s="17" t="s">
        <v>279</v>
      </c>
    </row>
    <row r="355" spans="2:34" outlineLevel="1" x14ac:dyDescent="0.25">
      <c r="B355" s="31" t="s">
        <v>147</v>
      </c>
      <c r="C355" s="79">
        <f>'Core Loads'!C519</f>
        <v>0</v>
      </c>
      <c r="D355" s="79">
        <f>'Core Loads'!D519</f>
        <v>0</v>
      </c>
      <c r="E355" s="79">
        <f>'Core Loads'!E519</f>
        <v>0</v>
      </c>
      <c r="F355" s="79">
        <f>'Core Loads'!F519</f>
        <v>0</v>
      </c>
      <c r="G355" s="79">
        <f>'Core Loads'!G519</f>
        <v>0</v>
      </c>
      <c r="H355" s="79">
        <f>'Core Loads'!H519</f>
        <v>0</v>
      </c>
      <c r="I355" s="79">
        <f>'Core Loads'!I519</f>
        <v>0</v>
      </c>
      <c r="J355" s="79">
        <f>'Core Loads'!J519</f>
        <v>0</v>
      </c>
      <c r="K355" s="79">
        <f>'Core Loads'!K519</f>
        <v>0</v>
      </c>
      <c r="L355" s="79">
        <f>'Core Loads'!L519</f>
        <v>0</v>
      </c>
      <c r="M355" s="79">
        <f>'Core Loads'!M519</f>
        <v>0</v>
      </c>
      <c r="N355" s="79">
        <f>'Core Loads'!N519</f>
        <v>0</v>
      </c>
      <c r="O355" s="79">
        <f>'Core Loads'!O519</f>
        <v>0</v>
      </c>
      <c r="P355" s="79">
        <f>'Core Loads'!P519</f>
        <v>0</v>
      </c>
      <c r="Q355" s="79">
        <f>'Core Loads'!Q519</f>
        <v>0</v>
      </c>
      <c r="R355" s="79">
        <f>'Core Loads'!R519</f>
        <v>0</v>
      </c>
      <c r="S355" s="79">
        <f>'Core Loads'!S519</f>
        <v>0</v>
      </c>
      <c r="T355" s="79">
        <f>'Core Loads'!T519</f>
        <v>0</v>
      </c>
      <c r="U355" s="79">
        <f>'Core Loads'!U519</f>
        <v>0</v>
      </c>
      <c r="V355" s="79">
        <f>'Core Loads'!V519</f>
        <v>0</v>
      </c>
      <c r="W355" s="79">
        <f>'Core Loads'!W519</f>
        <v>0</v>
      </c>
      <c r="X355" s="79">
        <f>'Core Loads'!X519</f>
        <v>0</v>
      </c>
      <c r="Y355" s="79">
        <f>'Core Loads'!Y519</f>
        <v>0</v>
      </c>
      <c r="Z355" s="79">
        <f>'Core Loads'!Z519</f>
        <v>0</v>
      </c>
      <c r="AA355" s="79">
        <f>'Core Loads'!AA519</f>
        <v>0</v>
      </c>
      <c r="AB355" s="79">
        <f>'Core Loads'!AB519</f>
        <v>0</v>
      </c>
      <c r="AC355" s="79">
        <f>'Core Loads'!AC519</f>
        <v>0</v>
      </c>
      <c r="AD355" s="79">
        <f>'Core Loads'!AD519</f>
        <v>0</v>
      </c>
      <c r="AE355" s="79">
        <f>'Core Loads'!AE519</f>
        <v>0</v>
      </c>
      <c r="AF355" s="79">
        <f>'Core Loads'!AF519</f>
        <v>0</v>
      </c>
      <c r="AG355"/>
      <c r="AH355" s="17" t="s">
        <v>279</v>
      </c>
    </row>
    <row r="356" spans="2:34" outlineLevel="1" x14ac:dyDescent="0.25">
      <c r="B356" s="31" t="s">
        <v>245</v>
      </c>
      <c r="C356" s="79">
        <f>'Core Loads'!C520</f>
        <v>0</v>
      </c>
      <c r="D356" s="79">
        <f>'Core Loads'!D520</f>
        <v>0</v>
      </c>
      <c r="E356" s="79">
        <f>'Core Loads'!E520</f>
        <v>0</v>
      </c>
      <c r="F356" s="79">
        <f>'Core Loads'!F520</f>
        <v>5531260.8599999994</v>
      </c>
      <c r="G356" s="79">
        <f>'Core Loads'!G520</f>
        <v>5531260.8599999994</v>
      </c>
      <c r="H356" s="79">
        <f>'Core Loads'!H520</f>
        <v>5911722.2974800002</v>
      </c>
      <c r="I356" s="79">
        <f>'Core Loads'!I520</f>
        <v>5911722.2974800002</v>
      </c>
      <c r="J356" s="79">
        <f>'Core Loads'!J520</f>
        <v>5911722.2974800002</v>
      </c>
      <c r="K356" s="79">
        <f>'Core Loads'!K520</f>
        <v>5911722.2974800002</v>
      </c>
      <c r="L356" s="79">
        <f>'Core Loads'!L520</f>
        <v>5911722.2974800002</v>
      </c>
      <c r="M356" s="79">
        <f>'Core Loads'!M520</f>
        <v>5911722.2974800002</v>
      </c>
      <c r="N356" s="79">
        <f>'Core Loads'!N520</f>
        <v>5743970.637480001</v>
      </c>
      <c r="O356" s="79">
        <f>'Core Loads'!O520</f>
        <v>5743970.637480001</v>
      </c>
      <c r="P356" s="79">
        <f>'Core Loads'!P520</f>
        <v>5743970.637480001</v>
      </c>
      <c r="Q356" s="79">
        <f>'Core Loads'!Q520</f>
        <v>5743970.637480001</v>
      </c>
      <c r="R356" s="79">
        <f>'Core Loads'!R520</f>
        <v>36060627.457479998</v>
      </c>
      <c r="S356" s="79">
        <f>'Core Loads'!S520</f>
        <v>36060627.457479998</v>
      </c>
      <c r="T356" s="79">
        <f>'Core Loads'!T520</f>
        <v>36060627.457479998</v>
      </c>
      <c r="U356" s="79">
        <f>'Core Loads'!U520</f>
        <v>36060627.457479998</v>
      </c>
      <c r="V356" s="79">
        <f>'Core Loads'!V520</f>
        <v>36060627.457479998</v>
      </c>
      <c r="W356" s="79">
        <f>'Core Loads'!W520</f>
        <v>36060627.457479998</v>
      </c>
      <c r="X356" s="79">
        <f>'Core Loads'!X520</f>
        <v>36060627.457479998</v>
      </c>
      <c r="Y356" s="79">
        <f>'Core Loads'!Y520</f>
        <v>36060627.457479998</v>
      </c>
      <c r="Z356" s="79">
        <f>'Core Loads'!Z520</f>
        <v>36060627.457479998</v>
      </c>
      <c r="AA356" s="79">
        <f>'Core Loads'!AA520</f>
        <v>36060627.457479998</v>
      </c>
      <c r="AB356" s="79">
        <f>'Core Loads'!AB520</f>
        <v>36060627.457479998</v>
      </c>
      <c r="AC356" s="79">
        <f>'Core Loads'!AC520</f>
        <v>36060627.457479998</v>
      </c>
      <c r="AD356" s="79">
        <f>'Core Loads'!AD520</f>
        <v>36060627.457479998</v>
      </c>
      <c r="AE356" s="79">
        <f>'Core Loads'!AE520</f>
        <v>36060627.457479998</v>
      </c>
      <c r="AF356" s="79">
        <f>'Core Loads'!AF520</f>
        <v>36060627.457479998</v>
      </c>
      <c r="AG356"/>
      <c r="AH356" s="17" t="s">
        <v>279</v>
      </c>
    </row>
    <row r="357" spans="2:34" outlineLevel="1" x14ac:dyDescent="0.25">
      <c r="B357" s="31" t="s">
        <v>149</v>
      </c>
      <c r="C357" s="79">
        <f>'Core Loads'!C521</f>
        <v>0</v>
      </c>
      <c r="D357" s="79">
        <f>'Core Loads'!D521</f>
        <v>0</v>
      </c>
      <c r="E357" s="79">
        <f>'Core Loads'!E521</f>
        <v>74467327.643795222</v>
      </c>
      <c r="F357" s="79">
        <f>'Core Loads'!F521</f>
        <v>148564108.5905031</v>
      </c>
      <c r="G357" s="79">
        <f>'Core Loads'!G521</f>
        <v>148564108.5905031</v>
      </c>
      <c r="H357" s="79">
        <f>'Core Loads'!H521</f>
        <v>149699795.58310363</v>
      </c>
      <c r="I357" s="79">
        <f>'Core Loads'!I521</f>
        <v>149699795.58310363</v>
      </c>
      <c r="J357" s="79">
        <f>'Core Loads'!J521</f>
        <v>140406366.31747094</v>
      </c>
      <c r="K357" s="79">
        <f>'Core Loads'!K521</f>
        <v>140406366.31747094</v>
      </c>
      <c r="L357" s="79">
        <f>'Core Loads'!L521</f>
        <v>140077445.66043162</v>
      </c>
      <c r="M357" s="79">
        <f>'Core Loads'!M521</f>
        <v>140077445.66043162</v>
      </c>
      <c r="N357" s="79">
        <f>'Core Loads'!N521</f>
        <v>139331989.84628645</v>
      </c>
      <c r="O357" s="79">
        <f>'Core Loads'!O521</f>
        <v>139331989.84628645</v>
      </c>
      <c r="P357" s="79">
        <f>'Core Loads'!P521</f>
        <v>139306065.97628644</v>
      </c>
      <c r="Q357" s="79">
        <f>'Core Loads'!Q521</f>
        <v>139306065.97628644</v>
      </c>
      <c r="R357" s="79">
        <f>'Core Loads'!R521</f>
        <v>172529489.99068648</v>
      </c>
      <c r="S357" s="79">
        <f>'Core Loads'!S521</f>
        <v>172529489.99068648</v>
      </c>
      <c r="T357" s="79">
        <f>'Core Loads'!T521</f>
        <v>172529489.99068648</v>
      </c>
      <c r="U357" s="79">
        <f>'Core Loads'!U521</f>
        <v>172529489.99068648</v>
      </c>
      <c r="V357" s="79">
        <f>'Core Loads'!V521</f>
        <v>172080969.27034533</v>
      </c>
      <c r="W357" s="79">
        <f>'Core Loads'!W521</f>
        <v>172080969.27034533</v>
      </c>
      <c r="X357" s="79">
        <f>'Core Loads'!X521</f>
        <v>172080969.27034533</v>
      </c>
      <c r="Y357" s="79">
        <f>'Core Loads'!Y521</f>
        <v>172080969.27034533</v>
      </c>
      <c r="Z357" s="79">
        <f>'Core Loads'!Z521</f>
        <v>172080969.27034533</v>
      </c>
      <c r="AA357" s="79">
        <f>'Core Loads'!AA521</f>
        <v>172080969.27034533</v>
      </c>
      <c r="AB357" s="79">
        <f>'Core Loads'!AB521</f>
        <v>171539519.55341631</v>
      </c>
      <c r="AC357" s="79">
        <f>'Core Loads'!AC521</f>
        <v>171539519.55341631</v>
      </c>
      <c r="AD357" s="79">
        <f>'Core Loads'!AD521</f>
        <v>171539519.55341631</v>
      </c>
      <c r="AE357" s="79">
        <f>'Core Loads'!AE521</f>
        <v>171539519.55341631</v>
      </c>
      <c r="AF357" s="79">
        <f>'Core Loads'!AF521</f>
        <v>171539519.55341631</v>
      </c>
      <c r="AG357"/>
      <c r="AH357" s="17" t="s">
        <v>279</v>
      </c>
    </row>
    <row r="358" spans="2:34" customFormat="1" outlineLevel="1" x14ac:dyDescent="0.25">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row>
    <row r="359" spans="2:34" outlineLevel="1" x14ac:dyDescent="0.25">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c r="AH359"/>
    </row>
    <row r="360" spans="2:34" ht="17.25" outlineLevel="1" thickBot="1" x14ac:dyDescent="0.3">
      <c r="B360" s="26" t="s">
        <v>281</v>
      </c>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row>
    <row r="361" spans="2:34" ht="16.5" outlineLevel="1" thickTop="1" thickBot="1" x14ac:dyDescent="0.3">
      <c r="B361" s="28" t="s">
        <v>278</v>
      </c>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0"/>
      <c r="AH361" s="20" t="s">
        <v>15</v>
      </c>
    </row>
    <row r="362" spans="2:34" customFormat="1" outlineLevel="1" x14ac:dyDescent="0.25">
      <c r="B362" s="30"/>
      <c r="C362" s="17">
        <v>2025</v>
      </c>
      <c r="D362" s="44">
        <v>2026</v>
      </c>
      <c r="E362" s="44">
        <v>2027</v>
      </c>
      <c r="F362" s="44">
        <v>2028</v>
      </c>
      <c r="G362" s="44">
        <v>2029</v>
      </c>
      <c r="H362" s="44">
        <v>2030</v>
      </c>
      <c r="I362" s="44">
        <v>2031</v>
      </c>
      <c r="J362" s="44">
        <v>2032</v>
      </c>
      <c r="K362" s="44">
        <v>2033</v>
      </c>
      <c r="L362" s="44">
        <v>2034</v>
      </c>
      <c r="M362" s="44">
        <v>2035</v>
      </c>
      <c r="N362" s="44">
        <v>2036</v>
      </c>
      <c r="O362" s="44">
        <v>2037</v>
      </c>
      <c r="P362" s="44">
        <v>2038</v>
      </c>
      <c r="Q362" s="44">
        <v>2039</v>
      </c>
      <c r="R362" s="44">
        <v>2040</v>
      </c>
      <c r="S362" s="44">
        <v>2041</v>
      </c>
      <c r="T362" s="44">
        <v>2042</v>
      </c>
      <c r="U362" s="44">
        <v>2043</v>
      </c>
      <c r="V362" s="44">
        <v>2044</v>
      </c>
      <c r="W362" s="44">
        <v>2045</v>
      </c>
      <c r="X362" s="44">
        <v>2046</v>
      </c>
      <c r="Y362" s="44">
        <v>2047</v>
      </c>
      <c r="Z362" s="44">
        <v>2048</v>
      </c>
      <c r="AA362" s="44">
        <v>2049</v>
      </c>
      <c r="AB362" s="44">
        <v>2050</v>
      </c>
      <c r="AC362" s="44">
        <v>2051</v>
      </c>
      <c r="AD362" s="44">
        <v>2052</v>
      </c>
      <c r="AE362" s="44">
        <v>2053</v>
      </c>
      <c r="AF362" s="44">
        <v>2054</v>
      </c>
      <c r="AH362" s="17" t="s">
        <v>279</v>
      </c>
    </row>
    <row r="363" spans="2:34" outlineLevel="1" x14ac:dyDescent="0.25">
      <c r="B363" s="31" t="s">
        <v>144</v>
      </c>
      <c r="C363" s="79">
        <f>'Core Loads'!C527</f>
        <v>91218518.516397119</v>
      </c>
      <c r="D363" s="79">
        <f>'Core Loads'!D527</f>
        <v>91218518.516397119</v>
      </c>
      <c r="E363" s="79">
        <f>'Core Loads'!E527</f>
        <v>91218518.516397119</v>
      </c>
      <c r="F363" s="79">
        <f>'Core Loads'!F527</f>
        <v>0</v>
      </c>
      <c r="G363" s="79">
        <f>'Core Loads'!G527</f>
        <v>0</v>
      </c>
      <c r="H363" s="79">
        <f>'Core Loads'!H527</f>
        <v>0</v>
      </c>
      <c r="I363" s="79">
        <f>'Core Loads'!I527</f>
        <v>0</v>
      </c>
      <c r="J363" s="79">
        <f>'Core Loads'!J527</f>
        <v>0</v>
      </c>
      <c r="K363" s="79">
        <f>'Core Loads'!K527</f>
        <v>0</v>
      </c>
      <c r="L363" s="79">
        <f>'Core Loads'!L527</f>
        <v>0</v>
      </c>
      <c r="M363" s="79">
        <f>'Core Loads'!M527</f>
        <v>0</v>
      </c>
      <c r="N363" s="79">
        <f>'Core Loads'!N527</f>
        <v>0</v>
      </c>
      <c r="O363" s="79">
        <f>'Core Loads'!O527</f>
        <v>0</v>
      </c>
      <c r="P363" s="79">
        <f>'Core Loads'!P527</f>
        <v>0</v>
      </c>
      <c r="Q363" s="79">
        <f>'Core Loads'!Q527</f>
        <v>0</v>
      </c>
      <c r="R363" s="79">
        <f>'Core Loads'!R527</f>
        <v>0</v>
      </c>
      <c r="S363" s="79">
        <f>'Core Loads'!S527</f>
        <v>0</v>
      </c>
      <c r="T363" s="79">
        <f>'Core Loads'!T527</f>
        <v>0</v>
      </c>
      <c r="U363" s="79">
        <f>'Core Loads'!U527</f>
        <v>0</v>
      </c>
      <c r="V363" s="79">
        <f>'Core Loads'!V527</f>
        <v>0</v>
      </c>
      <c r="W363" s="79">
        <f>'Core Loads'!W527</f>
        <v>0</v>
      </c>
      <c r="X363" s="79">
        <f>'Core Loads'!X527</f>
        <v>0</v>
      </c>
      <c r="Y363" s="79">
        <f>'Core Loads'!Y527</f>
        <v>0</v>
      </c>
      <c r="Z363" s="79">
        <f>'Core Loads'!Z527</f>
        <v>0</v>
      </c>
      <c r="AA363" s="79">
        <f>'Core Loads'!AA527</f>
        <v>0</v>
      </c>
      <c r="AB363" s="79">
        <f>'Core Loads'!AB527</f>
        <v>0</v>
      </c>
      <c r="AC363" s="79">
        <f>'Core Loads'!AC527</f>
        <v>0</v>
      </c>
      <c r="AD363" s="79">
        <f>'Core Loads'!AD527</f>
        <v>0</v>
      </c>
      <c r="AE363" s="79">
        <f>'Core Loads'!AE527</f>
        <v>0</v>
      </c>
      <c r="AF363" s="79">
        <f>'Core Loads'!AF527</f>
        <v>0</v>
      </c>
      <c r="AG363"/>
      <c r="AH363" s="17" t="s">
        <v>279</v>
      </c>
    </row>
    <row r="364" spans="2:34" outlineLevel="1" x14ac:dyDescent="0.25">
      <c r="B364" s="31" t="s">
        <v>145</v>
      </c>
      <c r="C364" s="79">
        <f>'Core Loads'!C528</f>
        <v>11884388.380107559</v>
      </c>
      <c r="D364" s="79">
        <f>'Core Loads'!D528</f>
        <v>11884388.380107559</v>
      </c>
      <c r="E364" s="79">
        <f>'Core Loads'!E528</f>
        <v>11884388.380107559</v>
      </c>
      <c r="F364" s="79">
        <f>'Core Loads'!F528</f>
        <v>0</v>
      </c>
      <c r="G364" s="79">
        <f>'Core Loads'!G528</f>
        <v>0</v>
      </c>
      <c r="H364" s="79">
        <f>'Core Loads'!H528</f>
        <v>0</v>
      </c>
      <c r="I364" s="79">
        <f>'Core Loads'!I528</f>
        <v>0</v>
      </c>
      <c r="J364" s="79">
        <f>'Core Loads'!J528</f>
        <v>0</v>
      </c>
      <c r="K364" s="79">
        <f>'Core Loads'!K528</f>
        <v>0</v>
      </c>
      <c r="L364" s="79">
        <f>'Core Loads'!L528</f>
        <v>0</v>
      </c>
      <c r="M364" s="79">
        <f>'Core Loads'!M528</f>
        <v>0</v>
      </c>
      <c r="N364" s="79">
        <f>'Core Loads'!N528</f>
        <v>0</v>
      </c>
      <c r="O364" s="79">
        <f>'Core Loads'!O528</f>
        <v>0</v>
      </c>
      <c r="P364" s="79">
        <f>'Core Loads'!P528</f>
        <v>0</v>
      </c>
      <c r="Q364" s="79">
        <f>'Core Loads'!Q528</f>
        <v>0</v>
      </c>
      <c r="R364" s="79">
        <f>'Core Loads'!R528</f>
        <v>0</v>
      </c>
      <c r="S364" s="79">
        <f>'Core Loads'!S528</f>
        <v>0</v>
      </c>
      <c r="T364" s="79">
        <f>'Core Loads'!T528</f>
        <v>0</v>
      </c>
      <c r="U364" s="79">
        <f>'Core Loads'!U528</f>
        <v>0</v>
      </c>
      <c r="V364" s="79">
        <f>'Core Loads'!V528</f>
        <v>0</v>
      </c>
      <c r="W364" s="79">
        <f>'Core Loads'!W528</f>
        <v>0</v>
      </c>
      <c r="X364" s="79">
        <f>'Core Loads'!X528</f>
        <v>0</v>
      </c>
      <c r="Y364" s="79">
        <f>'Core Loads'!Y528</f>
        <v>0</v>
      </c>
      <c r="Z364" s="79">
        <f>'Core Loads'!Z528</f>
        <v>0</v>
      </c>
      <c r="AA364" s="79">
        <f>'Core Loads'!AA528</f>
        <v>0</v>
      </c>
      <c r="AB364" s="79">
        <f>'Core Loads'!AB528</f>
        <v>0</v>
      </c>
      <c r="AC364" s="79">
        <f>'Core Loads'!AC528</f>
        <v>0</v>
      </c>
      <c r="AD364" s="79">
        <f>'Core Loads'!AD528</f>
        <v>0</v>
      </c>
      <c r="AE364" s="79">
        <f>'Core Loads'!AE528</f>
        <v>0</v>
      </c>
      <c r="AF364" s="79">
        <f>'Core Loads'!AF528</f>
        <v>0</v>
      </c>
      <c r="AG364"/>
      <c r="AH364" s="17" t="s">
        <v>279</v>
      </c>
    </row>
    <row r="365" spans="2:34" outlineLevel="1" x14ac:dyDescent="0.25">
      <c r="B365" s="31" t="s">
        <v>244</v>
      </c>
      <c r="C365" s="79">
        <f>'Core Loads'!C529</f>
        <v>35030010.666666664</v>
      </c>
      <c r="D365" s="79">
        <f>'Core Loads'!D529</f>
        <v>35030010.666666664</v>
      </c>
      <c r="E365" s="79">
        <f>'Core Loads'!E529</f>
        <v>0</v>
      </c>
      <c r="F365" s="79">
        <f>'Core Loads'!F529</f>
        <v>0</v>
      </c>
      <c r="G365" s="79">
        <f>'Core Loads'!G529</f>
        <v>0</v>
      </c>
      <c r="H365" s="79">
        <f>'Core Loads'!H529</f>
        <v>0</v>
      </c>
      <c r="I365" s="79">
        <f>'Core Loads'!I529</f>
        <v>0</v>
      </c>
      <c r="J365" s="79">
        <f>'Core Loads'!J529</f>
        <v>0</v>
      </c>
      <c r="K365" s="79">
        <f>'Core Loads'!K529</f>
        <v>0</v>
      </c>
      <c r="L365" s="79">
        <f>'Core Loads'!L529</f>
        <v>0</v>
      </c>
      <c r="M365" s="79">
        <f>'Core Loads'!M529</f>
        <v>0</v>
      </c>
      <c r="N365" s="79">
        <f>'Core Loads'!N529</f>
        <v>0</v>
      </c>
      <c r="O365" s="79">
        <f>'Core Loads'!O529</f>
        <v>0</v>
      </c>
      <c r="P365" s="79">
        <f>'Core Loads'!P529</f>
        <v>0</v>
      </c>
      <c r="Q365" s="79">
        <f>'Core Loads'!Q529</f>
        <v>0</v>
      </c>
      <c r="R365" s="79">
        <f>'Core Loads'!R529</f>
        <v>0</v>
      </c>
      <c r="S365" s="79">
        <f>'Core Loads'!S529</f>
        <v>0</v>
      </c>
      <c r="T365" s="79">
        <f>'Core Loads'!T529</f>
        <v>0</v>
      </c>
      <c r="U365" s="79">
        <f>'Core Loads'!U529</f>
        <v>0</v>
      </c>
      <c r="V365" s="79">
        <f>'Core Loads'!V529</f>
        <v>0</v>
      </c>
      <c r="W365" s="79">
        <f>'Core Loads'!W529</f>
        <v>0</v>
      </c>
      <c r="X365" s="79">
        <f>'Core Loads'!X529</f>
        <v>0</v>
      </c>
      <c r="Y365" s="79">
        <f>'Core Loads'!Y529</f>
        <v>0</v>
      </c>
      <c r="Z365" s="79">
        <f>'Core Loads'!Z529</f>
        <v>0</v>
      </c>
      <c r="AA365" s="79">
        <f>'Core Loads'!AA529</f>
        <v>0</v>
      </c>
      <c r="AB365" s="79">
        <f>'Core Loads'!AB529</f>
        <v>0</v>
      </c>
      <c r="AC365" s="79">
        <f>'Core Loads'!AC529</f>
        <v>0</v>
      </c>
      <c r="AD365" s="79">
        <f>'Core Loads'!AD529</f>
        <v>0</v>
      </c>
      <c r="AE365" s="79">
        <f>'Core Loads'!AE529</f>
        <v>0</v>
      </c>
      <c r="AF365" s="79">
        <f>'Core Loads'!AF529</f>
        <v>0</v>
      </c>
      <c r="AG365"/>
      <c r="AH365" s="17" t="s">
        <v>279</v>
      </c>
    </row>
    <row r="366" spans="2:34" customFormat="1" outlineLevel="1" x14ac:dyDescent="0.25">
      <c r="B366" s="31" t="s">
        <v>147</v>
      </c>
      <c r="C366" s="79">
        <f>'Core Loads'!C530</f>
        <v>0</v>
      </c>
      <c r="D366" s="79">
        <f>'Core Loads'!D530</f>
        <v>0</v>
      </c>
      <c r="E366" s="79">
        <f>'Core Loads'!E530</f>
        <v>0</v>
      </c>
      <c r="F366" s="79">
        <f>'Core Loads'!F530</f>
        <v>0</v>
      </c>
      <c r="G366" s="79">
        <f>'Core Loads'!G530</f>
        <v>0</v>
      </c>
      <c r="H366" s="79">
        <f>'Core Loads'!H530</f>
        <v>0</v>
      </c>
      <c r="I366" s="79">
        <f>'Core Loads'!I530</f>
        <v>0</v>
      </c>
      <c r="J366" s="79">
        <f>'Core Loads'!J530</f>
        <v>0</v>
      </c>
      <c r="K366" s="79">
        <f>'Core Loads'!K530</f>
        <v>0</v>
      </c>
      <c r="L366" s="79">
        <f>'Core Loads'!L530</f>
        <v>0</v>
      </c>
      <c r="M366" s="79">
        <f>'Core Loads'!M530</f>
        <v>0</v>
      </c>
      <c r="N366" s="79">
        <f>'Core Loads'!N530</f>
        <v>0</v>
      </c>
      <c r="O366" s="79">
        <f>'Core Loads'!O530</f>
        <v>0</v>
      </c>
      <c r="P366" s="79">
        <f>'Core Loads'!P530</f>
        <v>0</v>
      </c>
      <c r="Q366" s="79">
        <f>'Core Loads'!Q530</f>
        <v>0</v>
      </c>
      <c r="R366" s="79">
        <f>'Core Loads'!R530</f>
        <v>0</v>
      </c>
      <c r="S366" s="79">
        <f>'Core Loads'!S530</f>
        <v>0</v>
      </c>
      <c r="T366" s="79">
        <f>'Core Loads'!T530</f>
        <v>0</v>
      </c>
      <c r="U366" s="79">
        <f>'Core Loads'!U530</f>
        <v>0</v>
      </c>
      <c r="V366" s="79">
        <f>'Core Loads'!V530</f>
        <v>0</v>
      </c>
      <c r="W366" s="79">
        <f>'Core Loads'!W530</f>
        <v>0</v>
      </c>
      <c r="X366" s="79">
        <f>'Core Loads'!X530</f>
        <v>0</v>
      </c>
      <c r="Y366" s="79">
        <f>'Core Loads'!Y530</f>
        <v>0</v>
      </c>
      <c r="Z366" s="79">
        <f>'Core Loads'!Z530</f>
        <v>0</v>
      </c>
      <c r="AA366" s="79">
        <f>'Core Loads'!AA530</f>
        <v>0</v>
      </c>
      <c r="AB366" s="79">
        <f>'Core Loads'!AB530</f>
        <v>0</v>
      </c>
      <c r="AC366" s="79">
        <f>'Core Loads'!AC530</f>
        <v>0</v>
      </c>
      <c r="AD366" s="79">
        <f>'Core Loads'!AD530</f>
        <v>0</v>
      </c>
      <c r="AE366" s="79">
        <f>'Core Loads'!AE530</f>
        <v>0</v>
      </c>
      <c r="AF366" s="79">
        <f>'Core Loads'!AF530</f>
        <v>0</v>
      </c>
      <c r="AH366" s="17" t="s">
        <v>279</v>
      </c>
    </row>
    <row r="367" spans="2:34" outlineLevel="1" x14ac:dyDescent="0.25">
      <c r="B367" s="31" t="s">
        <v>245</v>
      </c>
      <c r="C367" s="79">
        <f>'Core Loads'!C531</f>
        <v>0</v>
      </c>
      <c r="D367" s="79">
        <f>'Core Loads'!D531</f>
        <v>0</v>
      </c>
      <c r="E367" s="79">
        <f>'Core Loads'!E531</f>
        <v>0</v>
      </c>
      <c r="F367" s="79">
        <f>'Core Loads'!F531</f>
        <v>0</v>
      </c>
      <c r="G367" s="79">
        <f>'Core Loads'!G531</f>
        <v>0</v>
      </c>
      <c r="H367" s="79">
        <f>'Core Loads'!H531</f>
        <v>0</v>
      </c>
      <c r="I367" s="79">
        <f>'Core Loads'!I531</f>
        <v>0</v>
      </c>
      <c r="J367" s="79">
        <f>'Core Loads'!J531</f>
        <v>0</v>
      </c>
      <c r="K367" s="79">
        <f>'Core Loads'!K531</f>
        <v>0</v>
      </c>
      <c r="L367" s="79">
        <f>'Core Loads'!L531</f>
        <v>0</v>
      </c>
      <c r="M367" s="79">
        <f>'Core Loads'!M531</f>
        <v>0</v>
      </c>
      <c r="N367" s="79">
        <f>'Core Loads'!N531</f>
        <v>0</v>
      </c>
      <c r="O367" s="79">
        <f>'Core Loads'!O531</f>
        <v>0</v>
      </c>
      <c r="P367" s="79">
        <f>'Core Loads'!P531</f>
        <v>0</v>
      </c>
      <c r="Q367" s="79">
        <f>'Core Loads'!Q531</f>
        <v>0</v>
      </c>
      <c r="R367" s="79">
        <f>'Core Loads'!R531</f>
        <v>0</v>
      </c>
      <c r="S367" s="79">
        <f>'Core Loads'!S531</f>
        <v>0</v>
      </c>
      <c r="T367" s="79">
        <f>'Core Loads'!T531</f>
        <v>0</v>
      </c>
      <c r="U367" s="79">
        <f>'Core Loads'!U531</f>
        <v>0</v>
      </c>
      <c r="V367" s="79">
        <f>'Core Loads'!V531</f>
        <v>0</v>
      </c>
      <c r="W367" s="79">
        <f>'Core Loads'!W531</f>
        <v>0</v>
      </c>
      <c r="X367" s="79">
        <f>'Core Loads'!X531</f>
        <v>0</v>
      </c>
      <c r="Y367" s="79">
        <f>'Core Loads'!Y531</f>
        <v>0</v>
      </c>
      <c r="Z367" s="79">
        <f>'Core Loads'!Z531</f>
        <v>0</v>
      </c>
      <c r="AA367" s="79">
        <f>'Core Loads'!AA531</f>
        <v>0</v>
      </c>
      <c r="AB367" s="79">
        <f>'Core Loads'!AB531</f>
        <v>0</v>
      </c>
      <c r="AC367" s="79">
        <f>'Core Loads'!AC531</f>
        <v>0</v>
      </c>
      <c r="AD367" s="79">
        <f>'Core Loads'!AD531</f>
        <v>0</v>
      </c>
      <c r="AE367" s="79">
        <f>'Core Loads'!AE531</f>
        <v>0</v>
      </c>
      <c r="AF367" s="79">
        <f>'Core Loads'!AF531</f>
        <v>0</v>
      </c>
      <c r="AG367"/>
      <c r="AH367" s="17" t="s">
        <v>279</v>
      </c>
    </row>
    <row r="368" spans="2:34" outlineLevel="1" x14ac:dyDescent="0.25">
      <c r="B368" s="31" t="s">
        <v>149</v>
      </c>
      <c r="C368" s="79">
        <f>'Core Loads'!C532</f>
        <v>138132917.56317133</v>
      </c>
      <c r="D368" s="79">
        <f>'Core Loads'!D532</f>
        <v>138132917.56317133</v>
      </c>
      <c r="E368" s="79">
        <f>'Core Loads'!E532</f>
        <v>103102906.89650467</v>
      </c>
      <c r="F368" s="79">
        <f>'Core Loads'!F532</f>
        <v>0</v>
      </c>
      <c r="G368" s="79">
        <f>'Core Loads'!G532</f>
        <v>0</v>
      </c>
      <c r="H368" s="79">
        <f>'Core Loads'!H532</f>
        <v>0</v>
      </c>
      <c r="I368" s="79">
        <f>'Core Loads'!I532</f>
        <v>0</v>
      </c>
      <c r="J368" s="79">
        <f>'Core Loads'!J532</f>
        <v>0</v>
      </c>
      <c r="K368" s="79">
        <f>'Core Loads'!K532</f>
        <v>0</v>
      </c>
      <c r="L368" s="79">
        <f>'Core Loads'!L532</f>
        <v>0</v>
      </c>
      <c r="M368" s="79">
        <f>'Core Loads'!M532</f>
        <v>0</v>
      </c>
      <c r="N368" s="79">
        <f>'Core Loads'!N532</f>
        <v>0</v>
      </c>
      <c r="O368" s="79">
        <f>'Core Loads'!O532</f>
        <v>0</v>
      </c>
      <c r="P368" s="79">
        <f>'Core Loads'!P532</f>
        <v>0</v>
      </c>
      <c r="Q368" s="79">
        <f>'Core Loads'!Q532</f>
        <v>0</v>
      </c>
      <c r="R368" s="79">
        <f>'Core Loads'!R532</f>
        <v>0</v>
      </c>
      <c r="S368" s="79">
        <f>'Core Loads'!S532</f>
        <v>0</v>
      </c>
      <c r="T368" s="79">
        <f>'Core Loads'!T532</f>
        <v>0</v>
      </c>
      <c r="U368" s="79">
        <f>'Core Loads'!U532</f>
        <v>0</v>
      </c>
      <c r="V368" s="79">
        <f>'Core Loads'!V532</f>
        <v>0</v>
      </c>
      <c r="W368" s="79">
        <f>'Core Loads'!W532</f>
        <v>0</v>
      </c>
      <c r="X368" s="79">
        <f>'Core Loads'!X532</f>
        <v>0</v>
      </c>
      <c r="Y368" s="79">
        <f>'Core Loads'!Y532</f>
        <v>0</v>
      </c>
      <c r="Z368" s="79">
        <f>'Core Loads'!Z532</f>
        <v>0</v>
      </c>
      <c r="AA368" s="79">
        <f>'Core Loads'!AA532</f>
        <v>0</v>
      </c>
      <c r="AB368" s="79">
        <f>'Core Loads'!AB532</f>
        <v>0</v>
      </c>
      <c r="AC368" s="79">
        <f>'Core Loads'!AC532</f>
        <v>0</v>
      </c>
      <c r="AD368" s="79">
        <f>'Core Loads'!AD532</f>
        <v>0</v>
      </c>
      <c r="AE368" s="79">
        <f>'Core Loads'!AE532</f>
        <v>0</v>
      </c>
      <c r="AF368" s="79">
        <f>'Core Loads'!AF532</f>
        <v>0</v>
      </c>
      <c r="AG368"/>
      <c r="AH368" s="17" t="s">
        <v>279</v>
      </c>
    </row>
    <row r="369" spans="2:35" outlineLevel="1" x14ac:dyDescent="0.25">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c r="AH369"/>
    </row>
    <row r="370" spans="2:35" ht="15.75" outlineLevel="1" thickBot="1" x14ac:dyDescent="0.3">
      <c r="B370" s="28" t="s">
        <v>280</v>
      </c>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0"/>
      <c r="AH370" s="20" t="s">
        <v>15</v>
      </c>
    </row>
    <row r="371" spans="2:35" customFormat="1" outlineLevel="1" x14ac:dyDescent="0.25">
      <c r="B371" s="30"/>
      <c r="C371" s="17">
        <v>2025</v>
      </c>
      <c r="D371" s="44">
        <v>2026</v>
      </c>
      <c r="E371" s="44">
        <v>2027</v>
      </c>
      <c r="F371" s="44">
        <v>2028</v>
      </c>
      <c r="G371" s="44">
        <v>2029</v>
      </c>
      <c r="H371" s="44">
        <v>2030</v>
      </c>
      <c r="I371" s="44">
        <v>2031</v>
      </c>
      <c r="J371" s="44">
        <v>2032</v>
      </c>
      <c r="K371" s="44">
        <v>2033</v>
      </c>
      <c r="L371" s="44">
        <v>2034</v>
      </c>
      <c r="M371" s="44">
        <v>2035</v>
      </c>
      <c r="N371" s="44">
        <v>2036</v>
      </c>
      <c r="O371" s="44">
        <v>2037</v>
      </c>
      <c r="P371" s="44">
        <v>2038</v>
      </c>
      <c r="Q371" s="44">
        <v>2039</v>
      </c>
      <c r="R371" s="44">
        <v>2040</v>
      </c>
      <c r="S371" s="44">
        <v>2041</v>
      </c>
      <c r="T371" s="44">
        <v>2042</v>
      </c>
      <c r="U371" s="44">
        <v>2043</v>
      </c>
      <c r="V371" s="44">
        <v>2044</v>
      </c>
      <c r="W371" s="44">
        <v>2045</v>
      </c>
      <c r="X371" s="44">
        <v>2046</v>
      </c>
      <c r="Y371" s="44">
        <v>2047</v>
      </c>
      <c r="Z371" s="44">
        <v>2048</v>
      </c>
      <c r="AA371" s="44">
        <v>2049</v>
      </c>
      <c r="AB371" s="44">
        <v>2050</v>
      </c>
      <c r="AC371" s="44">
        <v>2051</v>
      </c>
      <c r="AD371" s="44">
        <v>2052</v>
      </c>
      <c r="AE371" s="44">
        <v>2053</v>
      </c>
      <c r="AF371" s="44">
        <v>2054</v>
      </c>
      <c r="AG371" s="1"/>
      <c r="AH371" s="1"/>
    </row>
    <row r="372" spans="2:35" outlineLevel="1" x14ac:dyDescent="0.25">
      <c r="B372" s="31" t="s">
        <v>144</v>
      </c>
      <c r="C372" s="79">
        <f>'Core Loads'!C536</f>
        <v>0</v>
      </c>
      <c r="D372" s="79">
        <f>'Core Loads'!D536</f>
        <v>0</v>
      </c>
      <c r="E372" s="79">
        <f>'Core Loads'!E536</f>
        <v>0</v>
      </c>
      <c r="F372" s="79">
        <f>'Core Loads'!F536</f>
        <v>91218518.516397119</v>
      </c>
      <c r="G372" s="79">
        <f>'Core Loads'!G536</f>
        <v>91218518.516397119</v>
      </c>
      <c r="H372" s="79">
        <f>'Core Loads'!H536</f>
        <v>89605158.712475568</v>
      </c>
      <c r="I372" s="79">
        <f>'Core Loads'!I536</f>
        <v>89605158.712475568</v>
      </c>
      <c r="J372" s="79">
        <f>'Core Loads'!J536</f>
        <v>89605158.712475568</v>
      </c>
      <c r="K372" s="79">
        <f>'Core Loads'!K536</f>
        <v>89605158.712475568</v>
      </c>
      <c r="L372" s="79">
        <f>'Core Loads'!L536</f>
        <v>89605158.712475568</v>
      </c>
      <c r="M372" s="79">
        <f>'Core Loads'!M536</f>
        <v>89605158.712475568</v>
      </c>
      <c r="N372" s="79">
        <f>'Core Loads'!N536</f>
        <v>89605158.712475568</v>
      </c>
      <c r="O372" s="79">
        <f>'Core Loads'!O536</f>
        <v>89605158.712475568</v>
      </c>
      <c r="P372" s="79">
        <f>'Core Loads'!P536</f>
        <v>89605158.712475568</v>
      </c>
      <c r="Q372" s="79">
        <f>'Core Loads'!Q536</f>
        <v>89605158.712475568</v>
      </c>
      <c r="R372" s="79">
        <f>'Core Loads'!R536</f>
        <v>89605158.712475568</v>
      </c>
      <c r="S372" s="79">
        <f>'Core Loads'!S536</f>
        <v>89605158.712475568</v>
      </c>
      <c r="T372" s="79">
        <f>'Core Loads'!T536</f>
        <v>89605158.712475568</v>
      </c>
      <c r="U372" s="79">
        <f>'Core Loads'!U536</f>
        <v>89605158.712475568</v>
      </c>
      <c r="V372" s="79">
        <f>'Core Loads'!V536</f>
        <v>89605158.712475568</v>
      </c>
      <c r="W372" s="79">
        <f>'Core Loads'!W536</f>
        <v>89605158.712475568</v>
      </c>
      <c r="X372" s="79">
        <f>'Core Loads'!X536</f>
        <v>89605158.712475568</v>
      </c>
      <c r="Y372" s="79">
        <f>'Core Loads'!Y536</f>
        <v>89605158.712475568</v>
      </c>
      <c r="Z372" s="79">
        <f>'Core Loads'!Z536</f>
        <v>89605158.712475568</v>
      </c>
      <c r="AA372" s="79">
        <f>'Core Loads'!AA536</f>
        <v>89605158.712475568</v>
      </c>
      <c r="AB372" s="79">
        <f>'Core Loads'!AB536</f>
        <v>89605158.712475568</v>
      </c>
      <c r="AC372" s="79">
        <f>'Core Loads'!AC536</f>
        <v>89605158.712475568</v>
      </c>
      <c r="AD372" s="79">
        <f>'Core Loads'!AD536</f>
        <v>89605158.712475568</v>
      </c>
      <c r="AE372" s="79">
        <f>'Core Loads'!AE536</f>
        <v>89605158.712475568</v>
      </c>
      <c r="AF372" s="79">
        <f>'Core Loads'!AF536</f>
        <v>89605158.712475568</v>
      </c>
      <c r="AG372"/>
      <c r="AH372" s="17" t="s">
        <v>279</v>
      </c>
    </row>
    <row r="373" spans="2:35" outlineLevel="1" x14ac:dyDescent="0.25">
      <c r="B373" s="31" t="s">
        <v>145</v>
      </c>
      <c r="C373" s="79">
        <f>'Core Loads'!C537</f>
        <v>0</v>
      </c>
      <c r="D373" s="79">
        <f>'Core Loads'!D537</f>
        <v>0</v>
      </c>
      <c r="E373" s="79">
        <f>'Core Loads'!E537</f>
        <v>0</v>
      </c>
      <c r="F373" s="79">
        <f>'Core Loads'!F537</f>
        <v>11884388.380107559</v>
      </c>
      <c r="G373" s="79">
        <f>'Core Loads'!G537</f>
        <v>11884388.380107559</v>
      </c>
      <c r="H373" s="79">
        <f>'Core Loads'!H537</f>
        <v>11884388.380107559</v>
      </c>
      <c r="I373" s="79">
        <f>'Core Loads'!I537</f>
        <v>11884388.380107559</v>
      </c>
      <c r="J373" s="79">
        <f>'Core Loads'!J537</f>
        <v>11884388.380107559</v>
      </c>
      <c r="K373" s="79">
        <f>'Core Loads'!K537</f>
        <v>11884388.380107559</v>
      </c>
      <c r="L373" s="79">
        <f>'Core Loads'!L537</f>
        <v>11884388.380107559</v>
      </c>
      <c r="M373" s="79">
        <f>'Core Loads'!M537</f>
        <v>11884388.380107559</v>
      </c>
      <c r="N373" s="79">
        <f>'Core Loads'!N537</f>
        <v>11884388.380107559</v>
      </c>
      <c r="O373" s="79">
        <f>'Core Loads'!O537</f>
        <v>11884388.380107559</v>
      </c>
      <c r="P373" s="79">
        <f>'Core Loads'!P537</f>
        <v>11884388.380107559</v>
      </c>
      <c r="Q373" s="79">
        <f>'Core Loads'!Q537</f>
        <v>11884388.380107559</v>
      </c>
      <c r="R373" s="79">
        <f>'Core Loads'!R537</f>
        <v>11884388.380107559</v>
      </c>
      <c r="S373" s="79">
        <f>'Core Loads'!S537</f>
        <v>11884388.380107559</v>
      </c>
      <c r="T373" s="79">
        <f>'Core Loads'!T537</f>
        <v>11525540.601956299</v>
      </c>
      <c r="U373" s="79">
        <f>'Core Loads'!U537</f>
        <v>11525540.601956299</v>
      </c>
      <c r="V373" s="79">
        <f>'Core Loads'!V537</f>
        <v>11525540.601956299</v>
      </c>
      <c r="W373" s="79">
        <f>'Core Loads'!W537</f>
        <v>11525540.601956299</v>
      </c>
      <c r="X373" s="79">
        <f>'Core Loads'!X537</f>
        <v>11525540.601956299</v>
      </c>
      <c r="Y373" s="79">
        <f>'Core Loads'!Y537</f>
        <v>11525540.601956299</v>
      </c>
      <c r="Z373" s="79">
        <f>'Core Loads'!Z537</f>
        <v>11525540.601956299</v>
      </c>
      <c r="AA373" s="79">
        <f>'Core Loads'!AA537</f>
        <v>11525540.601956299</v>
      </c>
      <c r="AB373" s="79">
        <f>'Core Loads'!AB537</f>
        <v>11525540.601956299</v>
      </c>
      <c r="AC373" s="79">
        <f>'Core Loads'!AC537</f>
        <v>11525540.601956299</v>
      </c>
      <c r="AD373" s="79">
        <f>'Core Loads'!AD537</f>
        <v>11525540.601956299</v>
      </c>
      <c r="AE373" s="79">
        <f>'Core Loads'!AE537</f>
        <v>11525540.601956299</v>
      </c>
      <c r="AF373" s="79">
        <f>'Core Loads'!AF537</f>
        <v>11525540.601956299</v>
      </c>
      <c r="AG373"/>
      <c r="AH373" s="17" t="s">
        <v>279</v>
      </c>
    </row>
    <row r="374" spans="2:35" customFormat="1" outlineLevel="1" x14ac:dyDescent="0.25">
      <c r="B374" s="31" t="s">
        <v>244</v>
      </c>
      <c r="C374" s="79">
        <f>'Core Loads'!C538</f>
        <v>0</v>
      </c>
      <c r="D374" s="79">
        <f>'Core Loads'!D538</f>
        <v>0</v>
      </c>
      <c r="E374" s="79">
        <f>'Core Loads'!E538</f>
        <v>35030010.666666664</v>
      </c>
      <c r="F374" s="79">
        <f>'Core Loads'!F538</f>
        <v>33517716.333333336</v>
      </c>
      <c r="G374" s="79">
        <f>'Core Loads'!G538</f>
        <v>33517716.333333336</v>
      </c>
      <c r="H374" s="79">
        <f>'Core Loads'!H538</f>
        <v>31998292.333333336</v>
      </c>
      <c r="I374" s="79">
        <f>'Core Loads'!I538</f>
        <v>31998292.333333336</v>
      </c>
      <c r="J374" s="79">
        <f>'Core Loads'!J538</f>
        <v>31998292.333333336</v>
      </c>
      <c r="K374" s="79">
        <f>'Core Loads'!K538</f>
        <v>31998292.333333336</v>
      </c>
      <c r="L374" s="79">
        <f>'Core Loads'!L538</f>
        <v>31998292.333333336</v>
      </c>
      <c r="M374" s="79">
        <f>'Core Loads'!M538</f>
        <v>31998292.333333336</v>
      </c>
      <c r="N374" s="79">
        <f>'Core Loads'!N538</f>
        <v>29833701.969607845</v>
      </c>
      <c r="O374" s="79">
        <f>'Core Loads'!O538</f>
        <v>29833701.969607845</v>
      </c>
      <c r="P374" s="79">
        <f>'Core Loads'!P538</f>
        <v>28875000.884313725</v>
      </c>
      <c r="Q374" s="79">
        <f>'Core Loads'!Q538</f>
        <v>28875000.884313725</v>
      </c>
      <c r="R374" s="79">
        <f>'Core Loads'!R538</f>
        <v>28875000.884313725</v>
      </c>
      <c r="S374" s="79">
        <f>'Core Loads'!S538</f>
        <v>28875000.884313725</v>
      </c>
      <c r="T374" s="79">
        <f>'Core Loads'!T538</f>
        <v>28875000.884313725</v>
      </c>
      <c r="U374" s="79">
        <f>'Core Loads'!U538</f>
        <v>28875000.884313725</v>
      </c>
      <c r="V374" s="79">
        <f>'Core Loads'!V538</f>
        <v>28875000.884313725</v>
      </c>
      <c r="W374" s="79">
        <f>'Core Loads'!W538</f>
        <v>28875000.884313725</v>
      </c>
      <c r="X374" s="79">
        <f>'Core Loads'!X538</f>
        <v>28875000.884313725</v>
      </c>
      <c r="Y374" s="79">
        <f>'Core Loads'!Y538</f>
        <v>28875000.884313725</v>
      </c>
      <c r="Z374" s="79">
        <f>'Core Loads'!Z538</f>
        <v>28875000.884313725</v>
      </c>
      <c r="AA374" s="79">
        <f>'Core Loads'!AA538</f>
        <v>28875000.884313725</v>
      </c>
      <c r="AB374" s="79">
        <f>'Core Loads'!AB538</f>
        <v>28875000.884313725</v>
      </c>
      <c r="AC374" s="79">
        <f>'Core Loads'!AC538</f>
        <v>28875000.884313725</v>
      </c>
      <c r="AD374" s="79">
        <f>'Core Loads'!AD538</f>
        <v>28875000.884313725</v>
      </c>
      <c r="AE374" s="79">
        <f>'Core Loads'!AE538</f>
        <v>28875000.884313725</v>
      </c>
      <c r="AF374" s="79">
        <f>'Core Loads'!AF538</f>
        <v>28875000.884313725</v>
      </c>
      <c r="AH374" s="17" t="s">
        <v>279</v>
      </c>
    </row>
    <row r="375" spans="2:35" outlineLevel="1" x14ac:dyDescent="0.25">
      <c r="B375" s="31" t="s">
        <v>147</v>
      </c>
      <c r="C375" s="79">
        <f>'Core Loads'!C539</f>
        <v>0</v>
      </c>
      <c r="D375" s="79">
        <f>'Core Loads'!D539</f>
        <v>0</v>
      </c>
      <c r="E375" s="79">
        <f>'Core Loads'!E539</f>
        <v>0</v>
      </c>
      <c r="F375" s="79">
        <f>'Core Loads'!F539</f>
        <v>0</v>
      </c>
      <c r="G375" s="79">
        <f>'Core Loads'!G539</f>
        <v>0</v>
      </c>
      <c r="H375" s="79">
        <f>'Core Loads'!H539</f>
        <v>0</v>
      </c>
      <c r="I375" s="79">
        <f>'Core Loads'!I539</f>
        <v>0</v>
      </c>
      <c r="J375" s="79">
        <f>'Core Loads'!J539</f>
        <v>0</v>
      </c>
      <c r="K375" s="79">
        <f>'Core Loads'!K539</f>
        <v>0</v>
      </c>
      <c r="L375" s="79">
        <f>'Core Loads'!L539</f>
        <v>0</v>
      </c>
      <c r="M375" s="79">
        <f>'Core Loads'!M539</f>
        <v>0</v>
      </c>
      <c r="N375" s="79">
        <f>'Core Loads'!N539</f>
        <v>0</v>
      </c>
      <c r="O375" s="79">
        <f>'Core Loads'!O539</f>
        <v>0</v>
      </c>
      <c r="P375" s="79">
        <f>'Core Loads'!P539</f>
        <v>0</v>
      </c>
      <c r="Q375" s="79">
        <f>'Core Loads'!Q539</f>
        <v>0</v>
      </c>
      <c r="R375" s="79">
        <f>'Core Loads'!R539</f>
        <v>0</v>
      </c>
      <c r="S375" s="79">
        <f>'Core Loads'!S539</f>
        <v>0</v>
      </c>
      <c r="T375" s="79">
        <f>'Core Loads'!T539</f>
        <v>0</v>
      </c>
      <c r="U375" s="79">
        <f>'Core Loads'!U539</f>
        <v>0</v>
      </c>
      <c r="V375" s="79">
        <f>'Core Loads'!V539</f>
        <v>0</v>
      </c>
      <c r="W375" s="79">
        <f>'Core Loads'!W539</f>
        <v>0</v>
      </c>
      <c r="X375" s="79">
        <f>'Core Loads'!X539</f>
        <v>0</v>
      </c>
      <c r="Y375" s="79">
        <f>'Core Loads'!Y539</f>
        <v>0</v>
      </c>
      <c r="Z375" s="79">
        <f>'Core Loads'!Z539</f>
        <v>0</v>
      </c>
      <c r="AA375" s="79">
        <f>'Core Loads'!AA539</f>
        <v>0</v>
      </c>
      <c r="AB375" s="79">
        <f>'Core Loads'!AB539</f>
        <v>0</v>
      </c>
      <c r="AC375" s="79">
        <f>'Core Loads'!AC539</f>
        <v>0</v>
      </c>
      <c r="AD375" s="79">
        <f>'Core Loads'!AD539</f>
        <v>0</v>
      </c>
      <c r="AE375" s="79">
        <f>'Core Loads'!AE539</f>
        <v>0</v>
      </c>
      <c r="AF375" s="79">
        <f>'Core Loads'!AF539</f>
        <v>0</v>
      </c>
      <c r="AG375"/>
      <c r="AH375" s="17" t="s">
        <v>279</v>
      </c>
    </row>
    <row r="376" spans="2:35" outlineLevel="1" x14ac:dyDescent="0.25">
      <c r="B376" s="31" t="s">
        <v>245</v>
      </c>
      <c r="C376" s="79">
        <f>'Core Loads'!C540</f>
        <v>0</v>
      </c>
      <c r="D376" s="79">
        <f>'Core Loads'!D540</f>
        <v>0</v>
      </c>
      <c r="E376" s="79">
        <f>'Core Loads'!E540</f>
        <v>0</v>
      </c>
      <c r="F376" s="79">
        <f>'Core Loads'!F540</f>
        <v>0</v>
      </c>
      <c r="G376" s="79">
        <f>'Core Loads'!G540</f>
        <v>0</v>
      </c>
      <c r="H376" s="79">
        <f>'Core Loads'!H540</f>
        <v>0</v>
      </c>
      <c r="I376" s="79">
        <f>'Core Loads'!I540</f>
        <v>0</v>
      </c>
      <c r="J376" s="79">
        <f>'Core Loads'!J540</f>
        <v>0</v>
      </c>
      <c r="K376" s="79">
        <f>'Core Loads'!K540</f>
        <v>0</v>
      </c>
      <c r="L376" s="79">
        <f>'Core Loads'!L540</f>
        <v>0</v>
      </c>
      <c r="M376" s="79">
        <f>'Core Loads'!M540</f>
        <v>0</v>
      </c>
      <c r="N376" s="79">
        <f>'Core Loads'!N540</f>
        <v>0</v>
      </c>
      <c r="O376" s="79">
        <f>'Core Loads'!O540</f>
        <v>0</v>
      </c>
      <c r="P376" s="79">
        <f>'Core Loads'!P540</f>
        <v>0</v>
      </c>
      <c r="Q376" s="79">
        <f>'Core Loads'!Q540</f>
        <v>0</v>
      </c>
      <c r="R376" s="79">
        <f>'Core Loads'!R540</f>
        <v>4623100.2231905619</v>
      </c>
      <c r="S376" s="79">
        <f>'Core Loads'!S540</f>
        <v>4623100.2231905619</v>
      </c>
      <c r="T376" s="79">
        <f>'Core Loads'!T540</f>
        <v>4623100.2231905619</v>
      </c>
      <c r="U376" s="79">
        <f>'Core Loads'!U540</f>
        <v>4623100.2231905619</v>
      </c>
      <c r="V376" s="79">
        <f>'Core Loads'!V540</f>
        <v>4623100.2231905619</v>
      </c>
      <c r="W376" s="79">
        <f>'Core Loads'!W540</f>
        <v>4623100.2231905619</v>
      </c>
      <c r="X376" s="79">
        <f>'Core Loads'!X540</f>
        <v>4623100.2231905619</v>
      </c>
      <c r="Y376" s="79">
        <f>'Core Loads'!Y540</f>
        <v>4623100.2231905619</v>
      </c>
      <c r="Z376" s="79">
        <f>'Core Loads'!Z540</f>
        <v>4623100.2231905619</v>
      </c>
      <c r="AA376" s="79">
        <f>'Core Loads'!AA540</f>
        <v>4623100.2231905619</v>
      </c>
      <c r="AB376" s="79">
        <f>'Core Loads'!AB540</f>
        <v>4623100.2231905619</v>
      </c>
      <c r="AC376" s="79">
        <f>'Core Loads'!AC540</f>
        <v>4623100.2231905619</v>
      </c>
      <c r="AD376" s="79">
        <f>'Core Loads'!AD540</f>
        <v>4623100.2231905619</v>
      </c>
      <c r="AE376" s="79">
        <f>'Core Loads'!AE540</f>
        <v>4623100.2231905619</v>
      </c>
      <c r="AF376" s="79">
        <f>'Core Loads'!AF540</f>
        <v>4623100.2231905619</v>
      </c>
      <c r="AG376"/>
      <c r="AH376" s="17" t="s">
        <v>279</v>
      </c>
    </row>
    <row r="377" spans="2:35" outlineLevel="1" x14ac:dyDescent="0.25">
      <c r="B377" s="31" t="s">
        <v>149</v>
      </c>
      <c r="C377" s="79">
        <f>'Core Loads'!C541</f>
        <v>0</v>
      </c>
      <c r="D377" s="79">
        <f>'Core Loads'!D541</f>
        <v>0</v>
      </c>
      <c r="E377" s="79">
        <f>'Core Loads'!E541</f>
        <v>35030010.666666664</v>
      </c>
      <c r="F377" s="79">
        <f>'Core Loads'!F541</f>
        <v>136620623.22983801</v>
      </c>
      <c r="G377" s="79">
        <f>'Core Loads'!G541</f>
        <v>136620623.22983801</v>
      </c>
      <c r="H377" s="79">
        <f>'Core Loads'!H541</f>
        <v>133487839.42591646</v>
      </c>
      <c r="I377" s="79">
        <f>'Core Loads'!I541</f>
        <v>133487839.42591646</v>
      </c>
      <c r="J377" s="79">
        <f>'Core Loads'!J541</f>
        <v>133487839.42591646</v>
      </c>
      <c r="K377" s="79">
        <f>'Core Loads'!K541</f>
        <v>133487839.42591646</v>
      </c>
      <c r="L377" s="79">
        <f>'Core Loads'!L541</f>
        <v>133487839.42591646</v>
      </c>
      <c r="M377" s="79">
        <f>'Core Loads'!M541</f>
        <v>133487839.42591646</v>
      </c>
      <c r="N377" s="79">
        <f>'Core Loads'!N541</f>
        <v>131323249.06219096</v>
      </c>
      <c r="O377" s="79">
        <f>'Core Loads'!O541</f>
        <v>131323249.06219096</v>
      </c>
      <c r="P377" s="79">
        <f>'Core Loads'!P541</f>
        <v>130364547.97689685</v>
      </c>
      <c r="Q377" s="79">
        <f>'Core Loads'!Q541</f>
        <v>130364547.97689685</v>
      </c>
      <c r="R377" s="79">
        <f>'Core Loads'!R541</f>
        <v>134987648.20008743</v>
      </c>
      <c r="S377" s="79">
        <f>'Core Loads'!S541</f>
        <v>134987648.20008743</v>
      </c>
      <c r="T377" s="79">
        <f>'Core Loads'!T541</f>
        <v>134628800.42193615</v>
      </c>
      <c r="U377" s="79">
        <f>'Core Loads'!U541</f>
        <v>134628800.42193615</v>
      </c>
      <c r="V377" s="79">
        <f>'Core Loads'!V541</f>
        <v>134628800.42193615</v>
      </c>
      <c r="W377" s="79">
        <f>'Core Loads'!W541</f>
        <v>134628800.42193615</v>
      </c>
      <c r="X377" s="79">
        <f>'Core Loads'!X541</f>
        <v>134628800.42193615</v>
      </c>
      <c r="Y377" s="79">
        <f>'Core Loads'!Y541</f>
        <v>134628800.42193615</v>
      </c>
      <c r="Z377" s="79">
        <f>'Core Loads'!Z541</f>
        <v>134628800.42193615</v>
      </c>
      <c r="AA377" s="79">
        <f>'Core Loads'!AA541</f>
        <v>134628800.42193615</v>
      </c>
      <c r="AB377" s="79">
        <f>'Core Loads'!AB541</f>
        <v>134628800.42193615</v>
      </c>
      <c r="AC377" s="79">
        <f>'Core Loads'!AC541</f>
        <v>134628800.42193615</v>
      </c>
      <c r="AD377" s="79">
        <f>'Core Loads'!AD541</f>
        <v>134628800.42193615</v>
      </c>
      <c r="AE377" s="79">
        <f>'Core Loads'!AE541</f>
        <v>134628800.42193615</v>
      </c>
      <c r="AF377" s="79">
        <f>'Core Loads'!AF541</f>
        <v>134628800.42193615</v>
      </c>
      <c r="AG377"/>
      <c r="AH377" s="17" t="s">
        <v>279</v>
      </c>
    </row>
    <row r="378" spans="2:35" outlineLevel="1" x14ac:dyDescent="0.25">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c r="AH378"/>
    </row>
    <row r="379" spans="2:35" outlineLevel="1" x14ac:dyDescent="0.25">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c r="AH379"/>
    </row>
    <row r="380" spans="2:35" ht="17.25" outlineLevel="1" thickBot="1" x14ac:dyDescent="0.3">
      <c r="B380" s="26" t="s">
        <v>282</v>
      </c>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row>
    <row r="381" spans="2:35" ht="16.5" outlineLevel="1" thickTop="1" thickBot="1" x14ac:dyDescent="0.3">
      <c r="B381" s="28" t="s">
        <v>278</v>
      </c>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0"/>
      <c r="AH381" s="20" t="s">
        <v>15</v>
      </c>
    </row>
    <row r="382" spans="2:35" customFormat="1" outlineLevel="1" x14ac:dyDescent="0.25">
      <c r="B382" s="30"/>
      <c r="C382" s="17">
        <v>2025</v>
      </c>
      <c r="D382" s="44">
        <v>2026</v>
      </c>
      <c r="E382" s="44">
        <v>2027</v>
      </c>
      <c r="F382" s="44">
        <v>2028</v>
      </c>
      <c r="G382" s="44">
        <v>2029</v>
      </c>
      <c r="H382" s="44">
        <v>2030</v>
      </c>
      <c r="I382" s="44">
        <v>2031</v>
      </c>
      <c r="J382" s="44">
        <v>2032</v>
      </c>
      <c r="K382" s="44">
        <v>2033</v>
      </c>
      <c r="L382" s="44">
        <v>2034</v>
      </c>
      <c r="M382" s="44">
        <v>2035</v>
      </c>
      <c r="N382" s="44">
        <v>2036</v>
      </c>
      <c r="O382" s="44">
        <v>2037</v>
      </c>
      <c r="P382" s="44">
        <v>2038</v>
      </c>
      <c r="Q382" s="44">
        <v>2039</v>
      </c>
      <c r="R382" s="44">
        <v>2040</v>
      </c>
      <c r="S382" s="44">
        <v>2041</v>
      </c>
      <c r="T382" s="44">
        <v>2042</v>
      </c>
      <c r="U382" s="44">
        <v>2043</v>
      </c>
      <c r="V382" s="44">
        <v>2044</v>
      </c>
      <c r="W382" s="44">
        <v>2045</v>
      </c>
      <c r="X382" s="44">
        <v>2046</v>
      </c>
      <c r="Y382" s="44">
        <v>2047</v>
      </c>
      <c r="Z382" s="44">
        <v>2048</v>
      </c>
      <c r="AA382" s="44">
        <v>2049</v>
      </c>
      <c r="AB382" s="44">
        <v>2050</v>
      </c>
      <c r="AC382" s="44">
        <v>2051</v>
      </c>
      <c r="AD382" s="44">
        <v>2052</v>
      </c>
      <c r="AE382" s="44">
        <v>2053</v>
      </c>
      <c r="AF382" s="44">
        <v>2054</v>
      </c>
      <c r="AH382" s="1"/>
      <c r="AI382" s="1"/>
    </row>
    <row r="383" spans="2:35" outlineLevel="1" x14ac:dyDescent="0.25">
      <c r="B383" s="31" t="s">
        <v>144</v>
      </c>
      <c r="C383" s="79">
        <f>'Core Loads'!C547</f>
        <v>342242.65102078754</v>
      </c>
      <c r="D383" s="79">
        <f>'Core Loads'!D547</f>
        <v>342242.65102078754</v>
      </c>
      <c r="E383" s="79">
        <f>'Core Loads'!E547</f>
        <v>342242.65102078754</v>
      </c>
      <c r="F383" s="79">
        <f>'Core Loads'!F547</f>
        <v>0</v>
      </c>
      <c r="G383" s="79">
        <f>'Core Loads'!G547</f>
        <v>0</v>
      </c>
      <c r="H383" s="79">
        <f>'Core Loads'!H547</f>
        <v>0</v>
      </c>
      <c r="I383" s="79">
        <f>'Core Loads'!I547</f>
        <v>0</v>
      </c>
      <c r="J383" s="79">
        <f>'Core Loads'!J547</f>
        <v>0</v>
      </c>
      <c r="K383" s="79">
        <f>'Core Loads'!K547</f>
        <v>0</v>
      </c>
      <c r="L383" s="79">
        <f>'Core Loads'!L547</f>
        <v>0</v>
      </c>
      <c r="M383" s="79">
        <f>'Core Loads'!M547</f>
        <v>0</v>
      </c>
      <c r="N383" s="79">
        <f>'Core Loads'!N547</f>
        <v>0</v>
      </c>
      <c r="O383" s="79">
        <f>'Core Loads'!O547</f>
        <v>0</v>
      </c>
      <c r="P383" s="79">
        <f>'Core Loads'!P547</f>
        <v>0</v>
      </c>
      <c r="Q383" s="79">
        <f>'Core Loads'!Q547</f>
        <v>0</v>
      </c>
      <c r="R383" s="79">
        <f>'Core Loads'!R547</f>
        <v>0</v>
      </c>
      <c r="S383" s="79">
        <f>'Core Loads'!S547</f>
        <v>0</v>
      </c>
      <c r="T383" s="79">
        <f>'Core Loads'!T547</f>
        <v>0</v>
      </c>
      <c r="U383" s="79">
        <f>'Core Loads'!U547</f>
        <v>0</v>
      </c>
      <c r="V383" s="79">
        <f>'Core Loads'!V547</f>
        <v>0</v>
      </c>
      <c r="W383" s="79">
        <f>'Core Loads'!W547</f>
        <v>0</v>
      </c>
      <c r="X383" s="79">
        <f>'Core Loads'!X547</f>
        <v>0</v>
      </c>
      <c r="Y383" s="79">
        <f>'Core Loads'!Y547</f>
        <v>0</v>
      </c>
      <c r="Z383" s="79">
        <f>'Core Loads'!Z547</f>
        <v>0</v>
      </c>
      <c r="AA383" s="79">
        <f>'Core Loads'!AA547</f>
        <v>0</v>
      </c>
      <c r="AB383" s="79">
        <f>'Core Loads'!AB547</f>
        <v>0</v>
      </c>
      <c r="AC383" s="79">
        <f>'Core Loads'!AC547</f>
        <v>0</v>
      </c>
      <c r="AD383" s="79">
        <f>'Core Loads'!AD547</f>
        <v>0</v>
      </c>
      <c r="AE383" s="79">
        <f>'Core Loads'!AE547</f>
        <v>0</v>
      </c>
      <c r="AF383" s="79">
        <f>'Core Loads'!AF547</f>
        <v>0</v>
      </c>
      <c r="AG383"/>
      <c r="AH383" s="17" t="s">
        <v>279</v>
      </c>
    </row>
    <row r="384" spans="2:35" customFormat="1" outlineLevel="1" x14ac:dyDescent="0.25">
      <c r="B384" s="31" t="s">
        <v>145</v>
      </c>
      <c r="C384" s="79">
        <f>'Core Loads'!C548</f>
        <v>98109.353104549853</v>
      </c>
      <c r="D384" s="79">
        <f>'Core Loads'!D548</f>
        <v>98109.353104549853</v>
      </c>
      <c r="E384" s="79">
        <f>'Core Loads'!E548</f>
        <v>98109.353104549853</v>
      </c>
      <c r="F384" s="79">
        <f>'Core Loads'!F548</f>
        <v>0</v>
      </c>
      <c r="G384" s="79">
        <f>'Core Loads'!G548</f>
        <v>0</v>
      </c>
      <c r="H384" s="79">
        <f>'Core Loads'!H548</f>
        <v>0</v>
      </c>
      <c r="I384" s="79">
        <f>'Core Loads'!I548</f>
        <v>0</v>
      </c>
      <c r="J384" s="79">
        <f>'Core Loads'!J548</f>
        <v>0</v>
      </c>
      <c r="K384" s="79">
        <f>'Core Loads'!K548</f>
        <v>0</v>
      </c>
      <c r="L384" s="79">
        <f>'Core Loads'!L548</f>
        <v>0</v>
      </c>
      <c r="M384" s="79">
        <f>'Core Loads'!M548</f>
        <v>0</v>
      </c>
      <c r="N384" s="79">
        <f>'Core Loads'!N548</f>
        <v>0</v>
      </c>
      <c r="O384" s="79">
        <f>'Core Loads'!O548</f>
        <v>0</v>
      </c>
      <c r="P384" s="79">
        <f>'Core Loads'!P548</f>
        <v>0</v>
      </c>
      <c r="Q384" s="79">
        <f>'Core Loads'!Q548</f>
        <v>0</v>
      </c>
      <c r="R384" s="79">
        <f>'Core Loads'!R548</f>
        <v>0</v>
      </c>
      <c r="S384" s="79">
        <f>'Core Loads'!S548</f>
        <v>0</v>
      </c>
      <c r="T384" s="79">
        <f>'Core Loads'!T548</f>
        <v>0</v>
      </c>
      <c r="U384" s="79">
        <f>'Core Loads'!U548</f>
        <v>0</v>
      </c>
      <c r="V384" s="79">
        <f>'Core Loads'!V548</f>
        <v>0</v>
      </c>
      <c r="W384" s="79">
        <f>'Core Loads'!W548</f>
        <v>0</v>
      </c>
      <c r="X384" s="79">
        <f>'Core Loads'!X548</f>
        <v>0</v>
      </c>
      <c r="Y384" s="79">
        <f>'Core Loads'!Y548</f>
        <v>0</v>
      </c>
      <c r="Z384" s="79">
        <f>'Core Loads'!Z548</f>
        <v>0</v>
      </c>
      <c r="AA384" s="79">
        <f>'Core Loads'!AA548</f>
        <v>0</v>
      </c>
      <c r="AB384" s="79">
        <f>'Core Loads'!AB548</f>
        <v>0</v>
      </c>
      <c r="AC384" s="79">
        <f>'Core Loads'!AC548</f>
        <v>0</v>
      </c>
      <c r="AD384" s="79">
        <f>'Core Loads'!AD548</f>
        <v>0</v>
      </c>
      <c r="AE384" s="79">
        <f>'Core Loads'!AE548</f>
        <v>0</v>
      </c>
      <c r="AF384" s="79">
        <f>'Core Loads'!AF548</f>
        <v>0</v>
      </c>
      <c r="AH384" s="17" t="s">
        <v>279</v>
      </c>
    </row>
    <row r="385" spans="2:34" outlineLevel="1" x14ac:dyDescent="0.25">
      <c r="B385" s="31" t="s">
        <v>244</v>
      </c>
      <c r="C385" s="79">
        <f>'Core Loads'!C549</f>
        <v>249408.4642786741</v>
      </c>
      <c r="D385" s="79">
        <f>'Core Loads'!D549</f>
        <v>249408.4642786741</v>
      </c>
      <c r="E385" s="79">
        <f>'Core Loads'!E549</f>
        <v>0</v>
      </c>
      <c r="F385" s="79">
        <f>'Core Loads'!F549</f>
        <v>0</v>
      </c>
      <c r="G385" s="79">
        <f>'Core Loads'!G549</f>
        <v>0</v>
      </c>
      <c r="H385" s="79">
        <f>'Core Loads'!H549</f>
        <v>0</v>
      </c>
      <c r="I385" s="79">
        <f>'Core Loads'!I549</f>
        <v>0</v>
      </c>
      <c r="J385" s="79">
        <f>'Core Loads'!J549</f>
        <v>0</v>
      </c>
      <c r="K385" s="79">
        <f>'Core Loads'!K549</f>
        <v>0</v>
      </c>
      <c r="L385" s="79">
        <f>'Core Loads'!L549</f>
        <v>0</v>
      </c>
      <c r="M385" s="79">
        <f>'Core Loads'!M549</f>
        <v>0</v>
      </c>
      <c r="N385" s="79">
        <f>'Core Loads'!N549</f>
        <v>0</v>
      </c>
      <c r="O385" s="79">
        <f>'Core Loads'!O549</f>
        <v>0</v>
      </c>
      <c r="P385" s="79">
        <f>'Core Loads'!P549</f>
        <v>0</v>
      </c>
      <c r="Q385" s="79">
        <f>'Core Loads'!Q549</f>
        <v>0</v>
      </c>
      <c r="R385" s="79">
        <f>'Core Loads'!R549</f>
        <v>0</v>
      </c>
      <c r="S385" s="79">
        <f>'Core Loads'!S549</f>
        <v>0</v>
      </c>
      <c r="T385" s="79">
        <f>'Core Loads'!T549</f>
        <v>0</v>
      </c>
      <c r="U385" s="79">
        <f>'Core Loads'!U549</f>
        <v>0</v>
      </c>
      <c r="V385" s="79">
        <f>'Core Loads'!V549</f>
        <v>0</v>
      </c>
      <c r="W385" s="79">
        <f>'Core Loads'!W549</f>
        <v>0</v>
      </c>
      <c r="X385" s="79">
        <f>'Core Loads'!X549</f>
        <v>0</v>
      </c>
      <c r="Y385" s="79">
        <f>'Core Loads'!Y549</f>
        <v>0</v>
      </c>
      <c r="Z385" s="79">
        <f>'Core Loads'!Z549</f>
        <v>0</v>
      </c>
      <c r="AA385" s="79">
        <f>'Core Loads'!AA549</f>
        <v>0</v>
      </c>
      <c r="AB385" s="79">
        <f>'Core Loads'!AB549</f>
        <v>0</v>
      </c>
      <c r="AC385" s="79">
        <f>'Core Loads'!AC549</f>
        <v>0</v>
      </c>
      <c r="AD385" s="79">
        <f>'Core Loads'!AD549</f>
        <v>0</v>
      </c>
      <c r="AE385" s="79">
        <f>'Core Loads'!AE549</f>
        <v>0</v>
      </c>
      <c r="AF385" s="79">
        <f>'Core Loads'!AF549</f>
        <v>0</v>
      </c>
      <c r="AG385"/>
      <c r="AH385" s="17" t="s">
        <v>279</v>
      </c>
    </row>
    <row r="386" spans="2:34" outlineLevel="1" x14ac:dyDescent="0.25">
      <c r="B386" s="31" t="s">
        <v>147</v>
      </c>
      <c r="C386" s="79">
        <f>'Core Loads'!C550</f>
        <v>0</v>
      </c>
      <c r="D386" s="79">
        <f>'Core Loads'!D550</f>
        <v>0</v>
      </c>
      <c r="E386" s="79">
        <f>'Core Loads'!E550</f>
        <v>0</v>
      </c>
      <c r="F386" s="79">
        <f>'Core Loads'!F550</f>
        <v>0</v>
      </c>
      <c r="G386" s="79">
        <f>'Core Loads'!G550</f>
        <v>0</v>
      </c>
      <c r="H386" s="79">
        <f>'Core Loads'!H550</f>
        <v>0</v>
      </c>
      <c r="I386" s="79">
        <f>'Core Loads'!I550</f>
        <v>0</v>
      </c>
      <c r="J386" s="79">
        <f>'Core Loads'!J550</f>
        <v>0</v>
      </c>
      <c r="K386" s="79">
        <f>'Core Loads'!K550</f>
        <v>0</v>
      </c>
      <c r="L386" s="79">
        <f>'Core Loads'!L550</f>
        <v>0</v>
      </c>
      <c r="M386" s="79">
        <f>'Core Loads'!M550</f>
        <v>0</v>
      </c>
      <c r="N386" s="79">
        <f>'Core Loads'!N550</f>
        <v>0</v>
      </c>
      <c r="O386" s="79">
        <f>'Core Loads'!O550</f>
        <v>0</v>
      </c>
      <c r="P386" s="79">
        <f>'Core Loads'!P550</f>
        <v>0</v>
      </c>
      <c r="Q386" s="79">
        <f>'Core Loads'!Q550</f>
        <v>0</v>
      </c>
      <c r="R386" s="79">
        <f>'Core Loads'!R550</f>
        <v>0</v>
      </c>
      <c r="S386" s="79">
        <f>'Core Loads'!S550</f>
        <v>0</v>
      </c>
      <c r="T386" s="79">
        <f>'Core Loads'!T550</f>
        <v>0</v>
      </c>
      <c r="U386" s="79">
        <f>'Core Loads'!U550</f>
        <v>0</v>
      </c>
      <c r="V386" s="79">
        <f>'Core Loads'!V550</f>
        <v>0</v>
      </c>
      <c r="W386" s="79">
        <f>'Core Loads'!W550</f>
        <v>0</v>
      </c>
      <c r="X386" s="79">
        <f>'Core Loads'!X550</f>
        <v>0</v>
      </c>
      <c r="Y386" s="79">
        <f>'Core Loads'!Y550</f>
        <v>0</v>
      </c>
      <c r="Z386" s="79">
        <f>'Core Loads'!Z550</f>
        <v>0</v>
      </c>
      <c r="AA386" s="79">
        <f>'Core Loads'!AA550</f>
        <v>0</v>
      </c>
      <c r="AB386" s="79">
        <f>'Core Loads'!AB550</f>
        <v>0</v>
      </c>
      <c r="AC386" s="79">
        <f>'Core Loads'!AC550</f>
        <v>0</v>
      </c>
      <c r="AD386" s="79">
        <f>'Core Loads'!AD550</f>
        <v>0</v>
      </c>
      <c r="AE386" s="79">
        <f>'Core Loads'!AE550</f>
        <v>0</v>
      </c>
      <c r="AF386" s="79">
        <f>'Core Loads'!AF550</f>
        <v>0</v>
      </c>
      <c r="AG386"/>
      <c r="AH386" s="17" t="s">
        <v>279</v>
      </c>
    </row>
    <row r="387" spans="2:34" outlineLevel="1" x14ac:dyDescent="0.25">
      <c r="B387" s="31" t="s">
        <v>245</v>
      </c>
      <c r="C387" s="79">
        <f>'Core Loads'!C551</f>
        <v>15010.998282483361</v>
      </c>
      <c r="D387" s="79">
        <f>'Core Loads'!D551</f>
        <v>15010.998282483361</v>
      </c>
      <c r="E387" s="79">
        <f>'Core Loads'!E551</f>
        <v>15010.998282483361</v>
      </c>
      <c r="F387" s="79">
        <f>'Core Loads'!F551</f>
        <v>0</v>
      </c>
      <c r="G387" s="79">
        <f>'Core Loads'!G551</f>
        <v>0</v>
      </c>
      <c r="H387" s="79">
        <f>'Core Loads'!H551</f>
        <v>0</v>
      </c>
      <c r="I387" s="79">
        <f>'Core Loads'!I551</f>
        <v>0</v>
      </c>
      <c r="J387" s="79">
        <f>'Core Loads'!J551</f>
        <v>0</v>
      </c>
      <c r="K387" s="79">
        <f>'Core Loads'!K551</f>
        <v>0</v>
      </c>
      <c r="L387" s="79">
        <f>'Core Loads'!L551</f>
        <v>0</v>
      </c>
      <c r="M387" s="79">
        <f>'Core Loads'!M551</f>
        <v>0</v>
      </c>
      <c r="N387" s="79">
        <f>'Core Loads'!N551</f>
        <v>0</v>
      </c>
      <c r="O387" s="79">
        <f>'Core Loads'!O551</f>
        <v>0</v>
      </c>
      <c r="P387" s="79">
        <f>'Core Loads'!P551</f>
        <v>0</v>
      </c>
      <c r="Q387" s="79">
        <f>'Core Loads'!Q551</f>
        <v>0</v>
      </c>
      <c r="R387" s="79">
        <f>'Core Loads'!R551</f>
        <v>0</v>
      </c>
      <c r="S387" s="79">
        <f>'Core Loads'!S551</f>
        <v>0</v>
      </c>
      <c r="T387" s="79">
        <f>'Core Loads'!T551</f>
        <v>0</v>
      </c>
      <c r="U387" s="79">
        <f>'Core Loads'!U551</f>
        <v>0</v>
      </c>
      <c r="V387" s="79">
        <f>'Core Loads'!V551</f>
        <v>0</v>
      </c>
      <c r="W387" s="79">
        <f>'Core Loads'!W551</f>
        <v>0</v>
      </c>
      <c r="X387" s="79">
        <f>'Core Loads'!X551</f>
        <v>0</v>
      </c>
      <c r="Y387" s="79">
        <f>'Core Loads'!Y551</f>
        <v>0</v>
      </c>
      <c r="Z387" s="79">
        <f>'Core Loads'!Z551</f>
        <v>0</v>
      </c>
      <c r="AA387" s="79">
        <f>'Core Loads'!AA551</f>
        <v>0</v>
      </c>
      <c r="AB387" s="79">
        <f>'Core Loads'!AB551</f>
        <v>0</v>
      </c>
      <c r="AC387" s="79">
        <f>'Core Loads'!AC551</f>
        <v>0</v>
      </c>
      <c r="AD387" s="79">
        <f>'Core Loads'!AD551</f>
        <v>0</v>
      </c>
      <c r="AE387" s="79">
        <f>'Core Loads'!AE551</f>
        <v>0</v>
      </c>
      <c r="AF387" s="79">
        <f>'Core Loads'!AF551</f>
        <v>0</v>
      </c>
      <c r="AG387"/>
      <c r="AH387" s="17" t="s">
        <v>279</v>
      </c>
    </row>
    <row r="388" spans="2:34" outlineLevel="1" x14ac:dyDescent="0.25">
      <c r="B388" s="31" t="s">
        <v>149</v>
      </c>
      <c r="C388" s="79">
        <f>'Core Loads'!C552</f>
        <v>704771.46668649488</v>
      </c>
      <c r="D388" s="79">
        <f>'Core Loads'!D552</f>
        <v>704771.46668649488</v>
      </c>
      <c r="E388" s="79">
        <f>'Core Loads'!E552</f>
        <v>455363.00240782078</v>
      </c>
      <c r="F388" s="79">
        <f>'Core Loads'!F552</f>
        <v>0</v>
      </c>
      <c r="G388" s="79">
        <f>'Core Loads'!G552</f>
        <v>0</v>
      </c>
      <c r="H388" s="79">
        <f>'Core Loads'!H552</f>
        <v>0</v>
      </c>
      <c r="I388" s="79">
        <f>'Core Loads'!I552</f>
        <v>0</v>
      </c>
      <c r="J388" s="79">
        <f>'Core Loads'!J552</f>
        <v>0</v>
      </c>
      <c r="K388" s="79">
        <f>'Core Loads'!K552</f>
        <v>0</v>
      </c>
      <c r="L388" s="79">
        <f>'Core Loads'!L552</f>
        <v>0</v>
      </c>
      <c r="M388" s="79">
        <f>'Core Loads'!M552</f>
        <v>0</v>
      </c>
      <c r="N388" s="79">
        <f>'Core Loads'!N552</f>
        <v>0</v>
      </c>
      <c r="O388" s="79">
        <f>'Core Loads'!O552</f>
        <v>0</v>
      </c>
      <c r="P388" s="79">
        <f>'Core Loads'!P552</f>
        <v>0</v>
      </c>
      <c r="Q388" s="79">
        <f>'Core Loads'!Q552</f>
        <v>0</v>
      </c>
      <c r="R388" s="79">
        <f>'Core Loads'!R552</f>
        <v>0</v>
      </c>
      <c r="S388" s="79">
        <f>'Core Loads'!S552</f>
        <v>0</v>
      </c>
      <c r="T388" s="79">
        <f>'Core Loads'!T552</f>
        <v>0</v>
      </c>
      <c r="U388" s="79">
        <f>'Core Loads'!U552</f>
        <v>0</v>
      </c>
      <c r="V388" s="79">
        <f>'Core Loads'!V552</f>
        <v>0</v>
      </c>
      <c r="W388" s="79">
        <f>'Core Loads'!W552</f>
        <v>0</v>
      </c>
      <c r="X388" s="79">
        <f>'Core Loads'!X552</f>
        <v>0</v>
      </c>
      <c r="Y388" s="79">
        <f>'Core Loads'!Y552</f>
        <v>0</v>
      </c>
      <c r="Z388" s="79">
        <f>'Core Loads'!Z552</f>
        <v>0</v>
      </c>
      <c r="AA388" s="79">
        <f>'Core Loads'!AA552</f>
        <v>0</v>
      </c>
      <c r="AB388" s="79">
        <f>'Core Loads'!AB552</f>
        <v>0</v>
      </c>
      <c r="AC388" s="79">
        <f>'Core Loads'!AC552</f>
        <v>0</v>
      </c>
      <c r="AD388" s="79">
        <f>'Core Loads'!AD552</f>
        <v>0</v>
      </c>
      <c r="AE388" s="79">
        <f>'Core Loads'!AE552</f>
        <v>0</v>
      </c>
      <c r="AF388" s="79">
        <f>'Core Loads'!AF552</f>
        <v>0</v>
      </c>
      <c r="AG388"/>
      <c r="AH388" s="17" t="s">
        <v>279</v>
      </c>
    </row>
    <row r="389" spans="2:34" outlineLevel="1" x14ac:dyDescent="0.25">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row>
    <row r="390" spans="2:34" ht="15.75" outlineLevel="1" thickBot="1" x14ac:dyDescent="0.3">
      <c r="B390" s="28" t="s">
        <v>280</v>
      </c>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0"/>
      <c r="AH390" s="20" t="s">
        <v>15</v>
      </c>
    </row>
    <row r="391" spans="2:34" customFormat="1" outlineLevel="1" x14ac:dyDescent="0.25">
      <c r="B391" s="30"/>
      <c r="C391" s="17">
        <v>2025</v>
      </c>
      <c r="D391" s="44">
        <v>2026</v>
      </c>
      <c r="E391" s="44">
        <v>2027</v>
      </c>
      <c r="F391" s="44">
        <v>2028</v>
      </c>
      <c r="G391" s="44">
        <v>2029</v>
      </c>
      <c r="H391" s="44">
        <v>2030</v>
      </c>
      <c r="I391" s="44">
        <v>2031</v>
      </c>
      <c r="J391" s="44">
        <v>2032</v>
      </c>
      <c r="K391" s="44">
        <v>2033</v>
      </c>
      <c r="L391" s="44">
        <v>2034</v>
      </c>
      <c r="M391" s="44">
        <v>2035</v>
      </c>
      <c r="N391" s="44">
        <v>2036</v>
      </c>
      <c r="O391" s="44">
        <v>2037</v>
      </c>
      <c r="P391" s="44">
        <v>2038</v>
      </c>
      <c r="Q391" s="44">
        <v>2039</v>
      </c>
      <c r="R391" s="44">
        <v>2040</v>
      </c>
      <c r="S391" s="44">
        <v>2041</v>
      </c>
      <c r="T391" s="44">
        <v>2042</v>
      </c>
      <c r="U391" s="44">
        <v>2043</v>
      </c>
      <c r="V391" s="44">
        <v>2044</v>
      </c>
      <c r="W391" s="44">
        <v>2045</v>
      </c>
      <c r="X391" s="44">
        <v>2046</v>
      </c>
      <c r="Y391" s="44">
        <v>2047</v>
      </c>
      <c r="Z391" s="44">
        <v>2048</v>
      </c>
      <c r="AA391" s="44">
        <v>2049</v>
      </c>
      <c r="AB391" s="44">
        <v>2050</v>
      </c>
      <c r="AC391" s="44">
        <v>2051</v>
      </c>
      <c r="AD391" s="44">
        <v>2052</v>
      </c>
      <c r="AE391" s="44">
        <v>2053</v>
      </c>
      <c r="AF391" s="44">
        <v>2054</v>
      </c>
      <c r="AH391" s="1"/>
    </row>
    <row r="392" spans="2:34" outlineLevel="1" x14ac:dyDescent="0.25">
      <c r="B392" s="31" t="s">
        <v>144</v>
      </c>
      <c r="C392" s="79">
        <f>'Core Loads'!C556</f>
        <v>0</v>
      </c>
      <c r="D392" s="79">
        <f>'Core Loads'!D556</f>
        <v>0</v>
      </c>
      <c r="E392" s="79">
        <f>'Core Loads'!E556</f>
        <v>0</v>
      </c>
      <c r="F392" s="79">
        <f>'Core Loads'!F556</f>
        <v>305603.30209601083</v>
      </c>
      <c r="G392" s="79">
        <f>'Core Loads'!G556</f>
        <v>305603.30209601083</v>
      </c>
      <c r="H392" s="79">
        <f>'Core Loads'!H556</f>
        <v>301207.80852934415</v>
      </c>
      <c r="I392" s="79">
        <f>'Core Loads'!I556</f>
        <v>301207.80852934415</v>
      </c>
      <c r="J392" s="79">
        <f>'Core Loads'!J556</f>
        <v>291945.6620454957</v>
      </c>
      <c r="K392" s="79">
        <f>'Core Loads'!K556</f>
        <v>291945.6620454957</v>
      </c>
      <c r="L392" s="79">
        <f>'Core Loads'!L556</f>
        <v>291945.6620454957</v>
      </c>
      <c r="M392" s="79">
        <f>'Core Loads'!M556</f>
        <v>291945.6620454957</v>
      </c>
      <c r="N392" s="79">
        <f>'Core Loads'!N556</f>
        <v>291945.6620454957</v>
      </c>
      <c r="O392" s="79">
        <f>'Core Loads'!O556</f>
        <v>291945.6620454957</v>
      </c>
      <c r="P392" s="79">
        <f>'Core Loads'!P556</f>
        <v>291945.6620454957</v>
      </c>
      <c r="Q392" s="79">
        <f>'Core Loads'!Q556</f>
        <v>291945.6620454957</v>
      </c>
      <c r="R392" s="79">
        <f>'Core Loads'!R556</f>
        <v>291945.6620454957</v>
      </c>
      <c r="S392" s="79">
        <f>'Core Loads'!S556</f>
        <v>291945.6620454957</v>
      </c>
      <c r="T392" s="79">
        <f>'Core Loads'!T556</f>
        <v>291945.6620454957</v>
      </c>
      <c r="U392" s="79">
        <f>'Core Loads'!U556</f>
        <v>291945.6620454957</v>
      </c>
      <c r="V392" s="79">
        <f>'Core Loads'!V556</f>
        <v>291945.6620454957</v>
      </c>
      <c r="W392" s="79">
        <f>'Core Loads'!W556</f>
        <v>291945.6620454957</v>
      </c>
      <c r="X392" s="79">
        <f>'Core Loads'!X556</f>
        <v>291945.6620454957</v>
      </c>
      <c r="Y392" s="79">
        <f>'Core Loads'!Y556</f>
        <v>291945.6620454957</v>
      </c>
      <c r="Z392" s="79">
        <f>'Core Loads'!Z556</f>
        <v>291945.6620454957</v>
      </c>
      <c r="AA392" s="79">
        <f>'Core Loads'!AA556</f>
        <v>291945.6620454957</v>
      </c>
      <c r="AB392" s="79">
        <f>'Core Loads'!AB556</f>
        <v>291945.6620454957</v>
      </c>
      <c r="AC392" s="79">
        <f>'Core Loads'!AC556</f>
        <v>291945.6620454957</v>
      </c>
      <c r="AD392" s="79">
        <f>'Core Loads'!AD556</f>
        <v>291945.6620454957</v>
      </c>
      <c r="AE392" s="79">
        <f>'Core Loads'!AE556</f>
        <v>291945.6620454957</v>
      </c>
      <c r="AF392" s="79">
        <f>'Core Loads'!AF556</f>
        <v>291945.6620454957</v>
      </c>
      <c r="AG392"/>
      <c r="AH392" s="17" t="s">
        <v>279</v>
      </c>
    </row>
    <row r="393" spans="2:34" outlineLevel="1" x14ac:dyDescent="0.25">
      <c r="B393" s="31" t="s">
        <v>145</v>
      </c>
      <c r="C393" s="79">
        <f>'Core Loads'!C557</f>
        <v>0</v>
      </c>
      <c r="D393" s="79">
        <f>'Core Loads'!D557</f>
        <v>0</v>
      </c>
      <c r="E393" s="79">
        <f>'Core Loads'!E557</f>
        <v>0</v>
      </c>
      <c r="F393" s="79">
        <f>'Core Loads'!F557</f>
        <v>98109.353104549853</v>
      </c>
      <c r="G393" s="79">
        <f>'Core Loads'!G557</f>
        <v>98109.353104549853</v>
      </c>
      <c r="H393" s="79">
        <f>'Core Loads'!H557</f>
        <v>98109.353104549853</v>
      </c>
      <c r="I393" s="79">
        <f>'Core Loads'!I557</f>
        <v>98109.353104549853</v>
      </c>
      <c r="J393" s="79">
        <f>'Core Loads'!J557</f>
        <v>98109.353104549853</v>
      </c>
      <c r="K393" s="79">
        <f>'Core Loads'!K557</f>
        <v>98109.353104549853</v>
      </c>
      <c r="L393" s="79">
        <f>'Core Loads'!L557</f>
        <v>87477.430959262143</v>
      </c>
      <c r="M393" s="79">
        <f>'Core Loads'!M557</f>
        <v>87477.430959262143</v>
      </c>
      <c r="N393" s="79">
        <f>'Core Loads'!N557</f>
        <v>87477.430959262143</v>
      </c>
      <c r="O393" s="79">
        <f>'Core Loads'!O557</f>
        <v>87477.430959262143</v>
      </c>
      <c r="P393" s="79">
        <f>'Core Loads'!P557</f>
        <v>87287.517599226805</v>
      </c>
      <c r="Q393" s="79">
        <f>'Core Loads'!Q557</f>
        <v>87287.517599226805</v>
      </c>
      <c r="R393" s="79">
        <f>'Core Loads'!R557</f>
        <v>86872.013217632499</v>
      </c>
      <c r="S393" s="79">
        <f>'Core Loads'!S557</f>
        <v>86872.013217632499</v>
      </c>
      <c r="T393" s="79">
        <f>'Core Loads'!T557</f>
        <v>85195.012122318236</v>
      </c>
      <c r="U393" s="79">
        <f>'Core Loads'!U557</f>
        <v>85195.012122318236</v>
      </c>
      <c r="V393" s="79">
        <f>'Core Loads'!V557</f>
        <v>85195.012122318236</v>
      </c>
      <c r="W393" s="79">
        <f>'Core Loads'!W557</f>
        <v>85195.012122318236</v>
      </c>
      <c r="X393" s="79">
        <f>'Core Loads'!X557</f>
        <v>85195.012122318236</v>
      </c>
      <c r="Y393" s="79">
        <f>'Core Loads'!Y557</f>
        <v>85195.012122318236</v>
      </c>
      <c r="Z393" s="79">
        <f>'Core Loads'!Z557</f>
        <v>85195.012122318236</v>
      </c>
      <c r="AA393" s="79">
        <f>'Core Loads'!AA557</f>
        <v>85195.012122318236</v>
      </c>
      <c r="AB393" s="79">
        <f>'Core Loads'!AB557</f>
        <v>83077.009532805183</v>
      </c>
      <c r="AC393" s="79">
        <f>'Core Loads'!AC557</f>
        <v>83077.009532805183</v>
      </c>
      <c r="AD393" s="79">
        <f>'Core Loads'!AD557</f>
        <v>83077.009532805183</v>
      </c>
      <c r="AE393" s="79">
        <f>'Core Loads'!AE557</f>
        <v>83077.009532805183</v>
      </c>
      <c r="AF393" s="79">
        <f>'Core Loads'!AF557</f>
        <v>83077.009532805183</v>
      </c>
      <c r="AG393"/>
      <c r="AH393" s="17" t="s">
        <v>279</v>
      </c>
    </row>
    <row r="394" spans="2:34" outlineLevel="1" x14ac:dyDescent="0.25">
      <c r="B394" s="31" t="s">
        <v>244</v>
      </c>
      <c r="C394" s="79">
        <f>'Core Loads'!C558</f>
        <v>0</v>
      </c>
      <c r="D394" s="79">
        <f>'Core Loads'!D558</f>
        <v>0</v>
      </c>
      <c r="E394" s="79">
        <f>'Core Loads'!E558</f>
        <v>249408.4642786741</v>
      </c>
      <c r="F394" s="79">
        <f>'Core Loads'!F558</f>
        <v>271089.76978868787</v>
      </c>
      <c r="G394" s="79">
        <f>'Core Loads'!G558</f>
        <v>271089.76978868787</v>
      </c>
      <c r="H394" s="79">
        <f>'Core Loads'!H558</f>
        <v>264563.44007260934</v>
      </c>
      <c r="I394" s="79">
        <f>'Core Loads'!I558</f>
        <v>264563.44007260934</v>
      </c>
      <c r="J394" s="79">
        <f>'Core Loads'!J558</f>
        <v>241469.52476634944</v>
      </c>
      <c r="K394" s="79">
        <f>'Core Loads'!K558</f>
        <v>241469.52476634944</v>
      </c>
      <c r="L394" s="79">
        <f>'Core Loads'!L558</f>
        <v>241469.52476634944</v>
      </c>
      <c r="M394" s="79">
        <f>'Core Loads'!M558</f>
        <v>241469.52476634944</v>
      </c>
      <c r="N394" s="79">
        <f>'Core Loads'!N558</f>
        <v>228160.89031826754</v>
      </c>
      <c r="O394" s="79">
        <f>'Core Loads'!O558</f>
        <v>228160.89031826754</v>
      </c>
      <c r="P394" s="79">
        <f>'Core Loads'!P558</f>
        <v>225094.6559789071</v>
      </c>
      <c r="Q394" s="79">
        <f>'Core Loads'!Q558</f>
        <v>225094.6559789071</v>
      </c>
      <c r="R394" s="79">
        <f>'Core Loads'!R558</f>
        <v>231209.69947117515</v>
      </c>
      <c r="S394" s="79">
        <f>'Core Loads'!S558</f>
        <v>231209.69947117515</v>
      </c>
      <c r="T394" s="79">
        <f>'Core Loads'!T558</f>
        <v>231209.69947117515</v>
      </c>
      <c r="U394" s="79">
        <f>'Core Loads'!U558</f>
        <v>231209.69947117515</v>
      </c>
      <c r="V394" s="79">
        <f>'Core Loads'!V558</f>
        <v>229096.82281032932</v>
      </c>
      <c r="W394" s="79">
        <f>'Core Loads'!W558</f>
        <v>229096.82281032932</v>
      </c>
      <c r="X394" s="79">
        <f>'Core Loads'!X558</f>
        <v>229096.82281032932</v>
      </c>
      <c r="Y394" s="79">
        <f>'Core Loads'!Y558</f>
        <v>229096.82281032932</v>
      </c>
      <c r="Z394" s="79">
        <f>'Core Loads'!Z558</f>
        <v>229096.82281032932</v>
      </c>
      <c r="AA394" s="79">
        <f>'Core Loads'!AA558</f>
        <v>229096.82281032932</v>
      </c>
      <c r="AB394" s="79">
        <f>'Core Loads'!AB558</f>
        <v>229096.82281032932</v>
      </c>
      <c r="AC394" s="79">
        <f>'Core Loads'!AC558</f>
        <v>229096.82281032932</v>
      </c>
      <c r="AD394" s="79">
        <f>'Core Loads'!AD558</f>
        <v>229096.82281032932</v>
      </c>
      <c r="AE394" s="79">
        <f>'Core Loads'!AE558</f>
        <v>229096.82281032932</v>
      </c>
      <c r="AF394" s="79">
        <f>'Core Loads'!AF558</f>
        <v>229096.82281032932</v>
      </c>
      <c r="AG394"/>
      <c r="AH394" s="17" t="s">
        <v>279</v>
      </c>
    </row>
    <row r="395" spans="2:34" outlineLevel="1" x14ac:dyDescent="0.25">
      <c r="B395" s="31" t="s">
        <v>147</v>
      </c>
      <c r="C395" s="79">
        <f>'Core Loads'!C559</f>
        <v>0</v>
      </c>
      <c r="D395" s="79">
        <f>'Core Loads'!D559</f>
        <v>0</v>
      </c>
      <c r="E395" s="79">
        <f>'Core Loads'!E559</f>
        <v>0</v>
      </c>
      <c r="F395" s="79">
        <f>'Core Loads'!F559</f>
        <v>0</v>
      </c>
      <c r="G395" s="79">
        <f>'Core Loads'!G559</f>
        <v>0</v>
      </c>
      <c r="H395" s="79">
        <f>'Core Loads'!H559</f>
        <v>0</v>
      </c>
      <c r="I395" s="79">
        <f>'Core Loads'!I559</f>
        <v>0</v>
      </c>
      <c r="J395" s="79">
        <f>'Core Loads'!J559</f>
        <v>0</v>
      </c>
      <c r="K395" s="79">
        <f>'Core Loads'!K559</f>
        <v>0</v>
      </c>
      <c r="L395" s="79">
        <f>'Core Loads'!L559</f>
        <v>0</v>
      </c>
      <c r="M395" s="79">
        <f>'Core Loads'!M559</f>
        <v>0</v>
      </c>
      <c r="N395" s="79">
        <f>'Core Loads'!N559</f>
        <v>0</v>
      </c>
      <c r="O395" s="79">
        <f>'Core Loads'!O559</f>
        <v>0</v>
      </c>
      <c r="P395" s="79">
        <f>'Core Loads'!P559</f>
        <v>0</v>
      </c>
      <c r="Q395" s="79">
        <f>'Core Loads'!Q559</f>
        <v>0</v>
      </c>
      <c r="R395" s="79">
        <f>'Core Loads'!R559</f>
        <v>0</v>
      </c>
      <c r="S395" s="79">
        <f>'Core Loads'!S559</f>
        <v>0</v>
      </c>
      <c r="T395" s="79">
        <f>'Core Loads'!T559</f>
        <v>0</v>
      </c>
      <c r="U395" s="79">
        <f>'Core Loads'!U559</f>
        <v>0</v>
      </c>
      <c r="V395" s="79">
        <f>'Core Loads'!V559</f>
        <v>0</v>
      </c>
      <c r="W395" s="79">
        <f>'Core Loads'!W559</f>
        <v>0</v>
      </c>
      <c r="X395" s="79">
        <f>'Core Loads'!X559</f>
        <v>0</v>
      </c>
      <c r="Y395" s="79">
        <f>'Core Loads'!Y559</f>
        <v>0</v>
      </c>
      <c r="Z395" s="79">
        <f>'Core Loads'!Z559</f>
        <v>0</v>
      </c>
      <c r="AA395" s="79">
        <f>'Core Loads'!AA559</f>
        <v>0</v>
      </c>
      <c r="AB395" s="79">
        <f>'Core Loads'!AB559</f>
        <v>0</v>
      </c>
      <c r="AC395" s="79">
        <f>'Core Loads'!AC559</f>
        <v>0</v>
      </c>
      <c r="AD395" s="79">
        <f>'Core Loads'!AD559</f>
        <v>0</v>
      </c>
      <c r="AE395" s="79">
        <f>'Core Loads'!AE559</f>
        <v>0</v>
      </c>
      <c r="AF395" s="79">
        <f>'Core Loads'!AF559</f>
        <v>0</v>
      </c>
      <c r="AG395"/>
      <c r="AH395" s="17" t="s">
        <v>279</v>
      </c>
    </row>
    <row r="396" spans="2:34" outlineLevel="1" x14ac:dyDescent="0.25">
      <c r="B396" s="31" t="s">
        <v>245</v>
      </c>
      <c r="C396" s="79">
        <f>'Core Loads'!C560</f>
        <v>0</v>
      </c>
      <c r="D396" s="79">
        <f>'Core Loads'!D560</f>
        <v>0</v>
      </c>
      <c r="E396" s="79">
        <f>'Core Loads'!E560</f>
        <v>0</v>
      </c>
      <c r="F396" s="79">
        <f>'Core Loads'!F560</f>
        <v>15010.998282483361</v>
      </c>
      <c r="G396" s="79">
        <f>'Core Loads'!G560</f>
        <v>15010.998282483361</v>
      </c>
      <c r="H396" s="79">
        <f>'Core Loads'!H560</f>
        <v>15010.998282483361</v>
      </c>
      <c r="I396" s="79">
        <f>'Core Loads'!I560</f>
        <v>15010.998282483361</v>
      </c>
      <c r="J396" s="79">
        <f>'Core Loads'!J560</f>
        <v>15010.998282483361</v>
      </c>
      <c r="K396" s="79">
        <f>'Core Loads'!K560</f>
        <v>15010.998282483361</v>
      </c>
      <c r="L396" s="79">
        <f>'Core Loads'!L560</f>
        <v>15010.998282483361</v>
      </c>
      <c r="M396" s="79">
        <f>'Core Loads'!M560</f>
        <v>15010.998282483361</v>
      </c>
      <c r="N396" s="79">
        <f>'Core Loads'!N560</f>
        <v>13436.692112233934</v>
      </c>
      <c r="O396" s="79">
        <f>'Core Loads'!O560</f>
        <v>13436.692112233934</v>
      </c>
      <c r="P396" s="79">
        <f>'Core Loads'!P560</f>
        <v>13436.692112233934</v>
      </c>
      <c r="Q396" s="79">
        <f>'Core Loads'!Q560</f>
        <v>13436.692112233934</v>
      </c>
      <c r="R396" s="79">
        <f>'Core Loads'!R560</f>
        <v>51778.373813264858</v>
      </c>
      <c r="S396" s="79">
        <f>'Core Loads'!S560</f>
        <v>51778.373813264858</v>
      </c>
      <c r="T396" s="79">
        <f>'Core Loads'!T560</f>
        <v>51778.373813264858</v>
      </c>
      <c r="U396" s="79">
        <f>'Core Loads'!U560</f>
        <v>51778.373813264858</v>
      </c>
      <c r="V396" s="79">
        <f>'Core Loads'!V560</f>
        <v>51778.373813264858</v>
      </c>
      <c r="W396" s="79">
        <f>'Core Loads'!W560</f>
        <v>51778.373813264858</v>
      </c>
      <c r="X396" s="79">
        <f>'Core Loads'!X560</f>
        <v>51778.373813264858</v>
      </c>
      <c r="Y396" s="79">
        <f>'Core Loads'!Y560</f>
        <v>51778.373813264858</v>
      </c>
      <c r="Z396" s="79">
        <f>'Core Loads'!Z560</f>
        <v>51778.373813264858</v>
      </c>
      <c r="AA396" s="79">
        <f>'Core Loads'!AA560</f>
        <v>51778.373813264858</v>
      </c>
      <c r="AB396" s="79">
        <f>'Core Loads'!AB560</f>
        <v>51778.373813264858</v>
      </c>
      <c r="AC396" s="79">
        <f>'Core Loads'!AC560</f>
        <v>51778.373813264858</v>
      </c>
      <c r="AD396" s="79">
        <f>'Core Loads'!AD560</f>
        <v>51778.373813264858</v>
      </c>
      <c r="AE396" s="79">
        <f>'Core Loads'!AE560</f>
        <v>51778.373813264858</v>
      </c>
      <c r="AF396" s="79">
        <f>'Core Loads'!AF560</f>
        <v>51778.373813264858</v>
      </c>
      <c r="AG396"/>
      <c r="AH396" s="17" t="s">
        <v>279</v>
      </c>
    </row>
    <row r="397" spans="2:34" outlineLevel="1" x14ac:dyDescent="0.25">
      <c r="B397" s="31" t="s">
        <v>149</v>
      </c>
      <c r="C397" s="79">
        <f>'Core Loads'!C561</f>
        <v>0</v>
      </c>
      <c r="D397" s="79">
        <f>'Core Loads'!D561</f>
        <v>0</v>
      </c>
      <c r="E397" s="79">
        <f>'Core Loads'!E561</f>
        <v>249408.4642786741</v>
      </c>
      <c r="F397" s="79">
        <f>'Core Loads'!F561</f>
        <v>689813.42327173194</v>
      </c>
      <c r="G397" s="79">
        <f>'Core Loads'!G561</f>
        <v>689813.42327173194</v>
      </c>
      <c r="H397" s="79">
        <f>'Core Loads'!H561</f>
        <v>678891.59998898674</v>
      </c>
      <c r="I397" s="79">
        <f>'Core Loads'!I561</f>
        <v>678891.59998898674</v>
      </c>
      <c r="J397" s="79">
        <f>'Core Loads'!J561</f>
        <v>646535.53819887829</v>
      </c>
      <c r="K397" s="79">
        <f>'Core Loads'!K561</f>
        <v>646535.53819887829</v>
      </c>
      <c r="L397" s="79">
        <f>'Core Loads'!L561</f>
        <v>635903.61605359055</v>
      </c>
      <c r="M397" s="79">
        <f>'Core Loads'!M561</f>
        <v>635903.61605359055</v>
      </c>
      <c r="N397" s="79">
        <f>'Core Loads'!N561</f>
        <v>621020.67543525936</v>
      </c>
      <c r="O397" s="79">
        <f>'Core Loads'!O561</f>
        <v>621020.67543525936</v>
      </c>
      <c r="P397" s="79">
        <f>'Core Loads'!P561</f>
        <v>617764.52773586358</v>
      </c>
      <c r="Q397" s="79">
        <f>'Core Loads'!Q561</f>
        <v>617764.52773586358</v>
      </c>
      <c r="R397" s="79">
        <f>'Core Loads'!R561</f>
        <v>661805.74854756822</v>
      </c>
      <c r="S397" s="79">
        <f>'Core Loads'!S561</f>
        <v>661805.74854756822</v>
      </c>
      <c r="T397" s="79">
        <f>'Core Loads'!T561</f>
        <v>660128.74745225406</v>
      </c>
      <c r="U397" s="79">
        <f>'Core Loads'!U561</f>
        <v>660128.74745225406</v>
      </c>
      <c r="V397" s="79">
        <f>'Core Loads'!V561</f>
        <v>658015.87079140812</v>
      </c>
      <c r="W397" s="79">
        <f>'Core Loads'!W561</f>
        <v>658015.87079140812</v>
      </c>
      <c r="X397" s="79">
        <f>'Core Loads'!X561</f>
        <v>658015.87079140812</v>
      </c>
      <c r="Y397" s="79">
        <f>'Core Loads'!Y561</f>
        <v>658015.87079140812</v>
      </c>
      <c r="Z397" s="79">
        <f>'Core Loads'!Z561</f>
        <v>658015.87079140812</v>
      </c>
      <c r="AA397" s="79">
        <f>'Core Loads'!AA561</f>
        <v>658015.87079140812</v>
      </c>
      <c r="AB397" s="79">
        <f>'Core Loads'!AB561</f>
        <v>655897.86820189503</v>
      </c>
      <c r="AC397" s="79">
        <f>'Core Loads'!AC561</f>
        <v>655897.86820189503</v>
      </c>
      <c r="AD397" s="79">
        <f>'Core Loads'!AD561</f>
        <v>655897.86820189503</v>
      </c>
      <c r="AE397" s="79">
        <f>'Core Loads'!AE561</f>
        <v>655897.86820189503</v>
      </c>
      <c r="AF397" s="79">
        <f>'Core Loads'!AF561</f>
        <v>655897.86820189503</v>
      </c>
      <c r="AG397"/>
      <c r="AH397" s="17" t="s">
        <v>279</v>
      </c>
    </row>
    <row r="398" spans="2:34" outlineLevel="1" x14ac:dyDescent="0.25">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row>
    <row r="399" spans="2:34" outlineLevel="1" x14ac:dyDescent="0.25">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row>
    <row r="400" spans="2:34" ht="17.25" outlineLevel="1" thickBot="1" x14ac:dyDescent="0.3">
      <c r="B400" s="26" t="s">
        <v>283</v>
      </c>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row>
    <row r="401" spans="2:34" ht="16.5" outlineLevel="1" thickTop="1" thickBot="1" x14ac:dyDescent="0.3">
      <c r="B401" s="28" t="s">
        <v>278</v>
      </c>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0"/>
      <c r="AH401" s="20" t="s">
        <v>15</v>
      </c>
    </row>
    <row r="402" spans="2:34" customFormat="1" outlineLevel="1" x14ac:dyDescent="0.25">
      <c r="B402" s="30"/>
      <c r="C402" s="17">
        <v>2025</v>
      </c>
      <c r="D402" s="44">
        <v>2026</v>
      </c>
      <c r="E402" s="44">
        <v>2027</v>
      </c>
      <c r="F402" s="44">
        <v>2028</v>
      </c>
      <c r="G402" s="44">
        <v>2029</v>
      </c>
      <c r="H402" s="44">
        <v>2030</v>
      </c>
      <c r="I402" s="44">
        <v>2031</v>
      </c>
      <c r="J402" s="44">
        <v>2032</v>
      </c>
      <c r="K402" s="44">
        <v>2033</v>
      </c>
      <c r="L402" s="44">
        <v>2034</v>
      </c>
      <c r="M402" s="44">
        <v>2035</v>
      </c>
      <c r="N402" s="44">
        <v>2036</v>
      </c>
      <c r="O402" s="44">
        <v>2037</v>
      </c>
      <c r="P402" s="44">
        <v>2038</v>
      </c>
      <c r="Q402" s="44">
        <v>2039</v>
      </c>
      <c r="R402" s="44">
        <v>2040</v>
      </c>
      <c r="S402" s="44">
        <v>2041</v>
      </c>
      <c r="T402" s="44">
        <v>2042</v>
      </c>
      <c r="U402" s="44">
        <v>2043</v>
      </c>
      <c r="V402" s="44">
        <v>2044</v>
      </c>
      <c r="W402" s="44">
        <v>2045</v>
      </c>
      <c r="X402" s="44">
        <v>2046</v>
      </c>
      <c r="Y402" s="44">
        <v>2047</v>
      </c>
      <c r="Z402" s="44">
        <v>2048</v>
      </c>
      <c r="AA402" s="44">
        <v>2049</v>
      </c>
      <c r="AB402" s="44">
        <v>2050</v>
      </c>
      <c r="AC402" s="44">
        <v>2051</v>
      </c>
      <c r="AD402" s="44">
        <v>2052</v>
      </c>
      <c r="AE402" s="44">
        <v>2053</v>
      </c>
      <c r="AF402" s="44">
        <v>2054</v>
      </c>
      <c r="AH402" s="1"/>
    </row>
    <row r="403" spans="2:34" outlineLevel="1" x14ac:dyDescent="0.25">
      <c r="B403" s="31" t="s">
        <v>144</v>
      </c>
      <c r="C403" s="79">
        <f>'Core Loads'!C567</f>
        <v>8678140.1263548788</v>
      </c>
      <c r="D403" s="79">
        <f>'Core Loads'!D567</f>
        <v>8678140.1263548788</v>
      </c>
      <c r="E403" s="79">
        <f>'Core Loads'!E567</f>
        <v>8678140.1263548788</v>
      </c>
      <c r="F403" s="79">
        <f>'Core Loads'!F567</f>
        <v>0</v>
      </c>
      <c r="G403" s="79">
        <f>'Core Loads'!G567</f>
        <v>0</v>
      </c>
      <c r="H403" s="79">
        <f>'Core Loads'!H567</f>
        <v>0</v>
      </c>
      <c r="I403" s="79">
        <f>'Core Loads'!I567</f>
        <v>0</v>
      </c>
      <c r="J403" s="79">
        <f>'Core Loads'!J567</f>
        <v>0</v>
      </c>
      <c r="K403" s="79">
        <f>'Core Loads'!K567</f>
        <v>0</v>
      </c>
      <c r="L403" s="79">
        <f>'Core Loads'!L567</f>
        <v>0</v>
      </c>
      <c r="M403" s="79">
        <f>'Core Loads'!M567</f>
        <v>0</v>
      </c>
      <c r="N403" s="79">
        <f>'Core Loads'!N567</f>
        <v>0</v>
      </c>
      <c r="O403" s="79">
        <f>'Core Loads'!O567</f>
        <v>0</v>
      </c>
      <c r="P403" s="79">
        <f>'Core Loads'!P567</f>
        <v>0</v>
      </c>
      <c r="Q403" s="79">
        <f>'Core Loads'!Q567</f>
        <v>0</v>
      </c>
      <c r="R403" s="79">
        <f>'Core Loads'!R567</f>
        <v>0</v>
      </c>
      <c r="S403" s="79">
        <f>'Core Loads'!S567</f>
        <v>0</v>
      </c>
      <c r="T403" s="79">
        <f>'Core Loads'!T567</f>
        <v>0</v>
      </c>
      <c r="U403" s="79">
        <f>'Core Loads'!U567</f>
        <v>0</v>
      </c>
      <c r="V403" s="79">
        <f>'Core Loads'!V567</f>
        <v>0</v>
      </c>
      <c r="W403" s="79">
        <f>'Core Loads'!W567</f>
        <v>0</v>
      </c>
      <c r="X403" s="79">
        <f>'Core Loads'!X567</f>
        <v>0</v>
      </c>
      <c r="Y403" s="79">
        <f>'Core Loads'!Y567</f>
        <v>0</v>
      </c>
      <c r="Z403" s="79">
        <f>'Core Loads'!Z567</f>
        <v>0</v>
      </c>
      <c r="AA403" s="79">
        <f>'Core Loads'!AA567</f>
        <v>0</v>
      </c>
      <c r="AB403" s="79">
        <f>'Core Loads'!AB567</f>
        <v>0</v>
      </c>
      <c r="AC403" s="79">
        <f>'Core Loads'!AC567</f>
        <v>0</v>
      </c>
      <c r="AD403" s="79">
        <f>'Core Loads'!AD567</f>
        <v>0</v>
      </c>
      <c r="AE403" s="79">
        <f>'Core Loads'!AE567</f>
        <v>0</v>
      </c>
      <c r="AF403" s="79">
        <f>'Core Loads'!AF567</f>
        <v>0</v>
      </c>
      <c r="AG403"/>
      <c r="AH403" s="17" t="s">
        <v>279</v>
      </c>
    </row>
    <row r="404" spans="2:34" outlineLevel="1" x14ac:dyDescent="0.25">
      <c r="B404" s="31" t="s">
        <v>145</v>
      </c>
      <c r="C404" s="79">
        <f>'Core Loads'!C568</f>
        <v>3544817.3883669907</v>
      </c>
      <c r="D404" s="79">
        <f>'Core Loads'!D568</f>
        <v>7148037.0083669899</v>
      </c>
      <c r="E404" s="79">
        <f>'Core Loads'!E568</f>
        <v>7148037.0083669899</v>
      </c>
      <c r="F404" s="79">
        <f>'Core Loads'!F568</f>
        <v>0</v>
      </c>
      <c r="G404" s="79">
        <f>'Core Loads'!G568</f>
        <v>0</v>
      </c>
      <c r="H404" s="79">
        <f>'Core Loads'!H568</f>
        <v>0</v>
      </c>
      <c r="I404" s="79">
        <f>'Core Loads'!I568</f>
        <v>0</v>
      </c>
      <c r="J404" s="79">
        <f>'Core Loads'!J568</f>
        <v>0</v>
      </c>
      <c r="K404" s="79">
        <f>'Core Loads'!K568</f>
        <v>0</v>
      </c>
      <c r="L404" s="79">
        <f>'Core Loads'!L568</f>
        <v>0</v>
      </c>
      <c r="M404" s="79">
        <f>'Core Loads'!M568</f>
        <v>0</v>
      </c>
      <c r="N404" s="79">
        <f>'Core Loads'!N568</f>
        <v>0</v>
      </c>
      <c r="O404" s="79">
        <f>'Core Loads'!O568</f>
        <v>0</v>
      </c>
      <c r="P404" s="79">
        <f>'Core Loads'!P568</f>
        <v>0</v>
      </c>
      <c r="Q404" s="79">
        <f>'Core Loads'!Q568</f>
        <v>0</v>
      </c>
      <c r="R404" s="79">
        <f>'Core Loads'!R568</f>
        <v>0</v>
      </c>
      <c r="S404" s="79">
        <f>'Core Loads'!S568</f>
        <v>0</v>
      </c>
      <c r="T404" s="79">
        <f>'Core Loads'!T568</f>
        <v>0</v>
      </c>
      <c r="U404" s="79">
        <f>'Core Loads'!U568</f>
        <v>0</v>
      </c>
      <c r="V404" s="79">
        <f>'Core Loads'!V568</f>
        <v>0</v>
      </c>
      <c r="W404" s="79">
        <f>'Core Loads'!W568</f>
        <v>0</v>
      </c>
      <c r="X404" s="79">
        <f>'Core Loads'!X568</f>
        <v>0</v>
      </c>
      <c r="Y404" s="79">
        <f>'Core Loads'!Y568</f>
        <v>0</v>
      </c>
      <c r="Z404" s="79">
        <f>'Core Loads'!Z568</f>
        <v>0</v>
      </c>
      <c r="AA404" s="79">
        <f>'Core Loads'!AA568</f>
        <v>0</v>
      </c>
      <c r="AB404" s="79">
        <f>'Core Loads'!AB568</f>
        <v>0</v>
      </c>
      <c r="AC404" s="79">
        <f>'Core Loads'!AC568</f>
        <v>0</v>
      </c>
      <c r="AD404" s="79">
        <f>'Core Loads'!AD568</f>
        <v>0</v>
      </c>
      <c r="AE404" s="79">
        <f>'Core Loads'!AE568</f>
        <v>0</v>
      </c>
      <c r="AF404" s="79">
        <f>'Core Loads'!AF568</f>
        <v>0</v>
      </c>
      <c r="AG404"/>
      <c r="AH404" s="17" t="s">
        <v>279</v>
      </c>
    </row>
    <row r="405" spans="2:34" outlineLevel="1" x14ac:dyDescent="0.25">
      <c r="B405" s="31" t="s">
        <v>244</v>
      </c>
      <c r="C405" s="79">
        <f>'Core Loads'!C569</f>
        <v>10424562.72955735</v>
      </c>
      <c r="D405" s="79">
        <f>'Core Loads'!D569</f>
        <v>10424562.72955735</v>
      </c>
      <c r="E405" s="79">
        <f>'Core Loads'!E569</f>
        <v>0</v>
      </c>
      <c r="F405" s="79">
        <f>'Core Loads'!F569</f>
        <v>0</v>
      </c>
      <c r="G405" s="79">
        <f>'Core Loads'!G569</f>
        <v>0</v>
      </c>
      <c r="H405" s="79">
        <f>'Core Loads'!H569</f>
        <v>0</v>
      </c>
      <c r="I405" s="79">
        <f>'Core Loads'!I569</f>
        <v>0</v>
      </c>
      <c r="J405" s="79">
        <f>'Core Loads'!J569</f>
        <v>0</v>
      </c>
      <c r="K405" s="79">
        <f>'Core Loads'!K569</f>
        <v>0</v>
      </c>
      <c r="L405" s="79">
        <f>'Core Loads'!L569</f>
        <v>0</v>
      </c>
      <c r="M405" s="79">
        <f>'Core Loads'!M569</f>
        <v>0</v>
      </c>
      <c r="N405" s="79">
        <f>'Core Loads'!N569</f>
        <v>0</v>
      </c>
      <c r="O405" s="79">
        <f>'Core Loads'!O569</f>
        <v>0</v>
      </c>
      <c r="P405" s="79">
        <f>'Core Loads'!P569</f>
        <v>0</v>
      </c>
      <c r="Q405" s="79">
        <f>'Core Loads'!Q569</f>
        <v>0</v>
      </c>
      <c r="R405" s="79">
        <f>'Core Loads'!R569</f>
        <v>0</v>
      </c>
      <c r="S405" s="79">
        <f>'Core Loads'!S569</f>
        <v>0</v>
      </c>
      <c r="T405" s="79">
        <f>'Core Loads'!T569</f>
        <v>0</v>
      </c>
      <c r="U405" s="79">
        <f>'Core Loads'!U569</f>
        <v>0</v>
      </c>
      <c r="V405" s="79">
        <f>'Core Loads'!V569</f>
        <v>0</v>
      </c>
      <c r="W405" s="79">
        <f>'Core Loads'!W569</f>
        <v>0</v>
      </c>
      <c r="X405" s="79">
        <f>'Core Loads'!X569</f>
        <v>0</v>
      </c>
      <c r="Y405" s="79">
        <f>'Core Loads'!Y569</f>
        <v>0</v>
      </c>
      <c r="Z405" s="79">
        <f>'Core Loads'!Z569</f>
        <v>0</v>
      </c>
      <c r="AA405" s="79">
        <f>'Core Loads'!AA569</f>
        <v>0</v>
      </c>
      <c r="AB405" s="79">
        <f>'Core Loads'!AB569</f>
        <v>0</v>
      </c>
      <c r="AC405" s="79">
        <f>'Core Loads'!AC569</f>
        <v>0</v>
      </c>
      <c r="AD405" s="79">
        <f>'Core Loads'!AD569</f>
        <v>0</v>
      </c>
      <c r="AE405" s="79">
        <f>'Core Loads'!AE569</f>
        <v>0</v>
      </c>
      <c r="AF405" s="79">
        <f>'Core Loads'!AF569</f>
        <v>0</v>
      </c>
      <c r="AG405"/>
      <c r="AH405" s="17" t="s">
        <v>279</v>
      </c>
    </row>
    <row r="406" spans="2:34" outlineLevel="1" x14ac:dyDescent="0.25">
      <c r="B406" s="31" t="s">
        <v>147</v>
      </c>
      <c r="C406" s="79">
        <f>'Core Loads'!C570</f>
        <v>0</v>
      </c>
      <c r="D406" s="79">
        <f>'Core Loads'!D570</f>
        <v>0</v>
      </c>
      <c r="E406" s="79">
        <f>'Core Loads'!E570</f>
        <v>0</v>
      </c>
      <c r="F406" s="79">
        <f>'Core Loads'!F570</f>
        <v>0</v>
      </c>
      <c r="G406" s="79">
        <f>'Core Loads'!G570</f>
        <v>0</v>
      </c>
      <c r="H406" s="79">
        <f>'Core Loads'!H570</f>
        <v>0</v>
      </c>
      <c r="I406" s="79">
        <f>'Core Loads'!I570</f>
        <v>0</v>
      </c>
      <c r="J406" s="79">
        <f>'Core Loads'!J570</f>
        <v>0</v>
      </c>
      <c r="K406" s="79">
        <f>'Core Loads'!K570</f>
        <v>0</v>
      </c>
      <c r="L406" s="79">
        <f>'Core Loads'!L570</f>
        <v>0</v>
      </c>
      <c r="M406" s="79">
        <f>'Core Loads'!M570</f>
        <v>0</v>
      </c>
      <c r="N406" s="79">
        <f>'Core Loads'!N570</f>
        <v>0</v>
      </c>
      <c r="O406" s="79">
        <f>'Core Loads'!O570</f>
        <v>0</v>
      </c>
      <c r="P406" s="79">
        <f>'Core Loads'!P570</f>
        <v>0</v>
      </c>
      <c r="Q406" s="79">
        <f>'Core Loads'!Q570</f>
        <v>0</v>
      </c>
      <c r="R406" s="79">
        <f>'Core Loads'!R570</f>
        <v>0</v>
      </c>
      <c r="S406" s="79">
        <f>'Core Loads'!S570</f>
        <v>0</v>
      </c>
      <c r="T406" s="79">
        <f>'Core Loads'!T570</f>
        <v>0</v>
      </c>
      <c r="U406" s="79">
        <f>'Core Loads'!U570</f>
        <v>0</v>
      </c>
      <c r="V406" s="79">
        <f>'Core Loads'!V570</f>
        <v>0</v>
      </c>
      <c r="W406" s="79">
        <f>'Core Loads'!W570</f>
        <v>0</v>
      </c>
      <c r="X406" s="79">
        <f>'Core Loads'!X570</f>
        <v>0</v>
      </c>
      <c r="Y406" s="79">
        <f>'Core Loads'!Y570</f>
        <v>0</v>
      </c>
      <c r="Z406" s="79">
        <f>'Core Loads'!Z570</f>
        <v>0</v>
      </c>
      <c r="AA406" s="79">
        <f>'Core Loads'!AA570</f>
        <v>0</v>
      </c>
      <c r="AB406" s="79">
        <f>'Core Loads'!AB570</f>
        <v>0</v>
      </c>
      <c r="AC406" s="79">
        <f>'Core Loads'!AC570</f>
        <v>0</v>
      </c>
      <c r="AD406" s="79">
        <f>'Core Loads'!AD570</f>
        <v>0</v>
      </c>
      <c r="AE406" s="79">
        <f>'Core Loads'!AE570</f>
        <v>0</v>
      </c>
      <c r="AF406" s="79">
        <f>'Core Loads'!AF570</f>
        <v>0</v>
      </c>
      <c r="AG406"/>
      <c r="AH406" s="17" t="s">
        <v>279</v>
      </c>
    </row>
    <row r="407" spans="2:34" outlineLevel="1" x14ac:dyDescent="0.25">
      <c r="B407" s="31" t="s">
        <v>245</v>
      </c>
      <c r="C407" s="79">
        <f>'Core Loads'!C571</f>
        <v>1207501.7119999998</v>
      </c>
      <c r="D407" s="79">
        <f>'Core Loads'!D571</f>
        <v>1207501.7119999998</v>
      </c>
      <c r="E407" s="79">
        <f>'Core Loads'!E571</f>
        <v>1207501.7119999998</v>
      </c>
      <c r="F407" s="79">
        <f>'Core Loads'!F571</f>
        <v>0</v>
      </c>
      <c r="G407" s="79">
        <f>'Core Loads'!G571</f>
        <v>0</v>
      </c>
      <c r="H407" s="79">
        <f>'Core Loads'!H571</f>
        <v>0</v>
      </c>
      <c r="I407" s="79">
        <f>'Core Loads'!I571</f>
        <v>0</v>
      </c>
      <c r="J407" s="79">
        <f>'Core Loads'!J571</f>
        <v>0</v>
      </c>
      <c r="K407" s="79">
        <f>'Core Loads'!K571</f>
        <v>0</v>
      </c>
      <c r="L407" s="79">
        <f>'Core Loads'!L571</f>
        <v>0</v>
      </c>
      <c r="M407" s="79">
        <f>'Core Loads'!M571</f>
        <v>0</v>
      </c>
      <c r="N407" s="79">
        <f>'Core Loads'!N571</f>
        <v>0</v>
      </c>
      <c r="O407" s="79">
        <f>'Core Loads'!O571</f>
        <v>0</v>
      </c>
      <c r="P407" s="79">
        <f>'Core Loads'!P571</f>
        <v>0</v>
      </c>
      <c r="Q407" s="79">
        <f>'Core Loads'!Q571</f>
        <v>0</v>
      </c>
      <c r="R407" s="79">
        <f>'Core Loads'!R571</f>
        <v>0</v>
      </c>
      <c r="S407" s="79">
        <f>'Core Loads'!S571</f>
        <v>0</v>
      </c>
      <c r="T407" s="79">
        <f>'Core Loads'!T571</f>
        <v>0</v>
      </c>
      <c r="U407" s="79">
        <f>'Core Loads'!U571</f>
        <v>0</v>
      </c>
      <c r="V407" s="79">
        <f>'Core Loads'!V571</f>
        <v>0</v>
      </c>
      <c r="W407" s="79">
        <f>'Core Loads'!W571</f>
        <v>0</v>
      </c>
      <c r="X407" s="79">
        <f>'Core Loads'!X571</f>
        <v>0</v>
      </c>
      <c r="Y407" s="79">
        <f>'Core Loads'!Y571</f>
        <v>0</v>
      </c>
      <c r="Z407" s="79">
        <f>'Core Loads'!Z571</f>
        <v>0</v>
      </c>
      <c r="AA407" s="79">
        <f>'Core Loads'!AA571</f>
        <v>0</v>
      </c>
      <c r="AB407" s="79">
        <f>'Core Loads'!AB571</f>
        <v>0</v>
      </c>
      <c r="AC407" s="79">
        <f>'Core Loads'!AC571</f>
        <v>0</v>
      </c>
      <c r="AD407" s="79">
        <f>'Core Loads'!AD571</f>
        <v>0</v>
      </c>
      <c r="AE407" s="79">
        <f>'Core Loads'!AE571</f>
        <v>0</v>
      </c>
      <c r="AF407" s="79">
        <f>'Core Loads'!AF571</f>
        <v>0</v>
      </c>
      <c r="AG407"/>
      <c r="AH407" s="17" t="s">
        <v>279</v>
      </c>
    </row>
    <row r="408" spans="2:34" outlineLevel="1" x14ac:dyDescent="0.25">
      <c r="B408" s="31" t="s">
        <v>149</v>
      </c>
      <c r="C408" s="79">
        <f>'Core Loads'!C572</f>
        <v>23855021.956279222</v>
      </c>
      <c r="D408" s="79">
        <f>'Core Loads'!D572</f>
        <v>27458241.576279219</v>
      </c>
      <c r="E408" s="79">
        <f>'Core Loads'!E572</f>
        <v>17033678.846721869</v>
      </c>
      <c r="F408" s="79">
        <f>'Core Loads'!F572</f>
        <v>0</v>
      </c>
      <c r="G408" s="79">
        <f>'Core Loads'!G572</f>
        <v>0</v>
      </c>
      <c r="H408" s="79">
        <f>'Core Loads'!H572</f>
        <v>0</v>
      </c>
      <c r="I408" s="79">
        <f>'Core Loads'!I572</f>
        <v>0</v>
      </c>
      <c r="J408" s="79">
        <f>'Core Loads'!J572</f>
        <v>0</v>
      </c>
      <c r="K408" s="79">
        <f>'Core Loads'!K572</f>
        <v>0</v>
      </c>
      <c r="L408" s="79">
        <f>'Core Loads'!L572</f>
        <v>0</v>
      </c>
      <c r="M408" s="79">
        <f>'Core Loads'!M572</f>
        <v>0</v>
      </c>
      <c r="N408" s="79">
        <f>'Core Loads'!N572</f>
        <v>0</v>
      </c>
      <c r="O408" s="79">
        <f>'Core Loads'!O572</f>
        <v>0</v>
      </c>
      <c r="P408" s="79">
        <f>'Core Loads'!P572</f>
        <v>0</v>
      </c>
      <c r="Q408" s="79">
        <f>'Core Loads'!Q572</f>
        <v>0</v>
      </c>
      <c r="R408" s="79">
        <f>'Core Loads'!R572</f>
        <v>0</v>
      </c>
      <c r="S408" s="79">
        <f>'Core Loads'!S572</f>
        <v>0</v>
      </c>
      <c r="T408" s="79">
        <f>'Core Loads'!T572</f>
        <v>0</v>
      </c>
      <c r="U408" s="79">
        <f>'Core Loads'!U572</f>
        <v>0</v>
      </c>
      <c r="V408" s="79">
        <f>'Core Loads'!V572</f>
        <v>0</v>
      </c>
      <c r="W408" s="79">
        <f>'Core Loads'!W572</f>
        <v>0</v>
      </c>
      <c r="X408" s="79">
        <f>'Core Loads'!X572</f>
        <v>0</v>
      </c>
      <c r="Y408" s="79">
        <f>'Core Loads'!Y572</f>
        <v>0</v>
      </c>
      <c r="Z408" s="79">
        <f>'Core Loads'!Z572</f>
        <v>0</v>
      </c>
      <c r="AA408" s="79">
        <f>'Core Loads'!AA572</f>
        <v>0</v>
      </c>
      <c r="AB408" s="79">
        <f>'Core Loads'!AB572</f>
        <v>0</v>
      </c>
      <c r="AC408" s="79">
        <f>'Core Loads'!AC572</f>
        <v>0</v>
      </c>
      <c r="AD408" s="79">
        <f>'Core Loads'!AD572</f>
        <v>0</v>
      </c>
      <c r="AE408" s="79">
        <f>'Core Loads'!AE572</f>
        <v>0</v>
      </c>
      <c r="AF408" s="79">
        <f>'Core Loads'!AF572</f>
        <v>0</v>
      </c>
      <c r="AG408"/>
      <c r="AH408" s="17" t="s">
        <v>279</v>
      </c>
    </row>
    <row r="409" spans="2:34" outlineLevel="1" x14ac:dyDescent="0.25">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row>
    <row r="410" spans="2:34" ht="15.75" outlineLevel="1" thickBot="1" x14ac:dyDescent="0.3">
      <c r="B410" s="28" t="s">
        <v>280</v>
      </c>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0"/>
      <c r="AH410" s="20" t="s">
        <v>15</v>
      </c>
    </row>
    <row r="411" spans="2:34" customFormat="1" outlineLevel="1" x14ac:dyDescent="0.25">
      <c r="B411" s="30"/>
      <c r="C411" s="17">
        <v>2025</v>
      </c>
      <c r="D411" s="44">
        <v>2026</v>
      </c>
      <c r="E411" s="44">
        <v>2027</v>
      </c>
      <c r="F411" s="44">
        <v>2028</v>
      </c>
      <c r="G411" s="44">
        <v>2029</v>
      </c>
      <c r="H411" s="44">
        <v>2030</v>
      </c>
      <c r="I411" s="44">
        <v>2031</v>
      </c>
      <c r="J411" s="44">
        <v>2032</v>
      </c>
      <c r="K411" s="44">
        <v>2033</v>
      </c>
      <c r="L411" s="44">
        <v>2034</v>
      </c>
      <c r="M411" s="44">
        <v>2035</v>
      </c>
      <c r="N411" s="44">
        <v>2036</v>
      </c>
      <c r="O411" s="44">
        <v>2037</v>
      </c>
      <c r="P411" s="44">
        <v>2038</v>
      </c>
      <c r="Q411" s="44">
        <v>2039</v>
      </c>
      <c r="R411" s="44">
        <v>2040</v>
      </c>
      <c r="S411" s="44">
        <v>2041</v>
      </c>
      <c r="T411" s="44">
        <v>2042</v>
      </c>
      <c r="U411" s="44">
        <v>2043</v>
      </c>
      <c r="V411" s="44">
        <v>2044</v>
      </c>
      <c r="W411" s="44">
        <v>2045</v>
      </c>
      <c r="X411" s="44">
        <v>2046</v>
      </c>
      <c r="Y411" s="44">
        <v>2047</v>
      </c>
      <c r="Z411" s="44">
        <v>2048</v>
      </c>
      <c r="AA411" s="44">
        <v>2049</v>
      </c>
      <c r="AB411" s="44">
        <v>2050</v>
      </c>
      <c r="AC411" s="44">
        <v>2051</v>
      </c>
      <c r="AD411" s="44">
        <v>2052</v>
      </c>
      <c r="AE411" s="44">
        <v>2053</v>
      </c>
      <c r="AF411" s="44">
        <v>2054</v>
      </c>
      <c r="AH411" s="1"/>
    </row>
    <row r="412" spans="2:34" outlineLevel="1" x14ac:dyDescent="0.25">
      <c r="B412" s="31" t="s">
        <v>144</v>
      </c>
      <c r="C412" s="79">
        <f>'Core Loads'!C576</f>
        <v>0</v>
      </c>
      <c r="D412" s="79">
        <f>'Core Loads'!D576</f>
        <v>0</v>
      </c>
      <c r="E412" s="79">
        <f>'Core Loads'!E576</f>
        <v>0</v>
      </c>
      <c r="F412" s="79">
        <f>'Core Loads'!F576</f>
        <v>8237611.3694371348</v>
      </c>
      <c r="G412" s="79">
        <f>'Core Loads'!G576</f>
        <v>8237611.3694371348</v>
      </c>
      <c r="H412" s="79">
        <f>'Core Loads'!H576</f>
        <v>9012734.2894371357</v>
      </c>
      <c r="I412" s="79">
        <f>'Core Loads'!I576</f>
        <v>9012734.2894371357</v>
      </c>
      <c r="J412" s="79">
        <f>'Core Loads'!J576</f>
        <v>8552617.6962371375</v>
      </c>
      <c r="K412" s="79">
        <f>'Core Loads'!K576</f>
        <v>8552617.6962371375</v>
      </c>
      <c r="L412" s="79">
        <f>'Core Loads'!L576</f>
        <v>9180639.3762371354</v>
      </c>
      <c r="M412" s="79">
        <f>'Core Loads'!M576</f>
        <v>9180639.3762371354</v>
      </c>
      <c r="N412" s="79">
        <f>'Core Loads'!N576</f>
        <v>9180639.3762371354</v>
      </c>
      <c r="O412" s="79">
        <f>'Core Loads'!O576</f>
        <v>9180639.3762371354</v>
      </c>
      <c r="P412" s="79">
        <f>'Core Loads'!P576</f>
        <v>9180639.3762371354</v>
      </c>
      <c r="Q412" s="79">
        <f>'Core Loads'!Q576</f>
        <v>9180639.3762371354</v>
      </c>
      <c r="R412" s="79">
        <f>'Core Loads'!R576</f>
        <v>9180639.3762371354</v>
      </c>
      <c r="S412" s="79">
        <f>'Core Loads'!S576</f>
        <v>9180639.3762371354</v>
      </c>
      <c r="T412" s="79">
        <f>'Core Loads'!T576</f>
        <v>9180639.3762371354</v>
      </c>
      <c r="U412" s="79">
        <f>'Core Loads'!U576</f>
        <v>9180639.3762371354</v>
      </c>
      <c r="V412" s="79">
        <f>'Core Loads'!V576</f>
        <v>9180639.3762371354</v>
      </c>
      <c r="W412" s="79">
        <f>'Core Loads'!W576</f>
        <v>9180639.3762371354</v>
      </c>
      <c r="X412" s="79">
        <f>'Core Loads'!X576</f>
        <v>9180639.3762371354</v>
      </c>
      <c r="Y412" s="79">
        <f>'Core Loads'!Y576</f>
        <v>9180639.3762371354</v>
      </c>
      <c r="Z412" s="79">
        <f>'Core Loads'!Z576</f>
        <v>9180639.3762371354</v>
      </c>
      <c r="AA412" s="79">
        <f>'Core Loads'!AA576</f>
        <v>9180639.3762371354</v>
      </c>
      <c r="AB412" s="79">
        <f>'Core Loads'!AB576</f>
        <v>9180639.3762371354</v>
      </c>
      <c r="AC412" s="79">
        <f>'Core Loads'!AC576</f>
        <v>9180639.3762371354</v>
      </c>
      <c r="AD412" s="79">
        <f>'Core Loads'!AD576</f>
        <v>9180639.3762371354</v>
      </c>
      <c r="AE412" s="79">
        <f>'Core Loads'!AE576</f>
        <v>9180639.3762371354</v>
      </c>
      <c r="AF412" s="79">
        <f>'Core Loads'!AF576</f>
        <v>9180639.3762371354</v>
      </c>
      <c r="AG412"/>
      <c r="AH412" s="17" t="s">
        <v>279</v>
      </c>
    </row>
    <row r="413" spans="2:34" outlineLevel="1" x14ac:dyDescent="0.25">
      <c r="B413" s="31" t="s">
        <v>145</v>
      </c>
      <c r="C413" s="79">
        <f>'Core Loads'!C577</f>
        <v>0</v>
      </c>
      <c r="D413" s="79">
        <f>'Core Loads'!D577</f>
        <v>0</v>
      </c>
      <c r="E413" s="79">
        <f>'Core Loads'!E577</f>
        <v>0</v>
      </c>
      <c r="F413" s="79">
        <f>'Core Loads'!F577</f>
        <v>7148037.0083669899</v>
      </c>
      <c r="G413" s="79">
        <f>'Core Loads'!G577</f>
        <v>7148037.0083669899</v>
      </c>
      <c r="H413" s="79">
        <f>'Core Loads'!H577</f>
        <v>7234294.6083669895</v>
      </c>
      <c r="I413" s="79">
        <f>'Core Loads'!I577</f>
        <v>7234294.6083669895</v>
      </c>
      <c r="J413" s="79">
        <f>'Core Loads'!J577</f>
        <v>7234294.6083669895</v>
      </c>
      <c r="K413" s="79">
        <f>'Core Loads'!K577</f>
        <v>7234294.6083669895</v>
      </c>
      <c r="L413" s="79">
        <f>'Core Loads'!L577</f>
        <v>7082106.2166567408</v>
      </c>
      <c r="M413" s="79">
        <f>'Core Loads'!M577</f>
        <v>7082106.2166567408</v>
      </c>
      <c r="N413" s="79">
        <f>'Core Loads'!N577</f>
        <v>7082106.2166567408</v>
      </c>
      <c r="O413" s="79">
        <f>'Core Loads'!O577</f>
        <v>7082106.2166567408</v>
      </c>
      <c r="P413" s="79">
        <f>'Core Loads'!P577</f>
        <v>7070995.9866567403</v>
      </c>
      <c r="Q413" s="79">
        <f>'Core Loads'!Q577</f>
        <v>7070995.9866567403</v>
      </c>
      <c r="R413" s="79">
        <f>'Core Loads'!R577</f>
        <v>7414629.3906567395</v>
      </c>
      <c r="S413" s="79">
        <f>'Core Loads'!S577</f>
        <v>7414629.3906567395</v>
      </c>
      <c r="T413" s="79">
        <f>'Core Loads'!T577</f>
        <v>7414629.3906567395</v>
      </c>
      <c r="U413" s="79">
        <f>'Core Loads'!U577</f>
        <v>7414629.3906567395</v>
      </c>
      <c r="V413" s="79">
        <f>'Core Loads'!V577</f>
        <v>7414629.3906567395</v>
      </c>
      <c r="W413" s="79">
        <f>'Core Loads'!W577</f>
        <v>7414629.3906567395</v>
      </c>
      <c r="X413" s="79">
        <f>'Core Loads'!X577</f>
        <v>7414629.3906567395</v>
      </c>
      <c r="Y413" s="79">
        <f>'Core Loads'!Y577</f>
        <v>7414629.3906567395</v>
      </c>
      <c r="Z413" s="79">
        <f>'Core Loads'!Z577</f>
        <v>7414629.3906567395</v>
      </c>
      <c r="AA413" s="79">
        <f>'Core Loads'!AA577</f>
        <v>7414629.3906567395</v>
      </c>
      <c r="AB413" s="79">
        <f>'Core Loads'!AB577</f>
        <v>7275034.2137464946</v>
      </c>
      <c r="AC413" s="79">
        <f>'Core Loads'!AC577</f>
        <v>7275034.2137464946</v>
      </c>
      <c r="AD413" s="79">
        <f>'Core Loads'!AD577</f>
        <v>7275034.2137464946</v>
      </c>
      <c r="AE413" s="79">
        <f>'Core Loads'!AE577</f>
        <v>7275034.2137464946</v>
      </c>
      <c r="AF413" s="79">
        <f>'Core Loads'!AF577</f>
        <v>7275034.2137464946</v>
      </c>
      <c r="AG413"/>
      <c r="AH413" s="17" t="s">
        <v>279</v>
      </c>
    </row>
    <row r="414" spans="2:34" outlineLevel="1" x14ac:dyDescent="0.25">
      <c r="B414" s="31" t="s">
        <v>244</v>
      </c>
      <c r="C414" s="79">
        <f>'Core Loads'!C578</f>
        <v>0</v>
      </c>
      <c r="D414" s="79">
        <f>'Core Loads'!D578</f>
        <v>0</v>
      </c>
      <c r="E414" s="79">
        <f>'Core Loads'!E578</f>
        <v>10424562.72955735</v>
      </c>
      <c r="F414" s="79">
        <f>'Core Loads'!F578</f>
        <v>14928448.609557347</v>
      </c>
      <c r="G414" s="79">
        <f>'Core Loads'!G578</f>
        <v>14928448.609557347</v>
      </c>
      <c r="H414" s="79">
        <f>'Core Loads'!H578</f>
        <v>16003705.267622186</v>
      </c>
      <c r="I414" s="79">
        <f>'Core Loads'!I578</f>
        <v>16003705.267622186</v>
      </c>
      <c r="J414" s="79">
        <f>'Core Loads'!J578</f>
        <v>15247954.784394085</v>
      </c>
      <c r="K414" s="79">
        <f>'Core Loads'!K578</f>
        <v>15247954.784394085</v>
      </c>
      <c r="L414" s="79">
        <f>'Core Loads'!L578</f>
        <v>15247954.784394085</v>
      </c>
      <c r="M414" s="79">
        <f>'Core Loads'!M578</f>
        <v>15247954.784394085</v>
      </c>
      <c r="N414" s="79">
        <f>'Core Loads'!N578</f>
        <v>15033617.237543011</v>
      </c>
      <c r="O414" s="79">
        <f>'Core Loads'!O578</f>
        <v>15033617.237543011</v>
      </c>
      <c r="P414" s="79">
        <f>'Core Loads'!P578</f>
        <v>14997195.012872687</v>
      </c>
      <c r="Q414" s="79">
        <f>'Core Loads'!Q578</f>
        <v>14997195.012872687</v>
      </c>
      <c r="R414" s="79">
        <f>'Core Loads'!R578</f>
        <v>15766985.012872687</v>
      </c>
      <c r="S414" s="79">
        <f>'Core Loads'!S578</f>
        <v>15766985.012872687</v>
      </c>
      <c r="T414" s="79">
        <f>'Core Loads'!T578</f>
        <v>15766985.012872687</v>
      </c>
      <c r="U414" s="79">
        <f>'Core Loads'!U578</f>
        <v>15766985.012872687</v>
      </c>
      <c r="V414" s="79">
        <f>'Core Loads'!V578</f>
        <v>15661982.603749251</v>
      </c>
      <c r="W414" s="79">
        <f>'Core Loads'!W578</f>
        <v>15661982.603749251</v>
      </c>
      <c r="X414" s="79">
        <f>'Core Loads'!X578</f>
        <v>15661982.603749251</v>
      </c>
      <c r="Y414" s="79">
        <f>'Core Loads'!Y578</f>
        <v>15661982.603749251</v>
      </c>
      <c r="Z414" s="79">
        <f>'Core Loads'!Z578</f>
        <v>15661982.603749251</v>
      </c>
      <c r="AA414" s="79">
        <f>'Core Loads'!AA578</f>
        <v>15661982.603749251</v>
      </c>
      <c r="AB414" s="79">
        <f>'Core Loads'!AB578</f>
        <v>15661982.603749251</v>
      </c>
      <c r="AC414" s="79">
        <f>'Core Loads'!AC578</f>
        <v>15661982.603749251</v>
      </c>
      <c r="AD414" s="79">
        <f>'Core Loads'!AD578</f>
        <v>15661982.603749251</v>
      </c>
      <c r="AE414" s="79">
        <f>'Core Loads'!AE578</f>
        <v>15661982.603749251</v>
      </c>
      <c r="AF414" s="79">
        <f>'Core Loads'!AF578</f>
        <v>15661982.603749251</v>
      </c>
      <c r="AG414"/>
      <c r="AH414" s="17" t="s">
        <v>279</v>
      </c>
    </row>
    <row r="415" spans="2:34" outlineLevel="1" x14ac:dyDescent="0.25">
      <c r="B415" s="31" t="s">
        <v>147</v>
      </c>
      <c r="C415" s="79">
        <f>'Core Loads'!C579</f>
        <v>0</v>
      </c>
      <c r="D415" s="79">
        <f>'Core Loads'!D579</f>
        <v>0</v>
      </c>
      <c r="E415" s="79">
        <f>'Core Loads'!E579</f>
        <v>0</v>
      </c>
      <c r="F415" s="79">
        <f>'Core Loads'!F579</f>
        <v>0</v>
      </c>
      <c r="G415" s="79">
        <f>'Core Loads'!G579</f>
        <v>0</v>
      </c>
      <c r="H415" s="79">
        <f>'Core Loads'!H579</f>
        <v>0</v>
      </c>
      <c r="I415" s="79">
        <f>'Core Loads'!I579</f>
        <v>0</v>
      </c>
      <c r="J415" s="79">
        <f>'Core Loads'!J579</f>
        <v>0</v>
      </c>
      <c r="K415" s="79">
        <f>'Core Loads'!K579</f>
        <v>0</v>
      </c>
      <c r="L415" s="79">
        <f>'Core Loads'!L579</f>
        <v>0</v>
      </c>
      <c r="M415" s="79">
        <f>'Core Loads'!M579</f>
        <v>0</v>
      </c>
      <c r="N415" s="79">
        <f>'Core Loads'!N579</f>
        <v>0</v>
      </c>
      <c r="O415" s="79">
        <f>'Core Loads'!O579</f>
        <v>0</v>
      </c>
      <c r="P415" s="79">
        <f>'Core Loads'!P579</f>
        <v>0</v>
      </c>
      <c r="Q415" s="79">
        <f>'Core Loads'!Q579</f>
        <v>0</v>
      </c>
      <c r="R415" s="79">
        <f>'Core Loads'!R579</f>
        <v>0</v>
      </c>
      <c r="S415" s="79">
        <f>'Core Loads'!S579</f>
        <v>0</v>
      </c>
      <c r="T415" s="79">
        <f>'Core Loads'!T579</f>
        <v>0</v>
      </c>
      <c r="U415" s="79">
        <f>'Core Loads'!U579</f>
        <v>0</v>
      </c>
      <c r="V415" s="79">
        <f>'Core Loads'!V579</f>
        <v>0</v>
      </c>
      <c r="W415" s="79">
        <f>'Core Loads'!W579</f>
        <v>0</v>
      </c>
      <c r="X415" s="79">
        <f>'Core Loads'!X579</f>
        <v>0</v>
      </c>
      <c r="Y415" s="79">
        <f>'Core Loads'!Y579</f>
        <v>0</v>
      </c>
      <c r="Z415" s="79">
        <f>'Core Loads'!Z579</f>
        <v>0</v>
      </c>
      <c r="AA415" s="79">
        <f>'Core Loads'!AA579</f>
        <v>0</v>
      </c>
      <c r="AB415" s="79">
        <f>'Core Loads'!AB579</f>
        <v>0</v>
      </c>
      <c r="AC415" s="79">
        <f>'Core Loads'!AC579</f>
        <v>0</v>
      </c>
      <c r="AD415" s="79">
        <f>'Core Loads'!AD579</f>
        <v>0</v>
      </c>
      <c r="AE415" s="79">
        <f>'Core Loads'!AE579</f>
        <v>0</v>
      </c>
      <c r="AF415" s="79">
        <f>'Core Loads'!AF579</f>
        <v>0</v>
      </c>
      <c r="AG415"/>
      <c r="AH415" s="17" t="s">
        <v>279</v>
      </c>
    </row>
    <row r="416" spans="2:34" outlineLevel="1" x14ac:dyDescent="0.25">
      <c r="B416" s="31" t="s">
        <v>245</v>
      </c>
      <c r="C416" s="79">
        <f>'Core Loads'!C580</f>
        <v>0</v>
      </c>
      <c r="D416" s="79">
        <f>'Core Loads'!D580</f>
        <v>0</v>
      </c>
      <c r="E416" s="79">
        <f>'Core Loads'!E580</f>
        <v>0</v>
      </c>
      <c r="F416" s="79">
        <f>'Core Loads'!F580</f>
        <v>1207501.7119999998</v>
      </c>
      <c r="G416" s="79">
        <f>'Core Loads'!G580</f>
        <v>1207501.7119999998</v>
      </c>
      <c r="H416" s="79">
        <f>'Core Loads'!H580</f>
        <v>3455696.2320000003</v>
      </c>
      <c r="I416" s="79">
        <f>'Core Loads'!I580</f>
        <v>3455696.2320000003</v>
      </c>
      <c r="J416" s="79">
        <f>'Core Loads'!J580</f>
        <v>3455696.2320000003</v>
      </c>
      <c r="K416" s="79">
        <f>'Core Loads'!K580</f>
        <v>3455696.2320000003</v>
      </c>
      <c r="L416" s="79">
        <f>'Core Loads'!L580</f>
        <v>3455696.2320000003</v>
      </c>
      <c r="M416" s="79">
        <f>'Core Loads'!M580</f>
        <v>3455696.2320000003</v>
      </c>
      <c r="N416" s="79">
        <f>'Core Loads'!N580</f>
        <v>3395321.1464</v>
      </c>
      <c r="O416" s="79">
        <f>'Core Loads'!O580</f>
        <v>3395321.1464</v>
      </c>
      <c r="P416" s="79">
        <f>'Core Loads'!P580</f>
        <v>3395321.1464</v>
      </c>
      <c r="Q416" s="79">
        <f>'Core Loads'!Q580</f>
        <v>3395321.1464</v>
      </c>
      <c r="R416" s="79">
        <f>'Core Loads'!R580</f>
        <v>8011631.8983999994</v>
      </c>
      <c r="S416" s="79">
        <f>'Core Loads'!S580</f>
        <v>8011631.8983999994</v>
      </c>
      <c r="T416" s="79">
        <f>'Core Loads'!T580</f>
        <v>8011631.8983999994</v>
      </c>
      <c r="U416" s="79">
        <f>'Core Loads'!U580</f>
        <v>8011631.8983999994</v>
      </c>
      <c r="V416" s="79">
        <f>'Core Loads'!V580</f>
        <v>8011631.8983999994</v>
      </c>
      <c r="W416" s="79">
        <f>'Core Loads'!W580</f>
        <v>8011631.8983999994</v>
      </c>
      <c r="X416" s="79">
        <f>'Core Loads'!X580</f>
        <v>8011631.8983999994</v>
      </c>
      <c r="Y416" s="79">
        <f>'Core Loads'!Y580</f>
        <v>8011631.8983999994</v>
      </c>
      <c r="Z416" s="79">
        <f>'Core Loads'!Z580</f>
        <v>8011631.8983999994</v>
      </c>
      <c r="AA416" s="79">
        <f>'Core Loads'!AA580</f>
        <v>8011631.8983999994</v>
      </c>
      <c r="AB416" s="79">
        <f>'Core Loads'!AB580</f>
        <v>8011631.8983999994</v>
      </c>
      <c r="AC416" s="79">
        <f>'Core Loads'!AC580</f>
        <v>8011631.8983999994</v>
      </c>
      <c r="AD416" s="79">
        <f>'Core Loads'!AD580</f>
        <v>8011631.8983999994</v>
      </c>
      <c r="AE416" s="79">
        <f>'Core Loads'!AE580</f>
        <v>8011631.8983999994</v>
      </c>
      <c r="AF416" s="79">
        <f>'Core Loads'!AF580</f>
        <v>8011631.8983999994</v>
      </c>
      <c r="AG416"/>
      <c r="AH416" s="17" t="s">
        <v>279</v>
      </c>
    </row>
    <row r="417" spans="2:34" outlineLevel="1" x14ac:dyDescent="0.25">
      <c r="B417" s="31" t="s">
        <v>149</v>
      </c>
      <c r="C417" s="79">
        <f>'Core Loads'!C581</f>
        <v>0</v>
      </c>
      <c r="D417" s="79">
        <f>'Core Loads'!D581</f>
        <v>0</v>
      </c>
      <c r="E417" s="79">
        <f>'Core Loads'!E581</f>
        <v>10424562.72955735</v>
      </c>
      <c r="F417" s="79">
        <f>'Core Loads'!F581</f>
        <v>31521598.699361473</v>
      </c>
      <c r="G417" s="79">
        <f>'Core Loads'!G581</f>
        <v>31521598.699361473</v>
      </c>
      <c r="H417" s="79">
        <f>'Core Loads'!H581</f>
        <v>35706430.397426315</v>
      </c>
      <c r="I417" s="79">
        <f>'Core Loads'!I581</f>
        <v>35706430.397426315</v>
      </c>
      <c r="J417" s="79">
        <f>'Core Loads'!J581</f>
        <v>34490563.320998214</v>
      </c>
      <c r="K417" s="79">
        <f>'Core Loads'!K581</f>
        <v>34490563.320998214</v>
      </c>
      <c r="L417" s="79">
        <f>'Core Loads'!L581</f>
        <v>34966396.609287962</v>
      </c>
      <c r="M417" s="79">
        <f>'Core Loads'!M581</f>
        <v>34966396.609287962</v>
      </c>
      <c r="N417" s="79">
        <f>'Core Loads'!N581</f>
        <v>34691683.976836883</v>
      </c>
      <c r="O417" s="79">
        <f>'Core Loads'!O581</f>
        <v>34691683.976836883</v>
      </c>
      <c r="P417" s="79">
        <f>'Core Loads'!P581</f>
        <v>34644151.522166558</v>
      </c>
      <c r="Q417" s="79">
        <f>'Core Loads'!Q581</f>
        <v>34644151.522166558</v>
      </c>
      <c r="R417" s="79">
        <f>'Core Loads'!R581</f>
        <v>40373885.678166561</v>
      </c>
      <c r="S417" s="79">
        <f>'Core Loads'!S581</f>
        <v>40373885.678166561</v>
      </c>
      <c r="T417" s="79">
        <f>'Core Loads'!T581</f>
        <v>40373885.678166561</v>
      </c>
      <c r="U417" s="79">
        <f>'Core Loads'!U581</f>
        <v>40373885.678166561</v>
      </c>
      <c r="V417" s="79">
        <f>'Core Loads'!V581</f>
        <v>40268883.269043125</v>
      </c>
      <c r="W417" s="79">
        <f>'Core Loads'!W581</f>
        <v>40268883.269043125</v>
      </c>
      <c r="X417" s="79">
        <f>'Core Loads'!X581</f>
        <v>40268883.269043125</v>
      </c>
      <c r="Y417" s="79">
        <f>'Core Loads'!Y581</f>
        <v>40268883.269043125</v>
      </c>
      <c r="Z417" s="79">
        <f>'Core Loads'!Z581</f>
        <v>40268883.269043125</v>
      </c>
      <c r="AA417" s="79">
        <f>'Core Loads'!AA581</f>
        <v>40268883.269043125</v>
      </c>
      <c r="AB417" s="79">
        <f>'Core Loads'!AB581</f>
        <v>40129288.092132881</v>
      </c>
      <c r="AC417" s="79">
        <f>'Core Loads'!AC581</f>
        <v>40129288.092132881</v>
      </c>
      <c r="AD417" s="79">
        <f>'Core Loads'!AD581</f>
        <v>40129288.092132881</v>
      </c>
      <c r="AE417" s="79">
        <f>'Core Loads'!AE581</f>
        <v>40129288.092132881</v>
      </c>
      <c r="AF417" s="79">
        <f>'Core Loads'!AF581</f>
        <v>40129288.092132881</v>
      </c>
      <c r="AG417"/>
      <c r="AH417" s="17" t="s">
        <v>279</v>
      </c>
    </row>
  </sheetData>
  <sheetProtection formatCells="0" formatColumns="0" formatRows="0" insertColumns="0" insertRows="0"/>
  <conditionalFormatting sqref="G61 G1:G13 G70:G73 G81:G82 G90:G92 G336:G338 G418:G1048576">
    <cfRule type="containsText" dxfId="743" priority="319" operator="containsText" text="In progress">
      <formula>NOT(ISERROR(SEARCH("In progress",G1)))</formula>
    </cfRule>
    <cfRule type="containsText" dxfId="742" priority="320" operator="containsText" text="Complete">
      <formula>NOT(ISERROR(SEARCH("Complete",G1)))</formula>
    </cfRule>
    <cfRule type="containsText" dxfId="741" priority="321" operator="containsText" text="Outstanding">
      <formula>NOT(ISERROR(SEARCH("Outstanding",G1)))</formula>
    </cfRule>
  </conditionalFormatting>
  <conditionalFormatting sqref="G21:G22">
    <cfRule type="containsText" dxfId="740" priority="316" operator="containsText" text="In progress">
      <formula>NOT(ISERROR(SEARCH("In progress",G21)))</formula>
    </cfRule>
    <cfRule type="containsText" dxfId="739" priority="317" operator="containsText" text="Complete">
      <formula>NOT(ISERROR(SEARCH("Complete",G21)))</formula>
    </cfRule>
    <cfRule type="containsText" dxfId="738" priority="318" operator="containsText" text="Outstanding">
      <formula>NOT(ISERROR(SEARCH("Outstanding",G21)))</formula>
    </cfRule>
  </conditionalFormatting>
  <conditionalFormatting sqref="G30:G33">
    <cfRule type="containsText" dxfId="737" priority="313" operator="containsText" text="In progress">
      <formula>NOT(ISERROR(SEARCH("In progress",G30)))</formula>
    </cfRule>
    <cfRule type="containsText" dxfId="736" priority="314" operator="containsText" text="Complete">
      <formula>NOT(ISERROR(SEARCH("Complete",G30)))</formula>
    </cfRule>
    <cfRule type="containsText" dxfId="735" priority="315" operator="containsText" text="Outstanding">
      <formula>NOT(ISERROR(SEARCH("Outstanding",G30)))</formula>
    </cfRule>
  </conditionalFormatting>
  <conditionalFormatting sqref="G41:G42">
    <cfRule type="containsText" dxfId="734" priority="310" operator="containsText" text="In progress">
      <formula>NOT(ISERROR(SEARCH("In progress",G41)))</formula>
    </cfRule>
    <cfRule type="containsText" dxfId="733" priority="311" operator="containsText" text="Complete">
      <formula>NOT(ISERROR(SEARCH("Complete",G41)))</formula>
    </cfRule>
    <cfRule type="containsText" dxfId="732" priority="312" operator="containsText" text="Outstanding">
      <formula>NOT(ISERROR(SEARCH("Outstanding",G41)))</formula>
    </cfRule>
  </conditionalFormatting>
  <conditionalFormatting sqref="G50">
    <cfRule type="containsText" dxfId="731" priority="307" operator="containsText" text="In progress">
      <formula>NOT(ISERROR(SEARCH("In progress",G50)))</formula>
    </cfRule>
    <cfRule type="containsText" dxfId="730" priority="308" operator="containsText" text="Complete">
      <formula>NOT(ISERROR(SEARCH("Complete",G50)))</formula>
    </cfRule>
    <cfRule type="containsText" dxfId="729" priority="309" operator="containsText" text="Outstanding">
      <formula>NOT(ISERROR(SEARCH("Outstanding",G50)))</formula>
    </cfRule>
  </conditionalFormatting>
  <conditionalFormatting sqref="G51:G53">
    <cfRule type="containsText" dxfId="728" priority="301" operator="containsText" text="In progress">
      <formula>NOT(ISERROR(SEARCH("In progress",G51)))</formula>
    </cfRule>
    <cfRule type="containsText" dxfId="727" priority="302" operator="containsText" text="Complete">
      <formula>NOT(ISERROR(SEARCH("Complete",G51)))</formula>
    </cfRule>
    <cfRule type="containsText" dxfId="726" priority="303" operator="containsText" text="Outstanding">
      <formula>NOT(ISERROR(SEARCH("Outstanding",G51)))</formula>
    </cfRule>
  </conditionalFormatting>
  <conditionalFormatting sqref="G143 G93:G95 G152:G155 G163:G164">
    <cfRule type="containsText" dxfId="725" priority="256" operator="containsText" text="In progress">
      <formula>NOT(ISERROR(SEARCH("In progress",G93)))</formula>
    </cfRule>
    <cfRule type="containsText" dxfId="724" priority="257" operator="containsText" text="Complete">
      <formula>NOT(ISERROR(SEARCH("Complete",G93)))</formula>
    </cfRule>
    <cfRule type="containsText" dxfId="723" priority="258" operator="containsText" text="Outstanding">
      <formula>NOT(ISERROR(SEARCH("Outstanding",G93)))</formula>
    </cfRule>
  </conditionalFormatting>
  <conditionalFormatting sqref="G103:G104">
    <cfRule type="containsText" dxfId="722" priority="253" operator="containsText" text="In progress">
      <formula>NOT(ISERROR(SEARCH("In progress",G103)))</formula>
    </cfRule>
    <cfRule type="containsText" dxfId="721" priority="254" operator="containsText" text="Complete">
      <formula>NOT(ISERROR(SEARCH("Complete",G103)))</formula>
    </cfRule>
    <cfRule type="containsText" dxfId="720" priority="255" operator="containsText" text="Outstanding">
      <formula>NOT(ISERROR(SEARCH("Outstanding",G103)))</formula>
    </cfRule>
  </conditionalFormatting>
  <conditionalFormatting sqref="G112:G115">
    <cfRule type="containsText" dxfId="719" priority="250" operator="containsText" text="In progress">
      <formula>NOT(ISERROR(SEARCH("In progress",G112)))</formula>
    </cfRule>
    <cfRule type="containsText" dxfId="718" priority="251" operator="containsText" text="Complete">
      <formula>NOT(ISERROR(SEARCH("Complete",G112)))</formula>
    </cfRule>
    <cfRule type="containsText" dxfId="717" priority="252" operator="containsText" text="Outstanding">
      <formula>NOT(ISERROR(SEARCH("Outstanding",G112)))</formula>
    </cfRule>
  </conditionalFormatting>
  <conditionalFormatting sqref="G123:G124">
    <cfRule type="containsText" dxfId="716" priority="247" operator="containsText" text="In progress">
      <formula>NOT(ISERROR(SEARCH("In progress",G123)))</formula>
    </cfRule>
    <cfRule type="containsText" dxfId="715" priority="248" operator="containsText" text="Complete">
      <formula>NOT(ISERROR(SEARCH("Complete",G123)))</formula>
    </cfRule>
    <cfRule type="containsText" dxfId="714" priority="249" operator="containsText" text="Outstanding">
      <formula>NOT(ISERROR(SEARCH("Outstanding",G123)))</formula>
    </cfRule>
  </conditionalFormatting>
  <conditionalFormatting sqref="G132">
    <cfRule type="containsText" dxfId="713" priority="244" operator="containsText" text="In progress">
      <formula>NOT(ISERROR(SEARCH("In progress",G132)))</formula>
    </cfRule>
    <cfRule type="containsText" dxfId="712" priority="245" operator="containsText" text="Complete">
      <formula>NOT(ISERROR(SEARCH("Complete",G132)))</formula>
    </cfRule>
    <cfRule type="containsText" dxfId="711" priority="246" operator="containsText" text="Outstanding">
      <formula>NOT(ISERROR(SEARCH("Outstanding",G132)))</formula>
    </cfRule>
  </conditionalFormatting>
  <conditionalFormatting sqref="G133:G135">
    <cfRule type="containsText" dxfId="710" priority="238" operator="containsText" text="In progress">
      <formula>NOT(ISERROR(SEARCH("In progress",G133)))</formula>
    </cfRule>
    <cfRule type="containsText" dxfId="709" priority="239" operator="containsText" text="Complete">
      <formula>NOT(ISERROR(SEARCH("Complete",G133)))</formula>
    </cfRule>
    <cfRule type="containsText" dxfId="708" priority="240" operator="containsText" text="Outstanding">
      <formula>NOT(ISERROR(SEARCH("Outstanding",G133)))</formula>
    </cfRule>
  </conditionalFormatting>
  <conditionalFormatting sqref="G172:G174">
    <cfRule type="containsText" dxfId="707" priority="193" operator="containsText" text="In progress">
      <formula>NOT(ISERROR(SEARCH("In progress",G172)))</formula>
    </cfRule>
    <cfRule type="containsText" dxfId="706" priority="194" operator="containsText" text="Complete">
      <formula>NOT(ISERROR(SEARCH("Complete",G172)))</formula>
    </cfRule>
    <cfRule type="containsText" dxfId="705" priority="195" operator="containsText" text="Outstanding">
      <formula>NOT(ISERROR(SEARCH("Outstanding",G172)))</formula>
    </cfRule>
  </conditionalFormatting>
  <conditionalFormatting sqref="G225 G175:G177 G234:G237 G245:G246">
    <cfRule type="containsText" dxfId="704" priority="190" operator="containsText" text="In progress">
      <formula>NOT(ISERROR(SEARCH("In progress",G175)))</formula>
    </cfRule>
    <cfRule type="containsText" dxfId="703" priority="191" operator="containsText" text="Complete">
      <formula>NOT(ISERROR(SEARCH("Complete",G175)))</formula>
    </cfRule>
    <cfRule type="containsText" dxfId="702" priority="192" operator="containsText" text="Outstanding">
      <formula>NOT(ISERROR(SEARCH("Outstanding",G175)))</formula>
    </cfRule>
  </conditionalFormatting>
  <conditionalFormatting sqref="G185:G186">
    <cfRule type="containsText" dxfId="701" priority="187" operator="containsText" text="In progress">
      <formula>NOT(ISERROR(SEARCH("In progress",G185)))</formula>
    </cfRule>
    <cfRule type="containsText" dxfId="700" priority="188" operator="containsText" text="Complete">
      <formula>NOT(ISERROR(SEARCH("Complete",G185)))</formula>
    </cfRule>
    <cfRule type="containsText" dxfId="699" priority="189" operator="containsText" text="Outstanding">
      <formula>NOT(ISERROR(SEARCH("Outstanding",G185)))</formula>
    </cfRule>
  </conditionalFormatting>
  <conditionalFormatting sqref="G194:G197">
    <cfRule type="containsText" dxfId="698" priority="184" operator="containsText" text="In progress">
      <formula>NOT(ISERROR(SEARCH("In progress",G194)))</formula>
    </cfRule>
    <cfRule type="containsText" dxfId="697" priority="185" operator="containsText" text="Complete">
      <formula>NOT(ISERROR(SEARCH("Complete",G194)))</formula>
    </cfRule>
    <cfRule type="containsText" dxfId="696" priority="186" operator="containsText" text="Outstanding">
      <formula>NOT(ISERROR(SEARCH("Outstanding",G194)))</formula>
    </cfRule>
  </conditionalFormatting>
  <conditionalFormatting sqref="G205:G206">
    <cfRule type="containsText" dxfId="695" priority="181" operator="containsText" text="In progress">
      <formula>NOT(ISERROR(SEARCH("In progress",G205)))</formula>
    </cfRule>
    <cfRule type="containsText" dxfId="694" priority="182" operator="containsText" text="Complete">
      <formula>NOT(ISERROR(SEARCH("Complete",G205)))</formula>
    </cfRule>
    <cfRule type="containsText" dxfId="693" priority="183" operator="containsText" text="Outstanding">
      <formula>NOT(ISERROR(SEARCH("Outstanding",G205)))</formula>
    </cfRule>
  </conditionalFormatting>
  <conditionalFormatting sqref="G214">
    <cfRule type="containsText" dxfId="692" priority="178" operator="containsText" text="In progress">
      <formula>NOT(ISERROR(SEARCH("In progress",G214)))</formula>
    </cfRule>
    <cfRule type="containsText" dxfId="691" priority="179" operator="containsText" text="Complete">
      <formula>NOT(ISERROR(SEARCH("Complete",G214)))</formula>
    </cfRule>
    <cfRule type="containsText" dxfId="690" priority="180" operator="containsText" text="Outstanding">
      <formula>NOT(ISERROR(SEARCH("Outstanding",G214)))</formula>
    </cfRule>
  </conditionalFormatting>
  <conditionalFormatting sqref="G215:G217">
    <cfRule type="containsText" dxfId="689" priority="172" operator="containsText" text="In progress">
      <formula>NOT(ISERROR(SEARCH("In progress",G215)))</formula>
    </cfRule>
    <cfRule type="containsText" dxfId="688" priority="173" operator="containsText" text="Complete">
      <formula>NOT(ISERROR(SEARCH("Complete",G215)))</formula>
    </cfRule>
    <cfRule type="containsText" dxfId="687" priority="174" operator="containsText" text="Outstanding">
      <formula>NOT(ISERROR(SEARCH("Outstanding",G215)))</formula>
    </cfRule>
  </conditionalFormatting>
  <conditionalFormatting sqref="G254:G256">
    <cfRule type="containsText" dxfId="686" priority="127" operator="containsText" text="In progress">
      <formula>NOT(ISERROR(SEARCH("In progress",G254)))</formula>
    </cfRule>
    <cfRule type="containsText" dxfId="685" priority="128" operator="containsText" text="Complete">
      <formula>NOT(ISERROR(SEARCH("Complete",G254)))</formula>
    </cfRule>
    <cfRule type="containsText" dxfId="684" priority="129" operator="containsText" text="Outstanding">
      <formula>NOT(ISERROR(SEARCH("Outstanding",G254)))</formula>
    </cfRule>
  </conditionalFormatting>
  <conditionalFormatting sqref="G307 G257:G259 G316:G319 G327:G328">
    <cfRule type="containsText" dxfId="683" priority="124" operator="containsText" text="In progress">
      <formula>NOT(ISERROR(SEARCH("In progress",G257)))</formula>
    </cfRule>
    <cfRule type="containsText" dxfId="682" priority="125" operator="containsText" text="Complete">
      <formula>NOT(ISERROR(SEARCH("Complete",G257)))</formula>
    </cfRule>
    <cfRule type="containsText" dxfId="681" priority="126" operator="containsText" text="Outstanding">
      <formula>NOT(ISERROR(SEARCH("Outstanding",G257)))</formula>
    </cfRule>
  </conditionalFormatting>
  <conditionalFormatting sqref="G267:G268">
    <cfRule type="containsText" dxfId="680" priority="121" operator="containsText" text="In progress">
      <formula>NOT(ISERROR(SEARCH("In progress",G267)))</formula>
    </cfRule>
    <cfRule type="containsText" dxfId="679" priority="122" operator="containsText" text="Complete">
      <formula>NOT(ISERROR(SEARCH("Complete",G267)))</formula>
    </cfRule>
    <cfRule type="containsText" dxfId="678" priority="123" operator="containsText" text="Outstanding">
      <formula>NOT(ISERROR(SEARCH("Outstanding",G267)))</formula>
    </cfRule>
  </conditionalFormatting>
  <conditionalFormatting sqref="G276:G279">
    <cfRule type="containsText" dxfId="677" priority="118" operator="containsText" text="In progress">
      <formula>NOT(ISERROR(SEARCH("In progress",G276)))</formula>
    </cfRule>
    <cfRule type="containsText" dxfId="676" priority="119" operator="containsText" text="Complete">
      <formula>NOT(ISERROR(SEARCH("Complete",G276)))</formula>
    </cfRule>
    <cfRule type="containsText" dxfId="675" priority="120" operator="containsText" text="Outstanding">
      <formula>NOT(ISERROR(SEARCH("Outstanding",G276)))</formula>
    </cfRule>
  </conditionalFormatting>
  <conditionalFormatting sqref="G287:G288">
    <cfRule type="containsText" dxfId="674" priority="115" operator="containsText" text="In progress">
      <formula>NOT(ISERROR(SEARCH("In progress",G287)))</formula>
    </cfRule>
    <cfRule type="containsText" dxfId="673" priority="116" operator="containsText" text="Complete">
      <formula>NOT(ISERROR(SEARCH("Complete",G287)))</formula>
    </cfRule>
    <cfRule type="containsText" dxfId="672" priority="117" operator="containsText" text="Outstanding">
      <formula>NOT(ISERROR(SEARCH("Outstanding",G287)))</formula>
    </cfRule>
  </conditionalFormatting>
  <conditionalFormatting sqref="G296">
    <cfRule type="containsText" dxfId="671" priority="112" operator="containsText" text="In progress">
      <formula>NOT(ISERROR(SEARCH("In progress",G296)))</formula>
    </cfRule>
    <cfRule type="containsText" dxfId="670" priority="113" operator="containsText" text="Complete">
      <formula>NOT(ISERROR(SEARCH("Complete",G296)))</formula>
    </cfRule>
    <cfRule type="containsText" dxfId="669" priority="114" operator="containsText" text="Outstanding">
      <formula>NOT(ISERROR(SEARCH("Outstanding",G296)))</formula>
    </cfRule>
  </conditionalFormatting>
  <conditionalFormatting sqref="G297:G299">
    <cfRule type="containsText" dxfId="668" priority="106" operator="containsText" text="In progress">
      <formula>NOT(ISERROR(SEARCH("In progress",G297)))</formula>
    </cfRule>
    <cfRule type="containsText" dxfId="667" priority="107" operator="containsText" text="Complete">
      <formula>NOT(ISERROR(SEARCH("Complete",G297)))</formula>
    </cfRule>
    <cfRule type="containsText" dxfId="666" priority="108" operator="containsText" text="Outstanding">
      <formula>NOT(ISERROR(SEARCH("Outstanding",G297)))</formula>
    </cfRule>
  </conditionalFormatting>
  <conditionalFormatting sqref="G389 G339:G341 G398:G401 G409:G410">
    <cfRule type="containsText" dxfId="665" priority="61" operator="containsText" text="In progress">
      <formula>NOT(ISERROR(SEARCH("In progress",G339)))</formula>
    </cfRule>
    <cfRule type="containsText" dxfId="664" priority="62" operator="containsText" text="Complete">
      <formula>NOT(ISERROR(SEARCH("Complete",G339)))</formula>
    </cfRule>
    <cfRule type="containsText" dxfId="663" priority="63" operator="containsText" text="Outstanding">
      <formula>NOT(ISERROR(SEARCH("Outstanding",G339)))</formula>
    </cfRule>
  </conditionalFormatting>
  <conditionalFormatting sqref="G349:G350">
    <cfRule type="containsText" dxfId="662" priority="58" operator="containsText" text="In progress">
      <formula>NOT(ISERROR(SEARCH("In progress",G349)))</formula>
    </cfRule>
    <cfRule type="containsText" dxfId="661" priority="59" operator="containsText" text="Complete">
      <formula>NOT(ISERROR(SEARCH("Complete",G349)))</formula>
    </cfRule>
    <cfRule type="containsText" dxfId="660" priority="60" operator="containsText" text="Outstanding">
      <formula>NOT(ISERROR(SEARCH("Outstanding",G349)))</formula>
    </cfRule>
  </conditionalFormatting>
  <conditionalFormatting sqref="G358:G361">
    <cfRule type="containsText" dxfId="659" priority="55" operator="containsText" text="In progress">
      <formula>NOT(ISERROR(SEARCH("In progress",G358)))</formula>
    </cfRule>
    <cfRule type="containsText" dxfId="658" priority="56" operator="containsText" text="Complete">
      <formula>NOT(ISERROR(SEARCH("Complete",G358)))</formula>
    </cfRule>
    <cfRule type="containsText" dxfId="657" priority="57" operator="containsText" text="Outstanding">
      <formula>NOT(ISERROR(SEARCH("Outstanding",G358)))</formula>
    </cfRule>
  </conditionalFormatting>
  <conditionalFormatting sqref="G369:G370">
    <cfRule type="containsText" dxfId="656" priority="52" operator="containsText" text="In progress">
      <formula>NOT(ISERROR(SEARCH("In progress",G369)))</formula>
    </cfRule>
    <cfRule type="containsText" dxfId="655" priority="53" operator="containsText" text="Complete">
      <formula>NOT(ISERROR(SEARCH("Complete",G369)))</formula>
    </cfRule>
    <cfRule type="containsText" dxfId="654" priority="54" operator="containsText" text="Outstanding">
      <formula>NOT(ISERROR(SEARCH("Outstanding",G369)))</formula>
    </cfRule>
  </conditionalFormatting>
  <conditionalFormatting sqref="G378">
    <cfRule type="containsText" dxfId="653" priority="49" operator="containsText" text="In progress">
      <formula>NOT(ISERROR(SEARCH("In progress",G378)))</formula>
    </cfRule>
    <cfRule type="containsText" dxfId="652" priority="50" operator="containsText" text="Complete">
      <formula>NOT(ISERROR(SEARCH("Complete",G378)))</formula>
    </cfRule>
    <cfRule type="containsText" dxfId="651" priority="51" operator="containsText" text="Outstanding">
      <formula>NOT(ISERROR(SEARCH("Outstanding",G378)))</formula>
    </cfRule>
  </conditionalFormatting>
  <conditionalFormatting sqref="G379:G381">
    <cfRule type="containsText" dxfId="650" priority="43" operator="containsText" text="In progress">
      <formula>NOT(ISERROR(SEARCH("In progress",G379)))</formula>
    </cfRule>
    <cfRule type="containsText" dxfId="649" priority="44" operator="containsText" text="Complete">
      <formula>NOT(ISERROR(SEARCH("Complete",G379)))</formula>
    </cfRule>
    <cfRule type="containsText" dxfId="648" priority="45" operator="containsText" text="Outstanding">
      <formula>NOT(ISERROR(SEARCH("Outstanding",G379)))</formula>
    </cfRule>
  </conditionalFormatting>
  <pageMargins left="0.7" right="0.7" top="0.75" bottom="0.75" header="0.3" footer="0.3"/>
  <pageSetup paperSize="256"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55F7E-DF3D-45E2-A059-B1CE215A4DDC}">
  <sheetPr>
    <tabColor theme="2" tint="0.59999389629810485"/>
  </sheetPr>
  <dimension ref="B1:AI277"/>
  <sheetViews>
    <sheetView showGridLines="0" tabSelected="1" topLeftCell="U92" zoomScale="85" zoomScaleNormal="85" workbookViewId="0">
      <selection activeCell="AG101" sqref="AG101"/>
    </sheetView>
  </sheetViews>
  <sheetFormatPr defaultRowHeight="15" outlineLevelRow="1" x14ac:dyDescent="0.25"/>
  <cols>
    <col min="1" max="1" width="3.7109375" customWidth="1"/>
    <col min="2" max="2" width="12.5703125" customWidth="1"/>
    <col min="3" max="3" width="34.42578125" customWidth="1"/>
    <col min="4" max="4" width="9.7109375" customWidth="1"/>
    <col min="5" max="5" width="11.42578125" style="14" bestFit="1" customWidth="1"/>
    <col min="6" max="33" width="9.7109375" customWidth="1"/>
    <col min="35" max="35" width="27.28515625" bestFit="1" customWidth="1"/>
  </cols>
  <sheetData>
    <row r="1" spans="2:35" s="1" customFormat="1" x14ac:dyDescent="0.25">
      <c r="D1" s="9"/>
      <c r="E1" s="13"/>
      <c r="F1" s="11"/>
      <c r="S1" s="13"/>
      <c r="T1" s="13"/>
    </row>
    <row r="2" spans="2:35" s="1" customFormat="1" x14ac:dyDescent="0.25">
      <c r="B2" s="3" t="s">
        <v>0</v>
      </c>
      <c r="C2" s="8" t="str">
        <f>'Global Inputs'!C2</f>
        <v>UC Berkeley</v>
      </c>
      <c r="E2" s="61" t="s">
        <v>2</v>
      </c>
      <c r="F2" s="11"/>
      <c r="S2" s="13"/>
      <c r="T2" s="13"/>
    </row>
    <row r="3" spans="2:35" s="1" customFormat="1" x14ac:dyDescent="0.25">
      <c r="B3" s="3" t="s">
        <v>3</v>
      </c>
      <c r="C3" s="8" t="str">
        <f>'Global Inputs'!C3</f>
        <v>Campus energy study update</v>
      </c>
      <c r="E3" s="62" t="s">
        <v>5</v>
      </c>
      <c r="F3" s="11"/>
      <c r="S3" s="13"/>
      <c r="T3" s="13"/>
    </row>
    <row r="4" spans="2:35" s="1" customFormat="1" x14ac:dyDescent="0.25">
      <c r="B4" s="3" t="s">
        <v>6</v>
      </c>
      <c r="C4" s="8">
        <f>'Global Inputs'!C4</f>
        <v>267147</v>
      </c>
      <c r="E4" s="63" t="s">
        <v>7</v>
      </c>
      <c r="F4" s="11"/>
      <c r="S4" s="13"/>
      <c r="T4" s="13"/>
    </row>
    <row r="5" spans="2:35" s="1" customFormat="1" x14ac:dyDescent="0.25">
      <c r="B5" s="3"/>
      <c r="C5" s="3"/>
      <c r="E5" s="64" t="s">
        <v>8</v>
      </c>
      <c r="F5" s="11"/>
      <c r="S5" s="13"/>
      <c r="T5" s="13"/>
    </row>
    <row r="6" spans="2:35" s="1" customFormat="1" x14ac:dyDescent="0.25">
      <c r="B6" s="3"/>
      <c r="C6" s="3"/>
      <c r="D6" s="9"/>
      <c r="E6" s="65" t="s">
        <v>9</v>
      </c>
      <c r="F6" s="11"/>
      <c r="S6" s="13"/>
      <c r="T6" s="13"/>
    </row>
    <row r="7" spans="2:35" s="1" customFormat="1" x14ac:dyDescent="0.25">
      <c r="B7" s="3"/>
      <c r="C7" s="3"/>
      <c r="D7" s="9"/>
      <c r="E7" s="13"/>
      <c r="F7" s="11"/>
      <c r="S7" s="13"/>
      <c r="T7" s="13"/>
    </row>
    <row r="8" spans="2:35" s="1" customFormat="1" ht="23.25" x14ac:dyDescent="0.35">
      <c r="B8" s="2" t="s">
        <v>291</v>
      </c>
      <c r="C8" s="2"/>
      <c r="D8" s="10"/>
      <c r="E8" s="66"/>
      <c r="F8" s="12"/>
      <c r="G8" s="5"/>
      <c r="H8" s="5"/>
      <c r="I8" s="5"/>
      <c r="J8" s="5"/>
      <c r="M8" s="5"/>
      <c r="P8" s="5"/>
      <c r="S8" s="13"/>
      <c r="T8" s="13"/>
    </row>
    <row r="10" spans="2:35" x14ac:dyDescent="0.25">
      <c r="S10" s="14"/>
      <c r="T10" s="14"/>
    </row>
    <row r="11" spans="2:35" s="1" customFormat="1" ht="20.25" thickBot="1" x14ac:dyDescent="0.35">
      <c r="B11" s="60" t="s">
        <v>276</v>
      </c>
      <c r="C11" s="18"/>
      <c r="D11" s="18"/>
      <c r="E11" s="25"/>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row>
    <row r="12" spans="2:35" s="1" customFormat="1" ht="18" hidden="1" outlineLevel="1" thickTop="1" thickBot="1" x14ac:dyDescent="0.3">
      <c r="B12" s="19" t="s">
        <v>278</v>
      </c>
      <c r="C12" s="19"/>
      <c r="D12" s="19"/>
      <c r="E12" s="67"/>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spans="2:35" s="1" customFormat="1" ht="16.5" hidden="1" outlineLevel="1" thickTop="1" thickBot="1" x14ac:dyDescent="0.3">
      <c r="B13" s="20" t="s">
        <v>292</v>
      </c>
      <c r="C13" s="20" t="s">
        <v>13</v>
      </c>
      <c r="D13" s="20" t="s">
        <v>17</v>
      </c>
      <c r="E13" s="68"/>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t="s">
        <v>15</v>
      </c>
    </row>
    <row r="14" spans="2:35" hidden="1" outlineLevel="1" x14ac:dyDescent="0.25">
      <c r="D14" s="8">
        <f>'Core Loads'!$C$14</f>
        <v>2025</v>
      </c>
      <c r="E14" s="62">
        <f>'Core Loads'!$D$14</f>
        <v>2026</v>
      </c>
      <c r="F14" s="8">
        <f>'Core Loads'!$E$14</f>
        <v>2027</v>
      </c>
      <c r="G14" s="8">
        <f>'Core Loads'!$F$14</f>
        <v>2028</v>
      </c>
      <c r="H14" s="8">
        <f>'Core Loads'!$G$14</f>
        <v>2029</v>
      </c>
      <c r="I14" s="8">
        <f>'Core Loads'!$H$14</f>
        <v>2030</v>
      </c>
      <c r="J14" s="8">
        <f>'Core Loads'!$I$14</f>
        <v>2031</v>
      </c>
      <c r="K14" s="8">
        <f>'Core Loads'!$J$14</f>
        <v>2032</v>
      </c>
      <c r="L14" s="8">
        <f>'Core Loads'!$K$14</f>
        <v>2033</v>
      </c>
      <c r="M14" s="8">
        <f>'Core Loads'!$L$14</f>
        <v>2034</v>
      </c>
      <c r="N14" s="8">
        <f>'Core Loads'!$M$14</f>
        <v>2035</v>
      </c>
      <c r="O14" s="8">
        <f>'Core Loads'!$N$14</f>
        <v>2036</v>
      </c>
      <c r="P14" s="8">
        <f>'Core Loads'!$O$14</f>
        <v>2037</v>
      </c>
      <c r="Q14" s="8">
        <f>'Core Loads'!$P$14</f>
        <v>2038</v>
      </c>
      <c r="R14" s="8">
        <f>'Core Loads'!$Q$14</f>
        <v>2039</v>
      </c>
      <c r="S14" s="8">
        <f>'Core Loads'!$R$14</f>
        <v>2040</v>
      </c>
      <c r="T14" s="8">
        <f>'Core Loads'!$S$14</f>
        <v>2041</v>
      </c>
      <c r="U14" s="8">
        <f>'Core Loads'!$T$14</f>
        <v>2042</v>
      </c>
      <c r="V14" s="8">
        <f>'Core Loads'!$U$14</f>
        <v>2043</v>
      </c>
      <c r="W14" s="8">
        <f>'Core Loads'!$V$14</f>
        <v>2044</v>
      </c>
      <c r="X14" s="8">
        <f>'Core Loads'!$W$14</f>
        <v>2045</v>
      </c>
      <c r="Y14" s="8">
        <f>'Core Loads'!$X$14</f>
        <v>2046</v>
      </c>
      <c r="Z14" s="8">
        <f>'Core Loads'!$Y$14</f>
        <v>2047</v>
      </c>
      <c r="AA14" s="8">
        <f>'Core Loads'!$Z$14</f>
        <v>2048</v>
      </c>
      <c r="AB14" s="8">
        <f>'Core Loads'!$AA$14</f>
        <v>2049</v>
      </c>
      <c r="AC14" s="8">
        <f>'Core Loads'!$AB$14</f>
        <v>2050</v>
      </c>
      <c r="AD14" s="8">
        <f>'Core Loads'!$AC$14</f>
        <v>2051</v>
      </c>
      <c r="AE14" s="8">
        <f>'Core Loads'!$AD$14</f>
        <v>2052</v>
      </c>
      <c r="AF14" s="8">
        <f>'Core Loads'!$AE$14</f>
        <v>2053</v>
      </c>
      <c r="AG14" s="8">
        <f>'Core Loads'!$AF$14</f>
        <v>2054</v>
      </c>
    </row>
    <row r="15" spans="2:35" s="1" customFormat="1" hidden="1" outlineLevel="1" x14ac:dyDescent="0.25">
      <c r="B15" t="s">
        <v>141</v>
      </c>
      <c r="C15" t="s">
        <v>109</v>
      </c>
      <c r="D15" s="21">
        <f>MAX('Core Loads'!C$20*Elec_exstg_kWh_per_kWh_campus+'Core Loads'!C$40*Process_exstg_kWh_per_lb_campus+'Core Loads'!C$60*Htg_exstg_kWh_per_MMBtu_campus+MAX('Core Loads'!C$80-AbsChillerLoad,0)*Clg_exstg_kWh_per_ton_campus-CogenElecOutputExstg,0)</f>
        <v>0</v>
      </c>
      <c r="E15" s="69">
        <f>MAX('Core Loads'!D$20*Elec_exstg_kWh_per_kWh_campus+'Core Loads'!D$40*Process_exstg_kWh_per_lb_campus+'Core Loads'!D$60*Htg_exstg_kWh_per_MMBtu_campus+MAX('Core Loads'!D$80-AbsChillerLoad,0)*Clg_exstg_kWh_per_ton_campus-CogenElecOutputExstg,0)</f>
        <v>0</v>
      </c>
      <c r="F15" s="21">
        <f>MAX('Core Loads'!E$20*Elec_exstg_kWh_per_kWh_campus+'Core Loads'!E$40*Process_exstg_kWh_per_lb_campus+'Core Loads'!E$60*Htg_exstg_kWh_per_MMBtu_campus+MAX('Core Loads'!E$80-AbsChillerLoad,0)*Clg_exstg_kWh_per_ton_campus-CogenElecOutputExstg,0)</f>
        <v>0</v>
      </c>
      <c r="G15" s="21">
        <f>MAX('Core Loads'!F$20*Elec_exstg_kWh_per_kWh_campus+'Core Loads'!F$40*Process_exstg_kWh_per_lb_campus+'Core Loads'!F$60*Htg_exstg_kWh_per_MMBtu_campus+MAX('Core Loads'!F$80-AbsChillerLoad,0)*Clg_exstg_kWh_per_ton_campus-CogenElecOutputExstg,0)</f>
        <v>0</v>
      </c>
      <c r="H15" s="21">
        <f>MAX('Core Loads'!G$20*Elec_exstg_kWh_per_kWh_campus+'Core Loads'!G$40*Process_exstg_kWh_per_lb_campus+'Core Loads'!G$60*Htg_exstg_kWh_per_MMBtu_campus+MAX('Core Loads'!G$80-AbsChillerLoad,0)*Clg_exstg_kWh_per_ton_campus-CogenElecOutputExstg,0)</f>
        <v>0</v>
      </c>
      <c r="I15" s="21">
        <f>MAX('Core Loads'!H$20*Elec_exstg_kWh_per_kWh_campus+'Core Loads'!H$40*Process_exstg_kWh_per_lb_campus+'Core Loads'!H$60*Htg_exstg_kWh_per_MMBtu_campus+MAX('Core Loads'!H$80-AbsChillerLoad,0)*Clg_exstg_kWh_per_ton_campus-CogenElecOutputExstg,0)</f>
        <v>0</v>
      </c>
      <c r="J15" s="21">
        <f>MAX('Core Loads'!I$20*Elec_exstg_kWh_per_kWh_campus+'Core Loads'!I$40*Process_exstg_kWh_per_lb_campus+'Core Loads'!I$60*Htg_exstg_kWh_per_MMBtu_campus+MAX('Core Loads'!I$80-AbsChillerLoad,0)*Clg_exstg_kWh_per_ton_campus-CogenElecOutputExstg,0)</f>
        <v>0</v>
      </c>
      <c r="K15" s="21">
        <f>MAX('Core Loads'!J$20*Elec_exstg_kWh_per_kWh_campus+'Core Loads'!J$40*Process_exstg_kWh_per_lb_campus+'Core Loads'!J$60*Htg_exstg_kWh_per_MMBtu_campus+MAX('Core Loads'!J$80-AbsChillerLoad,0)*Clg_exstg_kWh_per_ton_campus-CogenElecOutputExstg,0)</f>
        <v>0</v>
      </c>
      <c r="L15" s="21">
        <f>MAX('Core Loads'!K$20*Elec_exstg_kWh_per_kWh_campus+'Core Loads'!K$40*Process_exstg_kWh_per_lb_campus+'Core Loads'!K$60*Htg_exstg_kWh_per_MMBtu_campus+MAX('Core Loads'!K$80-AbsChillerLoad,0)*Clg_exstg_kWh_per_ton_campus-CogenElecOutputExstg,0)</f>
        <v>0</v>
      </c>
      <c r="M15" s="21">
        <f>MAX('Core Loads'!L$20*Elec_exstg_kWh_per_kWh_campus+'Core Loads'!L$40*Process_exstg_kWh_per_lb_campus+'Core Loads'!L$60*Htg_exstg_kWh_per_MMBtu_campus+MAX('Core Loads'!L$80-AbsChillerLoad,0)*Clg_exstg_kWh_per_ton_campus-CogenElecOutputExstg,0)</f>
        <v>0</v>
      </c>
      <c r="N15" s="21">
        <f>MAX('Core Loads'!M$20*Elec_exstg_kWh_per_kWh_campus+'Core Loads'!M$40*Process_exstg_kWh_per_lb_campus+'Core Loads'!M$60*Htg_exstg_kWh_per_MMBtu_campus+MAX('Core Loads'!M$80-AbsChillerLoad,0)*Clg_exstg_kWh_per_ton_campus-CogenElecOutputExstg,0)</f>
        <v>0</v>
      </c>
      <c r="O15" s="21">
        <f>MAX('Core Loads'!N$20*Elec_exstg_kWh_per_kWh_campus+'Core Loads'!N$40*Process_exstg_kWh_per_lb_campus+'Core Loads'!N$60*Htg_exstg_kWh_per_MMBtu_campus+MAX('Core Loads'!N$80-AbsChillerLoad,0)*Clg_exstg_kWh_per_ton_campus-CogenElecOutputExstg,0)</f>
        <v>0</v>
      </c>
      <c r="P15" s="21">
        <f>MAX('Core Loads'!O$20*Elec_exstg_kWh_per_kWh_campus+'Core Loads'!O$40*Process_exstg_kWh_per_lb_campus+'Core Loads'!O$60*Htg_exstg_kWh_per_MMBtu_campus+MAX('Core Loads'!O$80-AbsChillerLoad,0)*Clg_exstg_kWh_per_ton_campus-CogenElecOutputExstg,0)</f>
        <v>0</v>
      </c>
      <c r="Q15" s="21">
        <f>MAX('Core Loads'!P$20*Elec_exstg_kWh_per_kWh_campus+'Core Loads'!P$40*Process_exstg_kWh_per_lb_campus+'Core Loads'!P$60*Htg_exstg_kWh_per_MMBtu_campus+MAX('Core Loads'!P$80-AbsChillerLoad,0)*Clg_exstg_kWh_per_ton_campus-CogenElecOutputExstg,0)</f>
        <v>0</v>
      </c>
      <c r="R15" s="21">
        <f>MAX('Core Loads'!Q$20*Elec_exstg_kWh_per_kWh_campus+'Core Loads'!Q$40*Process_exstg_kWh_per_lb_campus+'Core Loads'!Q$60*Htg_exstg_kWh_per_MMBtu_campus+MAX('Core Loads'!Q$80-AbsChillerLoad,0)*Clg_exstg_kWh_per_ton_campus-CogenElecOutputExstg,0)</f>
        <v>0</v>
      </c>
      <c r="S15" s="21">
        <f>MAX('Core Loads'!R$20*Elec_exstg_kWh_per_kWh_campus+'Core Loads'!R$40*Process_exstg_kWh_per_lb_campus+'Core Loads'!R$60*Htg_exstg_kWh_per_MMBtu_campus+MAX('Core Loads'!R$80-AbsChillerLoad,0)*Clg_exstg_kWh_per_ton_campus-CogenElecOutputExstg,0)</f>
        <v>0</v>
      </c>
      <c r="T15" s="21">
        <f>MAX('Core Loads'!S$20*Elec_exstg_kWh_per_kWh_campus+'Core Loads'!S$40*Process_exstg_kWh_per_lb_campus+'Core Loads'!S$60*Htg_exstg_kWh_per_MMBtu_campus+MAX('Core Loads'!S$80-AbsChillerLoad,0)*Clg_exstg_kWh_per_ton_campus-CogenElecOutputExstg,0)</f>
        <v>0</v>
      </c>
      <c r="U15" s="21">
        <f>MAX('Core Loads'!T$20*Elec_exstg_kWh_per_kWh_campus+'Core Loads'!T$40*Process_exstg_kWh_per_lb_campus+'Core Loads'!T$60*Htg_exstg_kWh_per_MMBtu_campus+MAX('Core Loads'!T$80-AbsChillerLoad,0)*Clg_exstg_kWh_per_ton_campus-CogenElecOutputExstg,0)</f>
        <v>0</v>
      </c>
      <c r="V15" s="21">
        <f>MAX('Core Loads'!U$20*Elec_exstg_kWh_per_kWh_campus+'Core Loads'!U$40*Process_exstg_kWh_per_lb_campus+'Core Loads'!U$60*Htg_exstg_kWh_per_MMBtu_campus+MAX('Core Loads'!U$80-AbsChillerLoad,0)*Clg_exstg_kWh_per_ton_campus-CogenElecOutputExstg,0)</f>
        <v>0</v>
      </c>
      <c r="W15" s="21">
        <f>MAX('Core Loads'!V$20*Elec_exstg_kWh_per_kWh_campus+'Core Loads'!V$40*Process_exstg_kWh_per_lb_campus+'Core Loads'!V$60*Htg_exstg_kWh_per_MMBtu_campus+MAX('Core Loads'!V$80-AbsChillerLoad,0)*Clg_exstg_kWh_per_ton_campus-CogenElecOutputExstg,0)</f>
        <v>0</v>
      </c>
      <c r="X15" s="21">
        <f>MAX('Core Loads'!W$20*Elec_exstg_kWh_per_kWh_campus+'Core Loads'!W$40*Process_exstg_kWh_per_lb_campus+'Core Loads'!W$60*Htg_exstg_kWh_per_MMBtu_campus+MAX('Core Loads'!W$80-AbsChillerLoad,0)*Clg_exstg_kWh_per_ton_campus-CogenElecOutputExstg,0)</f>
        <v>0</v>
      </c>
      <c r="Y15" s="21">
        <f>MAX('Core Loads'!X$20*Elec_exstg_kWh_per_kWh_campus+'Core Loads'!X$40*Process_exstg_kWh_per_lb_campus+'Core Loads'!X$60*Htg_exstg_kWh_per_MMBtu_campus+MAX('Core Loads'!X$80-AbsChillerLoad,0)*Clg_exstg_kWh_per_ton_campus-CogenElecOutputExstg,0)</f>
        <v>0</v>
      </c>
      <c r="Z15" s="21">
        <f>MAX('Core Loads'!Y$20*Elec_exstg_kWh_per_kWh_campus+'Core Loads'!Y$40*Process_exstg_kWh_per_lb_campus+'Core Loads'!Y$60*Htg_exstg_kWh_per_MMBtu_campus+MAX('Core Loads'!Y$80-AbsChillerLoad,0)*Clg_exstg_kWh_per_ton_campus-CogenElecOutputExstg,0)</f>
        <v>0</v>
      </c>
      <c r="AA15" s="21">
        <f>MAX('Core Loads'!Z$20*Elec_exstg_kWh_per_kWh_campus+'Core Loads'!Z$40*Process_exstg_kWh_per_lb_campus+'Core Loads'!Z$60*Htg_exstg_kWh_per_MMBtu_campus+MAX('Core Loads'!Z$80-AbsChillerLoad,0)*Clg_exstg_kWh_per_ton_campus-CogenElecOutputExstg,0)</f>
        <v>0</v>
      </c>
      <c r="AB15" s="21">
        <f>MAX('Core Loads'!AA$20*Elec_exstg_kWh_per_kWh_campus+'Core Loads'!AA$40*Process_exstg_kWh_per_lb_campus+'Core Loads'!AA$60*Htg_exstg_kWh_per_MMBtu_campus+MAX('Core Loads'!AA$80-AbsChillerLoad,0)*Clg_exstg_kWh_per_ton_campus-CogenElecOutputExstg,0)</f>
        <v>0</v>
      </c>
      <c r="AC15" s="21">
        <f>MAX('Core Loads'!AB$20*Elec_exstg_kWh_per_kWh_campus+'Core Loads'!AB$40*Process_exstg_kWh_per_lb_campus+'Core Loads'!AB$60*Htg_exstg_kWh_per_MMBtu_campus+MAX('Core Loads'!AB$80-AbsChillerLoad,0)*Clg_exstg_kWh_per_ton_campus-CogenElecOutputExstg,0)</f>
        <v>0</v>
      </c>
      <c r="AD15" s="21">
        <f>MAX('Core Loads'!AC$20*Elec_exstg_kWh_per_kWh_campus+'Core Loads'!AC$40*Process_exstg_kWh_per_lb_campus+'Core Loads'!AC$60*Htg_exstg_kWh_per_MMBtu_campus+MAX('Core Loads'!AC$80-AbsChillerLoad,0)*Clg_exstg_kWh_per_ton_campus-CogenElecOutputExstg,0)</f>
        <v>0</v>
      </c>
      <c r="AE15" s="21">
        <f>MAX('Core Loads'!AD$20*Elec_exstg_kWh_per_kWh_campus+'Core Loads'!AD$40*Process_exstg_kWh_per_lb_campus+'Core Loads'!AD$60*Htg_exstg_kWh_per_MMBtu_campus+MAX('Core Loads'!AD$80-AbsChillerLoad,0)*Clg_exstg_kWh_per_ton_campus-CogenElecOutputExstg,0)</f>
        <v>0</v>
      </c>
      <c r="AF15" s="21">
        <f>MAX('Core Loads'!AE$20*Elec_exstg_kWh_per_kWh_campus+'Core Loads'!AE$40*Process_exstg_kWh_per_lb_campus+'Core Loads'!AE$60*Htg_exstg_kWh_per_MMBtu_campus+MAX('Core Loads'!AE$80-AbsChillerLoad,0)*Clg_exstg_kWh_per_ton_campus-CogenElecOutputExstg,0)</f>
        <v>0</v>
      </c>
      <c r="AG15" s="21">
        <f>MAX('Core Loads'!AF$20*Elec_exstg_kWh_per_kWh_campus+'Core Loads'!AF$40*Process_exstg_kWh_per_lb_campus+'Core Loads'!AF$60*Htg_exstg_kWh_per_MMBtu_campus+MAX('Core Loads'!AF$80-AbsChillerLoad,0)*Clg_exstg_kWh_per_ton_campus-CogenElecOutputExstg,0)</f>
        <v>0</v>
      </c>
      <c r="AH15"/>
      <c r="AI15" s="23" t="s">
        <v>293</v>
      </c>
    </row>
    <row r="16" spans="2:35" s="1" customFormat="1" hidden="1" outlineLevel="1" x14ac:dyDescent="0.25">
      <c r="B16" t="s">
        <v>136</v>
      </c>
      <c r="C16" t="s">
        <v>169</v>
      </c>
      <c r="D16" s="21">
        <f>'Core Loads'!C$40*Process_exstg_therm_per_lb_campus+'Core Loads'!C$60*Htg_exstg_therm_per_MMBtu_campus+MIN('Core Loads'!C$80,AbsChillerLoad)*Clg_exstg_therm_per_ton_campus</f>
        <v>18678271.73312483</v>
      </c>
      <c r="E16" s="69">
        <f>'Core Loads'!D$40*Process_exstg_therm_per_lb_campus+'Core Loads'!D$60*Htg_exstg_therm_per_MMBtu_campus+MIN('Core Loads'!D$80,AbsChillerLoad)*Clg_exstg_therm_per_ton_campus</f>
        <v>18678271.73312483</v>
      </c>
      <c r="F16" s="21">
        <f>'Core Loads'!E$40*Process_exstg_therm_per_lb_campus+'Core Loads'!E$60*Htg_exstg_therm_per_MMBtu_campus+MIN('Core Loads'!E$80,AbsChillerLoad)*Clg_exstg_therm_per_ton_campus</f>
        <v>11321364.53989486</v>
      </c>
      <c r="G16" s="21">
        <f>'Core Loads'!F$40*Process_exstg_therm_per_lb_campus+'Core Loads'!F$60*Htg_exstg_therm_per_MMBtu_campus+MIN('Core Loads'!F$80,AbsChillerLoad)*Clg_exstg_therm_per_ton_campus</f>
        <v>11321364.53989486</v>
      </c>
      <c r="H16" s="21">
        <f>'Core Loads'!G$40*Process_exstg_therm_per_lb_campus+'Core Loads'!G$60*Htg_exstg_therm_per_MMBtu_campus+MIN('Core Loads'!G$80,AbsChillerLoad)*Clg_exstg_therm_per_ton_campus</f>
        <v>11321364.53989486</v>
      </c>
      <c r="I16" s="21">
        <f>'Core Loads'!H$40*Process_exstg_therm_per_lb_campus+'Core Loads'!H$60*Htg_exstg_therm_per_MMBtu_campus+MIN('Core Loads'!H$80,AbsChillerLoad)*Clg_exstg_therm_per_ton_campus</f>
        <v>6358821.3213491384</v>
      </c>
      <c r="J16" s="21">
        <f>'Core Loads'!I$40*Process_exstg_therm_per_lb_campus+'Core Loads'!I$60*Htg_exstg_therm_per_MMBtu_campus+MIN('Core Loads'!I$80,AbsChillerLoad)*Clg_exstg_therm_per_ton_campus</f>
        <v>6358821.3213491384</v>
      </c>
      <c r="K16" s="21">
        <f>'Core Loads'!J$40*Process_exstg_therm_per_lb_campus+'Core Loads'!J$60*Htg_exstg_therm_per_MMBtu_campus+MIN('Core Loads'!J$80,AbsChillerLoad)*Clg_exstg_therm_per_ton_campus</f>
        <v>0</v>
      </c>
      <c r="L16" s="21">
        <f>'Core Loads'!K$40*Process_exstg_therm_per_lb_campus+'Core Loads'!K$60*Htg_exstg_therm_per_MMBtu_campus+MIN('Core Loads'!K$80,AbsChillerLoad)*Clg_exstg_therm_per_ton_campus</f>
        <v>0</v>
      </c>
      <c r="M16" s="21">
        <f>'Core Loads'!L$40*Process_exstg_therm_per_lb_campus+'Core Loads'!L$60*Htg_exstg_therm_per_MMBtu_campus+MIN('Core Loads'!L$80,AbsChillerLoad)*Clg_exstg_therm_per_ton_campus</f>
        <v>0</v>
      </c>
      <c r="N16" s="21">
        <f>'Core Loads'!M$40*Process_exstg_therm_per_lb_campus+'Core Loads'!M$60*Htg_exstg_therm_per_MMBtu_campus+MIN('Core Loads'!M$80,AbsChillerLoad)*Clg_exstg_therm_per_ton_campus</f>
        <v>0</v>
      </c>
      <c r="O16" s="21">
        <f>'Core Loads'!N$40*Process_exstg_therm_per_lb_campus+'Core Loads'!N$60*Htg_exstg_therm_per_MMBtu_campus+MIN('Core Loads'!N$80,AbsChillerLoad)*Clg_exstg_therm_per_ton_campus</f>
        <v>0</v>
      </c>
      <c r="P16" s="21">
        <f>'Core Loads'!O$40*Process_exstg_therm_per_lb_campus+'Core Loads'!O$60*Htg_exstg_therm_per_MMBtu_campus+MIN('Core Loads'!O$80,AbsChillerLoad)*Clg_exstg_therm_per_ton_campus</f>
        <v>0</v>
      </c>
      <c r="Q16" s="21">
        <f>'Core Loads'!P$40*Process_exstg_therm_per_lb_campus+'Core Loads'!P$60*Htg_exstg_therm_per_MMBtu_campus+MIN('Core Loads'!P$80,AbsChillerLoad)*Clg_exstg_therm_per_ton_campus</f>
        <v>0</v>
      </c>
      <c r="R16" s="21">
        <f>'Core Loads'!Q$40*Process_exstg_therm_per_lb_campus+'Core Loads'!Q$60*Htg_exstg_therm_per_MMBtu_campus+MIN('Core Loads'!Q$80,AbsChillerLoad)*Clg_exstg_therm_per_ton_campus</f>
        <v>0</v>
      </c>
      <c r="S16" s="21">
        <f>'Core Loads'!R$40*Process_exstg_therm_per_lb_campus+'Core Loads'!R$60*Htg_exstg_therm_per_MMBtu_campus+MIN('Core Loads'!R$80,AbsChillerLoad)*Clg_exstg_therm_per_ton_campus</f>
        <v>0</v>
      </c>
      <c r="T16" s="21">
        <f>'Core Loads'!S$40*Process_exstg_therm_per_lb_campus+'Core Loads'!S$60*Htg_exstg_therm_per_MMBtu_campus+MIN('Core Loads'!S$80,AbsChillerLoad)*Clg_exstg_therm_per_ton_campus</f>
        <v>0</v>
      </c>
      <c r="U16" s="21">
        <f>'Core Loads'!T$40*Process_exstg_therm_per_lb_campus+'Core Loads'!T$60*Htg_exstg_therm_per_MMBtu_campus+MIN('Core Loads'!T$80,AbsChillerLoad)*Clg_exstg_therm_per_ton_campus</f>
        <v>0</v>
      </c>
      <c r="V16" s="21">
        <f>'Core Loads'!U$40*Process_exstg_therm_per_lb_campus+'Core Loads'!U$60*Htg_exstg_therm_per_MMBtu_campus+MIN('Core Loads'!U$80,AbsChillerLoad)*Clg_exstg_therm_per_ton_campus</f>
        <v>0</v>
      </c>
      <c r="W16" s="21">
        <f>'Core Loads'!V$40*Process_exstg_therm_per_lb_campus+'Core Loads'!V$60*Htg_exstg_therm_per_MMBtu_campus+MIN('Core Loads'!V$80,AbsChillerLoad)*Clg_exstg_therm_per_ton_campus</f>
        <v>0</v>
      </c>
      <c r="X16" s="21">
        <f>'Core Loads'!W$40*Process_exstg_therm_per_lb_campus+'Core Loads'!W$60*Htg_exstg_therm_per_MMBtu_campus+MIN('Core Loads'!W$80,AbsChillerLoad)*Clg_exstg_therm_per_ton_campus</f>
        <v>0</v>
      </c>
      <c r="Y16" s="21">
        <f>'Core Loads'!X$40*Process_exstg_therm_per_lb_campus+'Core Loads'!X$60*Htg_exstg_therm_per_MMBtu_campus+MIN('Core Loads'!X$80,AbsChillerLoad)*Clg_exstg_therm_per_ton_campus</f>
        <v>0</v>
      </c>
      <c r="Z16" s="21">
        <f>'Core Loads'!Y$40*Process_exstg_therm_per_lb_campus+'Core Loads'!Y$60*Htg_exstg_therm_per_MMBtu_campus+MIN('Core Loads'!Y$80,AbsChillerLoad)*Clg_exstg_therm_per_ton_campus</f>
        <v>0</v>
      </c>
      <c r="AA16" s="21">
        <f>'Core Loads'!Z$40*Process_exstg_therm_per_lb_campus+'Core Loads'!Z$60*Htg_exstg_therm_per_MMBtu_campus+MIN('Core Loads'!Z$80,AbsChillerLoad)*Clg_exstg_therm_per_ton_campus</f>
        <v>0</v>
      </c>
      <c r="AB16" s="21">
        <f>'Core Loads'!AA$40*Process_exstg_therm_per_lb_campus+'Core Loads'!AA$60*Htg_exstg_therm_per_MMBtu_campus+MIN('Core Loads'!AA$80,AbsChillerLoad)*Clg_exstg_therm_per_ton_campus</f>
        <v>0</v>
      </c>
      <c r="AC16" s="21">
        <f>'Core Loads'!AB$40*Process_exstg_therm_per_lb_campus+'Core Loads'!AB$60*Htg_exstg_therm_per_MMBtu_campus+MIN('Core Loads'!AB$80,AbsChillerLoad)*Clg_exstg_therm_per_ton_campus</f>
        <v>0</v>
      </c>
      <c r="AD16" s="21">
        <f>'Core Loads'!AC$40*Process_exstg_therm_per_lb_campus+'Core Loads'!AC$60*Htg_exstg_therm_per_MMBtu_campus+MIN('Core Loads'!AC$80,AbsChillerLoad)*Clg_exstg_therm_per_ton_campus</f>
        <v>0</v>
      </c>
      <c r="AE16" s="21">
        <f>'Core Loads'!AD$40*Process_exstg_therm_per_lb_campus+'Core Loads'!AD$60*Htg_exstg_therm_per_MMBtu_campus+MIN('Core Loads'!AD$80,AbsChillerLoad)*Clg_exstg_therm_per_ton_campus</f>
        <v>0</v>
      </c>
      <c r="AF16" s="21">
        <f>'Core Loads'!AE$40*Process_exstg_therm_per_lb_campus+'Core Loads'!AE$60*Htg_exstg_therm_per_MMBtu_campus+MIN('Core Loads'!AE$80,AbsChillerLoad)*Clg_exstg_therm_per_ton_campus</f>
        <v>0</v>
      </c>
      <c r="AG16" s="21">
        <f>'Core Loads'!AF$40*Process_exstg_therm_per_lb_campus+'Core Loads'!AF$60*Htg_exstg_therm_per_MMBtu_campus+MIN('Core Loads'!AF$80,AbsChillerLoad)*Clg_exstg_therm_per_ton_campus</f>
        <v>0</v>
      </c>
      <c r="AH16"/>
      <c r="AI16" s="23" t="s">
        <v>293</v>
      </c>
    </row>
    <row r="17" spans="2:35" s="1" customFormat="1" hidden="1" outlineLevel="1" x14ac:dyDescent="0.25">
      <c r="B17" t="s">
        <v>154</v>
      </c>
      <c r="C17" t="s">
        <v>170</v>
      </c>
      <c r="D17" s="21">
        <f>'Core Loads'!C$40*Process_exstg_CCF_per_lb_campus+'Core Loads'!C$60*Htg_exstg_CCF_per_MMBtu_campus+'Core Loads'!C$80*Clg_exstg_CCF_per_ton_campus</f>
        <v>152675.29861112637</v>
      </c>
      <c r="E17" s="69">
        <f>'Core Loads'!D$40*Process_exstg_CCF_per_lb_campus+'Core Loads'!D$60*Htg_exstg_CCF_per_MMBtu_campus+'Core Loads'!D$80*Clg_exstg_CCF_per_ton_campus</f>
        <v>171443.12253475966</v>
      </c>
      <c r="F17" s="21">
        <f>'Core Loads'!E$40*Process_exstg_CCF_per_lb_campus+'Core Loads'!E$60*Htg_exstg_CCF_per_MMBtu_campus+'Core Loads'!E$80*Clg_exstg_CCF_per_ton_campus</f>
        <v>81530.155954485803</v>
      </c>
      <c r="G17" s="21">
        <f>'Core Loads'!F$40*Process_exstg_CCF_per_lb_campus+'Core Loads'!F$60*Htg_exstg_CCF_per_MMBtu_campus+'Core Loads'!F$80*Clg_exstg_CCF_per_ton_campus</f>
        <v>85833.521105635184</v>
      </c>
      <c r="H17" s="21">
        <f>'Core Loads'!G$40*Process_exstg_CCF_per_lb_campus+'Core Loads'!G$60*Htg_exstg_CCF_per_MMBtu_campus+'Core Loads'!G$80*Clg_exstg_CCF_per_ton_campus</f>
        <v>85833.521105635184</v>
      </c>
      <c r="I17" s="21">
        <f>'Core Loads'!H$40*Process_exstg_CCF_per_lb_campus+'Core Loads'!H$60*Htg_exstg_CCF_per_MMBtu_campus+'Core Loads'!H$80*Clg_exstg_CCF_per_ton_campus</f>
        <v>20590.328051260698</v>
      </c>
      <c r="J17" s="21">
        <f>'Core Loads'!I$40*Process_exstg_CCF_per_lb_campus+'Core Loads'!I$60*Htg_exstg_CCF_per_MMBtu_campus+'Core Loads'!I$80*Clg_exstg_CCF_per_ton_campus</f>
        <v>20590.328051260698</v>
      </c>
      <c r="K17" s="21">
        <f>'Core Loads'!J$40*Process_exstg_CCF_per_lb_campus+'Core Loads'!J$60*Htg_exstg_CCF_per_MMBtu_campus+'Core Loads'!J$80*Clg_exstg_CCF_per_ton_campus</f>
        <v>0</v>
      </c>
      <c r="L17" s="21">
        <f>'Core Loads'!K$40*Process_exstg_CCF_per_lb_campus+'Core Loads'!K$60*Htg_exstg_CCF_per_MMBtu_campus+'Core Loads'!K$80*Clg_exstg_CCF_per_ton_campus</f>
        <v>0</v>
      </c>
      <c r="M17" s="21">
        <f>'Core Loads'!L$40*Process_exstg_CCF_per_lb_campus+'Core Loads'!L$60*Htg_exstg_CCF_per_MMBtu_campus+'Core Loads'!L$80*Clg_exstg_CCF_per_ton_campus</f>
        <v>0</v>
      </c>
      <c r="N17" s="21">
        <f>'Core Loads'!M$40*Process_exstg_CCF_per_lb_campus+'Core Loads'!M$60*Htg_exstg_CCF_per_MMBtu_campus+'Core Loads'!M$80*Clg_exstg_CCF_per_ton_campus</f>
        <v>0</v>
      </c>
      <c r="O17" s="21">
        <f>'Core Loads'!N$40*Process_exstg_CCF_per_lb_campus+'Core Loads'!N$60*Htg_exstg_CCF_per_MMBtu_campus+'Core Loads'!N$80*Clg_exstg_CCF_per_ton_campus</f>
        <v>0</v>
      </c>
      <c r="P17" s="21">
        <f>'Core Loads'!O$40*Process_exstg_CCF_per_lb_campus+'Core Loads'!O$60*Htg_exstg_CCF_per_MMBtu_campus+'Core Loads'!O$80*Clg_exstg_CCF_per_ton_campus</f>
        <v>0</v>
      </c>
      <c r="Q17" s="21">
        <f>'Core Loads'!P$40*Process_exstg_CCF_per_lb_campus+'Core Loads'!P$60*Htg_exstg_CCF_per_MMBtu_campus+'Core Loads'!P$80*Clg_exstg_CCF_per_ton_campus</f>
        <v>0</v>
      </c>
      <c r="R17" s="21">
        <f>'Core Loads'!Q$40*Process_exstg_CCF_per_lb_campus+'Core Loads'!Q$60*Htg_exstg_CCF_per_MMBtu_campus+'Core Loads'!Q$80*Clg_exstg_CCF_per_ton_campus</f>
        <v>0</v>
      </c>
      <c r="S17" s="21">
        <f>'Core Loads'!R$40*Process_exstg_CCF_per_lb_campus+'Core Loads'!R$60*Htg_exstg_CCF_per_MMBtu_campus+'Core Loads'!R$80*Clg_exstg_CCF_per_ton_campus</f>
        <v>0</v>
      </c>
      <c r="T17" s="21">
        <f>'Core Loads'!S$40*Process_exstg_CCF_per_lb_campus+'Core Loads'!S$60*Htg_exstg_CCF_per_MMBtu_campus+'Core Loads'!S$80*Clg_exstg_CCF_per_ton_campus</f>
        <v>0</v>
      </c>
      <c r="U17" s="21">
        <f>'Core Loads'!T$40*Process_exstg_CCF_per_lb_campus+'Core Loads'!T$60*Htg_exstg_CCF_per_MMBtu_campus+'Core Loads'!T$80*Clg_exstg_CCF_per_ton_campus</f>
        <v>0</v>
      </c>
      <c r="V17" s="21">
        <f>'Core Loads'!U$40*Process_exstg_CCF_per_lb_campus+'Core Loads'!U$60*Htg_exstg_CCF_per_MMBtu_campus+'Core Loads'!U$80*Clg_exstg_CCF_per_ton_campus</f>
        <v>0</v>
      </c>
      <c r="W17" s="21">
        <f>'Core Loads'!V$40*Process_exstg_CCF_per_lb_campus+'Core Loads'!V$60*Htg_exstg_CCF_per_MMBtu_campus+'Core Loads'!V$80*Clg_exstg_CCF_per_ton_campus</f>
        <v>0</v>
      </c>
      <c r="X17" s="21">
        <f>'Core Loads'!W$40*Process_exstg_CCF_per_lb_campus+'Core Loads'!W$60*Htg_exstg_CCF_per_MMBtu_campus+'Core Loads'!W$80*Clg_exstg_CCF_per_ton_campus</f>
        <v>0</v>
      </c>
      <c r="Y17" s="21">
        <f>'Core Loads'!X$40*Process_exstg_CCF_per_lb_campus+'Core Loads'!X$60*Htg_exstg_CCF_per_MMBtu_campus+'Core Loads'!X$80*Clg_exstg_CCF_per_ton_campus</f>
        <v>0</v>
      </c>
      <c r="Z17" s="21">
        <f>'Core Loads'!Y$40*Process_exstg_CCF_per_lb_campus+'Core Loads'!Y$60*Htg_exstg_CCF_per_MMBtu_campus+'Core Loads'!Y$80*Clg_exstg_CCF_per_ton_campus</f>
        <v>0</v>
      </c>
      <c r="AA17" s="21">
        <f>'Core Loads'!Z$40*Process_exstg_CCF_per_lb_campus+'Core Loads'!Z$60*Htg_exstg_CCF_per_MMBtu_campus+'Core Loads'!Z$80*Clg_exstg_CCF_per_ton_campus</f>
        <v>0</v>
      </c>
      <c r="AB17" s="21">
        <f>'Core Loads'!AA$40*Process_exstg_CCF_per_lb_campus+'Core Loads'!AA$60*Htg_exstg_CCF_per_MMBtu_campus+'Core Loads'!AA$80*Clg_exstg_CCF_per_ton_campus</f>
        <v>0</v>
      </c>
      <c r="AC17" s="21">
        <f>'Core Loads'!AB$40*Process_exstg_CCF_per_lb_campus+'Core Loads'!AB$60*Htg_exstg_CCF_per_MMBtu_campus+'Core Loads'!AB$80*Clg_exstg_CCF_per_ton_campus</f>
        <v>0</v>
      </c>
      <c r="AD17" s="21">
        <f>'Core Loads'!AC$40*Process_exstg_CCF_per_lb_campus+'Core Loads'!AC$60*Htg_exstg_CCF_per_MMBtu_campus+'Core Loads'!AC$80*Clg_exstg_CCF_per_ton_campus</f>
        <v>0</v>
      </c>
      <c r="AE17" s="21">
        <f>'Core Loads'!AD$40*Process_exstg_CCF_per_lb_campus+'Core Loads'!AD$60*Htg_exstg_CCF_per_MMBtu_campus+'Core Loads'!AD$80*Clg_exstg_CCF_per_ton_campus</f>
        <v>0</v>
      </c>
      <c r="AF17" s="21">
        <f>'Core Loads'!AE$40*Process_exstg_CCF_per_lb_campus+'Core Loads'!AE$60*Htg_exstg_CCF_per_MMBtu_campus+'Core Loads'!AE$80*Clg_exstg_CCF_per_ton_campus</f>
        <v>0</v>
      </c>
      <c r="AG17" s="21">
        <f>'Core Loads'!AF$40*Process_exstg_CCF_per_lb_campus+'Core Loads'!AF$60*Htg_exstg_CCF_per_MMBtu_campus+'Core Loads'!AF$80*Clg_exstg_CCF_per_ton_campus</f>
        <v>0</v>
      </c>
      <c r="AH17"/>
      <c r="AI17" s="23" t="s">
        <v>293</v>
      </c>
    </row>
    <row r="18" spans="2:35" hidden="1" outlineLevel="1" x14ac:dyDescent="0.25"/>
    <row r="19" spans="2:35" s="1" customFormat="1" ht="17.25" hidden="1" outlineLevel="1" thickBot="1" x14ac:dyDescent="0.3">
      <c r="B19" s="19" t="s">
        <v>280</v>
      </c>
      <c r="C19" s="19"/>
      <c r="D19" s="19"/>
      <c r="E19" s="67"/>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row>
    <row r="20" spans="2:35" s="1" customFormat="1" ht="16.5" hidden="1" outlineLevel="1" thickTop="1" thickBot="1" x14ac:dyDescent="0.3">
      <c r="B20" s="20" t="s">
        <v>292</v>
      </c>
      <c r="C20" s="20" t="s">
        <v>13</v>
      </c>
      <c r="D20" s="20" t="s">
        <v>17</v>
      </c>
      <c r="E20" s="68"/>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t="s">
        <v>15</v>
      </c>
    </row>
    <row r="21" spans="2:35" hidden="1" outlineLevel="1" x14ac:dyDescent="0.25">
      <c r="D21" s="8">
        <f>'Core Loads'!$C$14</f>
        <v>2025</v>
      </c>
      <c r="E21" s="62">
        <f>'Core Loads'!$D$14</f>
        <v>2026</v>
      </c>
      <c r="F21" s="8">
        <f>'Core Loads'!$E$14</f>
        <v>2027</v>
      </c>
      <c r="G21" s="8">
        <f>'Core Loads'!$F$14</f>
        <v>2028</v>
      </c>
      <c r="H21" s="8">
        <f>'Core Loads'!$G$14</f>
        <v>2029</v>
      </c>
      <c r="I21" s="8">
        <f>'Core Loads'!$H$14</f>
        <v>2030</v>
      </c>
      <c r="J21" s="8">
        <f>'Core Loads'!$I$14</f>
        <v>2031</v>
      </c>
      <c r="K21" s="8">
        <f>'Core Loads'!$J$14</f>
        <v>2032</v>
      </c>
      <c r="L21" s="8">
        <f>'Core Loads'!$K$14</f>
        <v>2033</v>
      </c>
      <c r="M21" s="8">
        <f>'Core Loads'!$L$14</f>
        <v>2034</v>
      </c>
      <c r="N21" s="8">
        <f>'Core Loads'!$M$14</f>
        <v>2035</v>
      </c>
      <c r="O21" s="8">
        <f>'Core Loads'!$N$14</f>
        <v>2036</v>
      </c>
      <c r="P21" s="8">
        <f>'Core Loads'!$O$14</f>
        <v>2037</v>
      </c>
      <c r="Q21" s="8">
        <f>'Core Loads'!$P$14</f>
        <v>2038</v>
      </c>
      <c r="R21" s="8">
        <f>'Core Loads'!$Q$14</f>
        <v>2039</v>
      </c>
      <c r="S21" s="8">
        <f>'Core Loads'!$R$14</f>
        <v>2040</v>
      </c>
      <c r="T21" s="8">
        <f>'Core Loads'!$S$14</f>
        <v>2041</v>
      </c>
      <c r="U21" s="8">
        <f>'Core Loads'!$T$14</f>
        <v>2042</v>
      </c>
      <c r="V21" s="8">
        <f>'Core Loads'!$U$14</f>
        <v>2043</v>
      </c>
      <c r="W21" s="8">
        <f>'Core Loads'!$V$14</f>
        <v>2044</v>
      </c>
      <c r="X21" s="8">
        <f>'Core Loads'!$W$14</f>
        <v>2045</v>
      </c>
      <c r="Y21" s="8">
        <f>'Core Loads'!$X$14</f>
        <v>2046</v>
      </c>
      <c r="Z21" s="8">
        <f>'Core Loads'!$Y$14</f>
        <v>2047</v>
      </c>
      <c r="AA21" s="8">
        <f>'Core Loads'!$Z$14</f>
        <v>2048</v>
      </c>
      <c r="AB21" s="8">
        <f>'Core Loads'!$AA$14</f>
        <v>2049</v>
      </c>
      <c r="AC21" s="8">
        <f>'Core Loads'!$AB$14</f>
        <v>2050</v>
      </c>
      <c r="AD21" s="8">
        <f>'Core Loads'!$AC$14</f>
        <v>2051</v>
      </c>
      <c r="AE21" s="8">
        <f>'Core Loads'!$AD$14</f>
        <v>2052</v>
      </c>
      <c r="AF21" s="8">
        <f>'Core Loads'!$AE$14</f>
        <v>2053</v>
      </c>
      <c r="AG21" s="8">
        <f>'Core Loads'!$AF$14</f>
        <v>2054</v>
      </c>
    </row>
    <row r="22" spans="2:35" s="1" customFormat="1" hidden="1" outlineLevel="1" x14ac:dyDescent="0.25">
      <c r="B22" t="s">
        <v>141</v>
      </c>
      <c r="C22" t="s">
        <v>109</v>
      </c>
      <c r="D22" s="21">
        <f>MAX('Core Loads'!C$29*Elec_0_kWh_per_kWh_campus+'Core Loads'!C$49*Process_0_kWh_per_lb_campus+'Core Loads'!C$69*Htg_0_kWh_per_MMBtu_campus+MAX('Core Loads'!C$89-AbsChillerLoad,0)*Clg_0_kWh_per_ton_campus-CogenElecOutputExstg,0)</f>
        <v>0</v>
      </c>
      <c r="E22" s="69">
        <f>MAX('Core Loads'!D$29*Elec_0_kWh_per_kWh_campus+'Core Loads'!D$49*Process_0_kWh_per_lb_campus+'Core Loads'!D$69*Htg_0_kWh_per_MMBtu_campus+MAX('Core Loads'!D$89-AbsChillerLoad,0)*Clg_0_kWh_per_ton_campus-CogenElecOutputExstg,0)</f>
        <v>0</v>
      </c>
      <c r="F22" s="21">
        <f>MAX('Core Loads'!E$29*Elec_0_kWh_per_kWh_campus+'Core Loads'!E$49*Process_0_kWh_per_lb_campus+'Core Loads'!E$69*Htg_0_kWh_per_MMBtu_campus+MAX('Core Loads'!E$89-AbsChillerLoad,0)*Clg_0_kWh_per_ton_campus-CogenElecOutputExstg,0)</f>
        <v>0</v>
      </c>
      <c r="G22" s="21">
        <f>MAX('Core Loads'!F$29*Elec_0_kWh_per_kWh_campus+'Core Loads'!F$49*Process_0_kWh_per_lb_campus+'Core Loads'!F$69*Htg_0_kWh_per_MMBtu_campus+MAX('Core Loads'!F$89-AbsChillerLoad,0)*Clg_0_kWh_per_ton_campus-CogenElecOutputExstg,0)</f>
        <v>0</v>
      </c>
      <c r="H22" s="21">
        <f>MAX('Core Loads'!G$29*Elec_0_kWh_per_kWh_campus+'Core Loads'!G$49*Process_0_kWh_per_lb_campus+'Core Loads'!G$69*Htg_0_kWh_per_MMBtu_campus+MAX('Core Loads'!G$89-AbsChillerLoad,0)*Clg_0_kWh_per_ton_campus-CogenElecOutputExstg,0)</f>
        <v>0</v>
      </c>
      <c r="I22" s="21">
        <f>MAX('Core Loads'!H$29*Elec_0_kWh_per_kWh_campus+'Core Loads'!H$49*Process_0_kWh_per_lb_campus+'Core Loads'!H$69*Htg_0_kWh_per_MMBtu_campus+MAX('Core Loads'!H$89-AbsChillerLoad,0)*Clg_0_kWh_per_ton_campus-CogenElecOutputExstg,0)</f>
        <v>16120936.061962306</v>
      </c>
      <c r="J22" s="21">
        <f>MAX('Core Loads'!I$29*Elec_0_kWh_per_kWh_campus+'Core Loads'!I$49*Process_0_kWh_per_lb_campus+'Core Loads'!I$69*Htg_0_kWh_per_MMBtu_campus+MAX('Core Loads'!I$89-AbsChillerLoad,0)*Clg_0_kWh_per_ton_campus-CogenElecOutputExstg,0)</f>
        <v>16120936.061962306</v>
      </c>
      <c r="K22" s="21">
        <f>MAX('Core Loads'!J$29*Elec_0_kWh_per_kWh_campus+'Core Loads'!J$49*Process_0_kWh_per_lb_campus+'Core Loads'!J$69*Htg_0_kWh_per_MMBtu_campus+MAX('Core Loads'!J$89-AbsChillerLoad,0)*Clg_0_kWh_per_ton_campus-CogenElecOutputExstg,0)</f>
        <v>15369930.189866841</v>
      </c>
      <c r="L22" s="21">
        <f>MAX('Core Loads'!K$29*Elec_0_kWh_per_kWh_campus+'Core Loads'!K$49*Process_0_kWh_per_lb_campus+'Core Loads'!K$69*Htg_0_kWh_per_MMBtu_campus+MAX('Core Loads'!K$89-AbsChillerLoad,0)*Clg_0_kWh_per_ton_campus-CogenElecOutputExstg,0)</f>
        <v>15369930.189866841</v>
      </c>
      <c r="M22" s="21">
        <f>MAX('Core Loads'!L$29*Elec_0_kWh_per_kWh_campus+'Core Loads'!L$49*Process_0_kWh_per_lb_campus+'Core Loads'!L$69*Htg_0_kWh_per_MMBtu_campus+MAX('Core Loads'!L$89-AbsChillerLoad,0)*Clg_0_kWh_per_ton_campus-CogenElecOutputExstg,0)</f>
        <v>15619355.110337764</v>
      </c>
      <c r="N22" s="21">
        <f>MAX('Core Loads'!M$29*Elec_0_kWh_per_kWh_campus+'Core Loads'!M$49*Process_0_kWh_per_lb_campus+'Core Loads'!M$69*Htg_0_kWh_per_MMBtu_campus+MAX('Core Loads'!M$89-AbsChillerLoad,0)*Clg_0_kWh_per_ton_campus-CogenElecOutputExstg,0)</f>
        <v>15619355.110337764</v>
      </c>
      <c r="O22" s="21">
        <f>MAX('Core Loads'!N$29*Elec_0_kWh_per_kWh_campus+'Core Loads'!N$49*Process_0_kWh_per_lb_campus+'Core Loads'!N$69*Htg_0_kWh_per_MMBtu_campus+MAX('Core Loads'!N$89-AbsChillerLoad,0)*Clg_0_kWh_per_ton_campus-CogenElecOutputExstg,0)</f>
        <v>14493235.714921474</v>
      </c>
      <c r="P22" s="21">
        <f>MAX('Core Loads'!O$29*Elec_0_kWh_per_kWh_campus+'Core Loads'!O$49*Process_0_kWh_per_lb_campus+'Core Loads'!O$69*Htg_0_kWh_per_MMBtu_campus+MAX('Core Loads'!O$89-AbsChillerLoad,0)*Clg_0_kWh_per_ton_campus-CogenElecOutputExstg,0)</f>
        <v>14493235.714921474</v>
      </c>
      <c r="Q22" s="21">
        <f>MAX('Core Loads'!P$29*Elec_0_kWh_per_kWh_campus+'Core Loads'!P$49*Process_0_kWh_per_lb_campus+'Core Loads'!P$69*Htg_0_kWh_per_MMBtu_campus+MAX('Core Loads'!P$89-AbsChillerLoad,0)*Clg_0_kWh_per_ton_campus-CogenElecOutputExstg,0)</f>
        <v>14406600.08308357</v>
      </c>
      <c r="R22" s="21">
        <f>MAX('Core Loads'!Q$29*Elec_0_kWh_per_kWh_campus+'Core Loads'!Q$49*Process_0_kWh_per_lb_campus+'Core Loads'!Q$69*Htg_0_kWh_per_MMBtu_campus+MAX('Core Loads'!Q$89-AbsChillerLoad,0)*Clg_0_kWh_per_ton_campus-CogenElecOutputExstg,0)</f>
        <v>14406600.08308357</v>
      </c>
      <c r="S22" s="21">
        <f>MAX('Core Loads'!R$29*Elec_0_kWh_per_kWh_campus+'Core Loads'!R$49*Process_0_kWh_per_lb_campus+'Core Loads'!R$69*Htg_0_kWh_per_MMBtu_campus+MAX('Core Loads'!R$89-AbsChillerLoad,0)*Clg_0_kWh_per_ton_campus-CogenElecOutputExstg,0)</f>
        <v>56453362.99320361</v>
      </c>
      <c r="T22" s="21">
        <f>MAX('Core Loads'!S$29*Elec_0_kWh_per_kWh_campus+'Core Loads'!S$49*Process_0_kWh_per_lb_campus+'Core Loads'!S$69*Htg_0_kWh_per_MMBtu_campus+MAX('Core Loads'!S$89-AbsChillerLoad,0)*Clg_0_kWh_per_ton_campus-CogenElecOutputExstg,0)</f>
        <v>56453362.99320361</v>
      </c>
      <c r="U22" s="21">
        <f>MAX('Core Loads'!T$29*Elec_0_kWh_per_kWh_campus+'Core Loads'!T$49*Process_0_kWh_per_lb_campus+'Core Loads'!T$69*Htg_0_kWh_per_MMBtu_campus+MAX('Core Loads'!T$89-AbsChillerLoad,0)*Clg_0_kWh_per_ton_campus-CogenElecOutputExstg,0)</f>
        <v>56453362.99320361</v>
      </c>
      <c r="V22" s="21">
        <f>MAX('Core Loads'!U$29*Elec_0_kWh_per_kWh_campus+'Core Loads'!U$49*Process_0_kWh_per_lb_campus+'Core Loads'!U$69*Htg_0_kWh_per_MMBtu_campus+MAX('Core Loads'!U$89-AbsChillerLoad,0)*Clg_0_kWh_per_ton_campus-CogenElecOutputExstg,0)</f>
        <v>56453362.99320361</v>
      </c>
      <c r="W22" s="21">
        <f>MAX('Core Loads'!V$29*Elec_0_kWh_per_kWh_campus+'Core Loads'!V$49*Process_0_kWh_per_lb_campus+'Core Loads'!V$69*Htg_0_kWh_per_MMBtu_campus+MAX('Core Loads'!V$89-AbsChillerLoad,0)*Clg_0_kWh_per_ton_campus-CogenElecOutputExstg,0)</f>
        <v>55851163.225441098</v>
      </c>
      <c r="X22" s="21">
        <f>MAX('Core Loads'!W$29*Elec_0_kWh_per_kWh_campus+'Core Loads'!W$49*Process_0_kWh_per_lb_campus+'Core Loads'!W$69*Htg_0_kWh_per_MMBtu_campus+MAX('Core Loads'!W$89-AbsChillerLoad,0)*Clg_0_kWh_per_ton_campus-CogenElecOutputExstg,0)</f>
        <v>55851163.225441098</v>
      </c>
      <c r="Y22" s="21">
        <f>MAX('Core Loads'!X$29*Elec_0_kWh_per_kWh_campus+'Core Loads'!X$49*Process_0_kWh_per_lb_campus+'Core Loads'!X$69*Htg_0_kWh_per_MMBtu_campus+MAX('Core Loads'!X$89-AbsChillerLoad,0)*Clg_0_kWh_per_ton_campus-CogenElecOutputExstg,0)</f>
        <v>55851163.225441098</v>
      </c>
      <c r="Z22" s="21">
        <f>MAX('Core Loads'!Y$29*Elec_0_kWh_per_kWh_campus+'Core Loads'!Y$49*Process_0_kWh_per_lb_campus+'Core Loads'!Y$69*Htg_0_kWh_per_MMBtu_campus+MAX('Core Loads'!Y$89-AbsChillerLoad,0)*Clg_0_kWh_per_ton_campus-CogenElecOutputExstg,0)</f>
        <v>55851163.225441098</v>
      </c>
      <c r="AA22" s="21">
        <f>MAX('Core Loads'!Z$29*Elec_0_kWh_per_kWh_campus+'Core Loads'!Z$49*Process_0_kWh_per_lb_campus+'Core Loads'!Z$69*Htg_0_kWh_per_MMBtu_campus+MAX('Core Loads'!Z$89-AbsChillerLoad,0)*Clg_0_kWh_per_ton_campus-CogenElecOutputExstg,0)</f>
        <v>55851163.225441098</v>
      </c>
      <c r="AB22" s="21">
        <f>MAX('Core Loads'!AA$29*Elec_0_kWh_per_kWh_campus+'Core Loads'!AA$49*Process_0_kWh_per_lb_campus+'Core Loads'!AA$69*Htg_0_kWh_per_MMBtu_campus+MAX('Core Loads'!AA$89-AbsChillerLoad,0)*Clg_0_kWh_per_ton_campus-CogenElecOutputExstg,0)</f>
        <v>55851163.225441098</v>
      </c>
      <c r="AC22" s="21">
        <f>MAX('Core Loads'!AB$29*Elec_0_kWh_per_kWh_campus+'Core Loads'!AB$49*Process_0_kWh_per_lb_campus+'Core Loads'!AB$69*Htg_0_kWh_per_MMBtu_campus+MAX('Core Loads'!AB$89-AbsChillerLoad,0)*Clg_0_kWh_per_ton_campus-CogenElecOutputExstg,0)</f>
        <v>55108147.051527828</v>
      </c>
      <c r="AD22" s="21">
        <f>MAX('Core Loads'!AC$29*Elec_0_kWh_per_kWh_campus+'Core Loads'!AC$49*Process_0_kWh_per_lb_campus+'Core Loads'!AC$69*Htg_0_kWh_per_MMBtu_campus+MAX('Core Loads'!AC$89-AbsChillerLoad,0)*Clg_0_kWh_per_ton_campus-CogenElecOutputExstg,0)</f>
        <v>55108147.051527828</v>
      </c>
      <c r="AE22" s="21">
        <f>MAX('Core Loads'!AD$29*Elec_0_kWh_per_kWh_campus+'Core Loads'!AD$49*Process_0_kWh_per_lb_campus+'Core Loads'!AD$69*Htg_0_kWh_per_MMBtu_campus+MAX('Core Loads'!AD$89-AbsChillerLoad,0)*Clg_0_kWh_per_ton_campus-CogenElecOutputExstg,0)</f>
        <v>55108147.051527828</v>
      </c>
      <c r="AF22" s="21">
        <f>MAX('Core Loads'!AE$29*Elec_0_kWh_per_kWh_campus+'Core Loads'!AE$49*Process_0_kWh_per_lb_campus+'Core Loads'!AE$69*Htg_0_kWh_per_MMBtu_campus+MAX('Core Loads'!AE$89-AbsChillerLoad,0)*Clg_0_kWh_per_ton_campus-CogenElecOutputExstg,0)</f>
        <v>55108147.051527828</v>
      </c>
      <c r="AG22" s="21">
        <f>MAX('Core Loads'!AF$29*Elec_0_kWh_per_kWh_campus+'Core Loads'!AF$49*Process_0_kWh_per_lb_campus+'Core Loads'!AF$69*Htg_0_kWh_per_MMBtu_campus+MAX('Core Loads'!AF$89-AbsChillerLoad,0)*Clg_0_kWh_per_ton_campus-CogenElecOutputExstg,0)</f>
        <v>55108147.051527828</v>
      </c>
      <c r="AH22"/>
      <c r="AI22" s="23" t="s">
        <v>293</v>
      </c>
    </row>
    <row r="23" spans="2:35" s="1" customFormat="1" hidden="1" outlineLevel="1" x14ac:dyDescent="0.25">
      <c r="B23" t="s">
        <v>136</v>
      </c>
      <c r="C23" t="s">
        <v>169</v>
      </c>
      <c r="D23" s="21">
        <f>'Core Loads'!C$49*Process_0_therm_per_lb_campus+'Core Loads'!C$69*Htg_0_therm_per_MMBtu_campus+MIN('Core Loads'!C$89,AbsChillerLoad)*Clg_0_therm_per_ton_campus</f>
        <v>13627747.262534685</v>
      </c>
      <c r="E23" s="69">
        <f>'Core Loads'!D$49*Process_0_therm_per_lb_campus+'Core Loads'!D$69*Htg_0_therm_per_MMBtu_campus+MIN('Core Loads'!D$89,AbsChillerLoad)*Clg_0_therm_per_ton_campus</f>
        <v>13627747.262534685</v>
      </c>
      <c r="F23" s="21">
        <f>'Core Loads'!E$49*Process_0_therm_per_lb_campus+'Core Loads'!E$69*Htg_0_therm_per_MMBtu_campus+MIN('Core Loads'!E$89,AbsChillerLoad)*Clg_0_therm_per_ton_campus</f>
        <v>18811462.791448697</v>
      </c>
      <c r="G23" s="21">
        <f>'Core Loads'!F$49*Process_0_therm_per_lb_campus+'Core Loads'!F$69*Htg_0_therm_per_MMBtu_campus+MIN('Core Loads'!F$89,AbsChillerLoad)*Clg_0_therm_per_ton_campus</f>
        <v>18473435.088187236</v>
      </c>
      <c r="H23" s="21">
        <f>'Core Loads'!G$49*Process_0_therm_per_lb_campus+'Core Loads'!G$69*Htg_0_therm_per_MMBtu_campus+MIN('Core Loads'!G$89,AbsChillerLoad)*Clg_0_therm_per_ton_campus</f>
        <v>18473435.088187236</v>
      </c>
      <c r="I23" s="21">
        <f>'Core Loads'!H$49*Process_0_therm_per_lb_campus+'Core Loads'!H$69*Htg_0_therm_per_MMBtu_campus+MIN('Core Loads'!H$89,AbsChillerLoad)*Clg_0_therm_per_ton_campus</f>
        <v>21090902.522357568</v>
      </c>
      <c r="J23" s="21">
        <f>'Core Loads'!I$49*Process_0_therm_per_lb_campus+'Core Loads'!I$69*Htg_0_therm_per_MMBtu_campus+MIN('Core Loads'!I$89,AbsChillerLoad)*Clg_0_therm_per_ton_campus</f>
        <v>21090902.522357568</v>
      </c>
      <c r="K23" s="21">
        <f>'Core Loads'!J$49*Process_0_therm_per_lb_campus+'Core Loads'!J$69*Htg_0_therm_per_MMBtu_campus+MIN('Core Loads'!J$89,AbsChillerLoad)*Clg_0_therm_per_ton_campus</f>
        <v>20733939.16920644</v>
      </c>
      <c r="L23" s="21">
        <f>'Core Loads'!K$49*Process_0_therm_per_lb_campus+'Core Loads'!K$69*Htg_0_therm_per_MMBtu_campus+MIN('Core Loads'!K$89,AbsChillerLoad)*Clg_0_therm_per_ton_campus</f>
        <v>20733939.16920644</v>
      </c>
      <c r="M23" s="21">
        <f>'Core Loads'!L$49*Process_0_therm_per_lb_campus+'Core Loads'!L$69*Htg_0_therm_per_MMBtu_campus+MIN('Core Loads'!L$89,AbsChillerLoad)*Clg_0_therm_per_ton_campus</f>
        <v>20515133.018525284</v>
      </c>
      <c r="N23" s="21">
        <f>'Core Loads'!M$49*Process_0_therm_per_lb_campus+'Core Loads'!M$69*Htg_0_therm_per_MMBtu_campus+MIN('Core Loads'!M$89,AbsChillerLoad)*Clg_0_therm_per_ton_campus</f>
        <v>20515133.018525284</v>
      </c>
      <c r="O23" s="21">
        <f>'Core Loads'!N$49*Process_0_therm_per_lb_campus+'Core Loads'!N$69*Htg_0_therm_per_MMBtu_campus+MIN('Core Loads'!N$89,AbsChillerLoad)*Clg_0_therm_per_ton_campus</f>
        <v>20165629.343511086</v>
      </c>
      <c r="P23" s="21">
        <f>'Core Loads'!O$49*Process_0_therm_per_lb_campus+'Core Loads'!O$69*Htg_0_therm_per_MMBtu_campus+MIN('Core Loads'!O$89,AbsChillerLoad)*Clg_0_therm_per_ton_campus</f>
        <v>20165629.343511086</v>
      </c>
      <c r="Q23" s="21">
        <f>'Core Loads'!P$49*Process_0_therm_per_lb_campus+'Core Loads'!P$69*Htg_0_therm_per_MMBtu_campus+MIN('Core Loads'!P$89,AbsChillerLoad)*Clg_0_therm_per_ton_campus</f>
        <v>20079479.187881581</v>
      </c>
      <c r="R23" s="21">
        <f>'Core Loads'!Q$49*Process_0_therm_per_lb_campus+'Core Loads'!Q$69*Htg_0_therm_per_MMBtu_campus+MIN('Core Loads'!Q$89,AbsChillerLoad)*Clg_0_therm_per_ton_campus</f>
        <v>20079479.187881581</v>
      </c>
      <c r="S23" s="21">
        <f>'Core Loads'!R$49*Process_0_therm_per_lb_campus+'Core Loads'!R$69*Htg_0_therm_per_MMBtu_campus+MIN('Core Loads'!R$89,AbsChillerLoad)*Clg_0_therm_per_ton_campus</f>
        <v>21078142.05741189</v>
      </c>
      <c r="T23" s="21">
        <f>'Core Loads'!S$49*Process_0_therm_per_lb_campus+'Core Loads'!S$69*Htg_0_therm_per_MMBtu_campus+MIN('Core Loads'!S$89,AbsChillerLoad)*Clg_0_therm_per_ton_campus</f>
        <v>21078142.05741189</v>
      </c>
      <c r="U23" s="21">
        <f>'Core Loads'!T$49*Process_0_therm_per_lb_campus+'Core Loads'!T$69*Htg_0_therm_per_MMBtu_campus+MIN('Core Loads'!T$89,AbsChillerLoad)*Clg_0_therm_per_ton_campus</f>
        <v>21036465.612994228</v>
      </c>
      <c r="V23" s="21">
        <f>'Core Loads'!U$49*Process_0_therm_per_lb_campus+'Core Loads'!U$69*Htg_0_therm_per_MMBtu_campus+MIN('Core Loads'!U$89,AbsChillerLoad)*Clg_0_therm_per_ton_campus</f>
        <v>21036465.612994228</v>
      </c>
      <c r="W23" s="21">
        <f>'Core Loads'!V$49*Process_0_therm_per_lb_campus+'Core Loads'!V$69*Htg_0_therm_per_MMBtu_campus+MIN('Core Loads'!V$89,AbsChillerLoad)*Clg_0_therm_per_ton_campus</f>
        <v>20992982.374243401</v>
      </c>
      <c r="X23" s="21">
        <f>'Core Loads'!W$49*Process_0_therm_per_lb_campus+'Core Loads'!W$69*Htg_0_therm_per_MMBtu_campus+MIN('Core Loads'!W$89,AbsChillerLoad)*Clg_0_therm_per_ton_campus</f>
        <v>20992982.374243401</v>
      </c>
      <c r="Y23" s="21">
        <f>'Core Loads'!X$49*Process_0_therm_per_lb_campus+'Core Loads'!X$69*Htg_0_therm_per_MMBtu_campus+MIN('Core Loads'!X$89,AbsChillerLoad)*Clg_0_therm_per_ton_campus</f>
        <v>20992982.374243401</v>
      </c>
      <c r="Z23" s="21">
        <f>'Core Loads'!Y$49*Process_0_therm_per_lb_campus+'Core Loads'!Y$69*Htg_0_therm_per_MMBtu_campus+MIN('Core Loads'!Y$89,AbsChillerLoad)*Clg_0_therm_per_ton_campus</f>
        <v>20992982.374243401</v>
      </c>
      <c r="AA23" s="21">
        <f>'Core Loads'!Z$49*Process_0_therm_per_lb_campus+'Core Loads'!Z$69*Htg_0_therm_per_MMBtu_campus+MIN('Core Loads'!Z$89,AbsChillerLoad)*Clg_0_therm_per_ton_campus</f>
        <v>20992982.374243401</v>
      </c>
      <c r="AB23" s="21">
        <f>'Core Loads'!AA$49*Process_0_therm_per_lb_campus+'Core Loads'!AA$69*Htg_0_therm_per_MMBtu_campus+MIN('Core Loads'!AA$89,AbsChillerLoad)*Clg_0_therm_per_ton_campus</f>
        <v>20992982.374243401</v>
      </c>
      <c r="AC23" s="21">
        <f>'Core Loads'!AB$49*Process_0_therm_per_lb_campus+'Core Loads'!AB$69*Htg_0_therm_per_MMBtu_campus+MIN('Core Loads'!AB$89,AbsChillerLoad)*Clg_0_therm_per_ton_campus</f>
        <v>20949393.643305462</v>
      </c>
      <c r="AD23" s="21">
        <f>'Core Loads'!AC$49*Process_0_therm_per_lb_campus+'Core Loads'!AC$69*Htg_0_therm_per_MMBtu_campus+MIN('Core Loads'!AC$89,AbsChillerLoad)*Clg_0_therm_per_ton_campus</f>
        <v>20949393.643305462</v>
      </c>
      <c r="AE23" s="21">
        <f>'Core Loads'!AD$49*Process_0_therm_per_lb_campus+'Core Loads'!AD$69*Htg_0_therm_per_MMBtu_campus+MIN('Core Loads'!AD$89,AbsChillerLoad)*Clg_0_therm_per_ton_campus</f>
        <v>20949393.643305462</v>
      </c>
      <c r="AF23" s="21">
        <f>'Core Loads'!AE$49*Process_0_therm_per_lb_campus+'Core Loads'!AE$69*Htg_0_therm_per_MMBtu_campus+MIN('Core Loads'!AE$89,AbsChillerLoad)*Clg_0_therm_per_ton_campus</f>
        <v>20949393.643305462</v>
      </c>
      <c r="AG23" s="21">
        <f>'Core Loads'!AF$49*Process_0_therm_per_lb_campus+'Core Loads'!AF$69*Htg_0_therm_per_MMBtu_campus+MIN('Core Loads'!AF$89,AbsChillerLoad)*Clg_0_therm_per_ton_campus</f>
        <v>20949393.643305462</v>
      </c>
      <c r="AH23"/>
      <c r="AI23" s="23" t="s">
        <v>293</v>
      </c>
    </row>
    <row r="24" spans="2:35" s="1" customFormat="1" hidden="1" outlineLevel="1" x14ac:dyDescent="0.25">
      <c r="B24" t="s">
        <v>154</v>
      </c>
      <c r="C24" t="s">
        <v>170</v>
      </c>
      <c r="D24" s="21">
        <f>'Core Loads'!C$49*Process_0_CCF_per_lb_campus+'Core Loads'!C$69*Htg_0_CCF_per_MMBtu_campus+'Core Loads'!C$89*Clg_0_CCF_per_ton_campus</f>
        <v>91827.643018846808</v>
      </c>
      <c r="E24" s="69">
        <f>'Core Loads'!D$49*Process_0_CCF_per_lb_campus+'Core Loads'!D$69*Htg_0_CCF_per_MMBtu_campus+'Core Loads'!D$89*Clg_0_CCF_per_ton_campus</f>
        <v>91827.643018846808</v>
      </c>
      <c r="F24" s="21">
        <f>'Core Loads'!E$49*Process_0_CCF_per_lb_campus+'Core Loads'!E$69*Htg_0_CCF_per_MMBtu_campus+'Core Loads'!E$89*Clg_0_CCF_per_ton_campus</f>
        <v>161246.69021296984</v>
      </c>
      <c r="G24" s="21">
        <f>'Core Loads'!F$49*Process_0_CCF_per_lb_campus+'Core Loads'!F$69*Htg_0_CCF_per_MMBtu_campus+'Core Loads'!F$89*Clg_0_CCF_per_ton_campus</f>
        <v>176533.60706991926</v>
      </c>
      <c r="H24" s="21">
        <f>'Core Loads'!G$49*Process_0_CCF_per_lb_campus+'Core Loads'!G$69*Htg_0_CCF_per_MMBtu_campus+'Core Loads'!G$89*Clg_0_CCF_per_ton_campus</f>
        <v>176533.60706991926</v>
      </c>
      <c r="I24" s="21">
        <f>'Core Loads'!H$49*Process_0_CCF_per_lb_campus+'Core Loads'!H$69*Htg_0_CCF_per_MMBtu_campus+'Core Loads'!H$89*Clg_0_CCF_per_ton_campus</f>
        <v>250285.50649792945</v>
      </c>
      <c r="J24" s="21">
        <f>'Core Loads'!I$49*Process_0_CCF_per_lb_campus+'Core Loads'!I$69*Htg_0_CCF_per_MMBtu_campus+'Core Loads'!I$89*Clg_0_CCF_per_ton_campus</f>
        <v>250285.50649792945</v>
      </c>
      <c r="K24" s="21">
        <f>'Core Loads'!J$49*Process_0_CCF_per_lb_campus+'Core Loads'!J$69*Htg_0_CCF_per_MMBtu_campus+'Core Loads'!J$89*Clg_0_CCF_per_ton_campus</f>
        <v>260455.06022020319</v>
      </c>
      <c r="L24" s="21">
        <f>'Core Loads'!K$49*Process_0_CCF_per_lb_campus+'Core Loads'!K$69*Htg_0_CCF_per_MMBtu_campus+'Core Loads'!K$89*Clg_0_CCF_per_ton_campus</f>
        <v>260455.06022020319</v>
      </c>
      <c r="M24" s="21">
        <f>'Core Loads'!L$49*Process_0_CCF_per_lb_campus+'Core Loads'!L$69*Htg_0_CCF_per_MMBtu_campus+'Core Loads'!L$89*Clg_0_CCF_per_ton_campus</f>
        <v>262015.96304573605</v>
      </c>
      <c r="N24" s="21">
        <f>'Core Loads'!M$49*Process_0_CCF_per_lb_campus+'Core Loads'!M$69*Htg_0_CCF_per_MMBtu_campus+'Core Loads'!M$89*Clg_0_CCF_per_ton_campus</f>
        <v>262015.96304573605</v>
      </c>
      <c r="O24" s="21">
        <f>'Core Loads'!N$49*Process_0_CCF_per_lb_campus+'Core Loads'!N$69*Htg_0_CCF_per_MMBtu_campus+'Core Loads'!N$89*Clg_0_CCF_per_ton_campus</f>
        <v>258895.12716426712</v>
      </c>
      <c r="P24" s="21">
        <f>'Core Loads'!O$49*Process_0_CCF_per_lb_campus+'Core Loads'!O$69*Htg_0_CCF_per_MMBtu_campus+'Core Loads'!O$89*Clg_0_CCF_per_ton_campus</f>
        <v>258895.12716426712</v>
      </c>
      <c r="Q24" s="21">
        <f>'Core Loads'!P$49*Process_0_CCF_per_lb_campus+'Core Loads'!P$69*Htg_0_CCF_per_MMBtu_campus+'Core Loads'!P$89*Clg_0_CCF_per_ton_campus</f>
        <v>258186.918357205</v>
      </c>
      <c r="R24" s="21">
        <f>'Core Loads'!Q$49*Process_0_CCF_per_lb_campus+'Core Loads'!Q$69*Htg_0_CCF_per_MMBtu_campus+'Core Loads'!Q$89*Clg_0_CCF_per_ton_campus</f>
        <v>258186.918357205</v>
      </c>
      <c r="S24" s="21">
        <f>'Core Loads'!R$49*Process_0_CCF_per_lb_campus+'Core Loads'!R$69*Htg_0_CCF_per_MMBtu_campus+'Core Loads'!R$89*Clg_0_CCF_per_ton_campus</f>
        <v>292697.91370478703</v>
      </c>
      <c r="T24" s="21">
        <f>'Core Loads'!S$49*Process_0_CCF_per_lb_campus+'Core Loads'!S$69*Htg_0_CCF_per_MMBtu_campus+'Core Loads'!S$89*Clg_0_CCF_per_ton_campus</f>
        <v>292697.91370478703</v>
      </c>
      <c r="U24" s="21">
        <f>'Core Loads'!T$49*Process_0_CCF_per_lb_campus+'Core Loads'!T$69*Htg_0_CCF_per_MMBtu_campus+'Core Loads'!T$89*Clg_0_CCF_per_ton_campus</f>
        <v>292485.95395244943</v>
      </c>
      <c r="V24" s="21">
        <f>'Core Loads'!U$49*Process_0_CCF_per_lb_campus+'Core Loads'!U$69*Htg_0_CCF_per_MMBtu_campus+'Core Loads'!U$89*Clg_0_CCF_per_ton_campus</f>
        <v>292485.95395244943</v>
      </c>
      <c r="W24" s="21">
        <f>'Core Loads'!V$49*Process_0_CCF_per_lb_campus+'Core Loads'!V$69*Htg_0_CCF_per_MMBtu_campus+'Core Loads'!V$89*Clg_0_CCF_per_ton_campus</f>
        <v>291756.69440303242</v>
      </c>
      <c r="X24" s="21">
        <f>'Core Loads'!W$49*Process_0_CCF_per_lb_campus+'Core Loads'!W$69*Htg_0_CCF_per_MMBtu_campus+'Core Loads'!W$89*Clg_0_CCF_per_ton_campus</f>
        <v>291756.69440303242</v>
      </c>
      <c r="Y24" s="21">
        <f>'Core Loads'!X$49*Process_0_CCF_per_lb_campus+'Core Loads'!X$69*Htg_0_CCF_per_MMBtu_campus+'Core Loads'!X$89*Clg_0_CCF_per_ton_campus</f>
        <v>291756.69440303242</v>
      </c>
      <c r="Z24" s="21">
        <f>'Core Loads'!Y$49*Process_0_CCF_per_lb_campus+'Core Loads'!Y$69*Htg_0_CCF_per_MMBtu_campus+'Core Loads'!Y$89*Clg_0_CCF_per_ton_campus</f>
        <v>291756.69440303242</v>
      </c>
      <c r="AA24" s="21">
        <f>'Core Loads'!Z$49*Process_0_CCF_per_lb_campus+'Core Loads'!Z$69*Htg_0_CCF_per_MMBtu_campus+'Core Loads'!Z$89*Clg_0_CCF_per_ton_campus</f>
        <v>291756.69440303242</v>
      </c>
      <c r="AB24" s="21">
        <f>'Core Loads'!AA$49*Process_0_CCF_per_lb_campus+'Core Loads'!AA$69*Htg_0_CCF_per_MMBtu_campus+'Core Loads'!AA$89*Clg_0_CCF_per_ton_campus</f>
        <v>291756.69440303242</v>
      </c>
      <c r="AC24" s="21">
        <f>'Core Loads'!AB$49*Process_0_CCF_per_lb_campus+'Core Loads'!AB$69*Htg_0_CCF_per_MMBtu_campus+'Core Loads'!AB$89*Clg_0_CCF_per_ton_campus</f>
        <v>290846.81169120385</v>
      </c>
      <c r="AD24" s="21">
        <f>'Core Loads'!AC$49*Process_0_CCF_per_lb_campus+'Core Loads'!AC$69*Htg_0_CCF_per_MMBtu_campus+'Core Loads'!AC$89*Clg_0_CCF_per_ton_campus</f>
        <v>290846.81169120385</v>
      </c>
      <c r="AE24" s="21">
        <f>'Core Loads'!AD$49*Process_0_CCF_per_lb_campus+'Core Loads'!AD$69*Htg_0_CCF_per_MMBtu_campus+'Core Loads'!AD$89*Clg_0_CCF_per_ton_campus</f>
        <v>290846.81169120385</v>
      </c>
      <c r="AF24" s="21">
        <f>'Core Loads'!AE$49*Process_0_CCF_per_lb_campus+'Core Loads'!AE$69*Htg_0_CCF_per_MMBtu_campus+'Core Loads'!AE$89*Clg_0_CCF_per_ton_campus</f>
        <v>290846.81169120385</v>
      </c>
      <c r="AG24" s="21">
        <f>'Core Loads'!AF$49*Process_0_CCF_per_lb_campus+'Core Loads'!AF$69*Htg_0_CCF_per_MMBtu_campus+'Core Loads'!AF$89*Clg_0_CCF_per_ton_campus</f>
        <v>290846.81169120385</v>
      </c>
      <c r="AH24"/>
      <c r="AI24" s="23" t="s">
        <v>293</v>
      </c>
    </row>
    <row r="25" spans="2:35" ht="15.75" collapsed="1" thickTop="1" x14ac:dyDescent="0.25"/>
    <row r="27" spans="2:35" s="1" customFormat="1" ht="20.25" thickBot="1" x14ac:dyDescent="0.35">
      <c r="B27" s="18" t="s">
        <v>294</v>
      </c>
      <c r="C27" s="18"/>
      <c r="D27" s="18"/>
      <c r="E27" s="25"/>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row>
    <row r="28" spans="2:35" s="1" customFormat="1" ht="18" hidden="1" outlineLevel="1" thickTop="1" thickBot="1" x14ac:dyDescent="0.3">
      <c r="B28" s="19" t="s">
        <v>278</v>
      </c>
      <c r="C28" s="19"/>
      <c r="D28" s="19"/>
      <c r="E28" s="67"/>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row>
    <row r="29" spans="2:35" s="1" customFormat="1" ht="16.5" hidden="1" outlineLevel="1" thickTop="1" thickBot="1" x14ac:dyDescent="0.3">
      <c r="B29" s="20" t="s">
        <v>292</v>
      </c>
      <c r="C29" s="20" t="s">
        <v>13</v>
      </c>
      <c r="D29" s="20" t="s">
        <v>17</v>
      </c>
      <c r="E29" s="68"/>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t="s">
        <v>15</v>
      </c>
    </row>
    <row r="30" spans="2:35" hidden="1" outlineLevel="1" x14ac:dyDescent="0.25">
      <c r="D30" s="8">
        <f>'Core Loads'!$C$14</f>
        <v>2025</v>
      </c>
      <c r="E30" s="62">
        <f>'Core Loads'!$D$14</f>
        <v>2026</v>
      </c>
      <c r="F30" s="8">
        <f>'Core Loads'!$E$14</f>
        <v>2027</v>
      </c>
      <c r="G30" s="8">
        <f>'Core Loads'!$F$14</f>
        <v>2028</v>
      </c>
      <c r="H30" s="8">
        <f>'Core Loads'!$G$14</f>
        <v>2029</v>
      </c>
      <c r="I30" s="8">
        <f>'Core Loads'!$H$14</f>
        <v>2030</v>
      </c>
      <c r="J30" s="8">
        <f>'Core Loads'!$I$14</f>
        <v>2031</v>
      </c>
      <c r="K30" s="8">
        <f>'Core Loads'!$J$14</f>
        <v>2032</v>
      </c>
      <c r="L30" s="8">
        <f>'Core Loads'!$K$14</f>
        <v>2033</v>
      </c>
      <c r="M30" s="8">
        <f>'Core Loads'!$L$14</f>
        <v>2034</v>
      </c>
      <c r="N30" s="8">
        <f>'Core Loads'!$M$14</f>
        <v>2035</v>
      </c>
      <c r="O30" s="8">
        <f>'Core Loads'!$N$14</f>
        <v>2036</v>
      </c>
      <c r="P30" s="8">
        <f>'Core Loads'!$O$14</f>
        <v>2037</v>
      </c>
      <c r="Q30" s="8">
        <f>'Core Loads'!$P$14</f>
        <v>2038</v>
      </c>
      <c r="R30" s="8">
        <f>'Core Loads'!$Q$14</f>
        <v>2039</v>
      </c>
      <c r="S30" s="8">
        <f>'Core Loads'!$R$14</f>
        <v>2040</v>
      </c>
      <c r="T30" s="8">
        <f>'Core Loads'!$S$14</f>
        <v>2041</v>
      </c>
      <c r="U30" s="8">
        <f>'Core Loads'!$T$14</f>
        <v>2042</v>
      </c>
      <c r="V30" s="8">
        <f>'Core Loads'!$U$14</f>
        <v>2043</v>
      </c>
      <c r="W30" s="8">
        <f>'Core Loads'!$V$14</f>
        <v>2044</v>
      </c>
      <c r="X30" s="8">
        <f>'Core Loads'!$W$14</f>
        <v>2045</v>
      </c>
      <c r="Y30" s="8">
        <f>'Core Loads'!$X$14</f>
        <v>2046</v>
      </c>
      <c r="Z30" s="8">
        <f>'Core Loads'!$Y$14</f>
        <v>2047</v>
      </c>
      <c r="AA30" s="8">
        <f>'Core Loads'!$Z$14</f>
        <v>2048</v>
      </c>
      <c r="AB30" s="8">
        <f>'Core Loads'!$AA$14</f>
        <v>2049</v>
      </c>
      <c r="AC30" s="8">
        <f>'Core Loads'!$AB$14</f>
        <v>2050</v>
      </c>
      <c r="AD30" s="8">
        <f>'Core Loads'!$AC$14</f>
        <v>2051</v>
      </c>
      <c r="AE30" s="8">
        <f>'Core Loads'!$AD$14</f>
        <v>2052</v>
      </c>
      <c r="AF30" s="8">
        <f>'Core Loads'!$AE$14</f>
        <v>2053</v>
      </c>
      <c r="AG30" s="8">
        <f>'Core Loads'!$AF$14</f>
        <v>2054</v>
      </c>
    </row>
    <row r="31" spans="2:35" s="1" customFormat="1" hidden="1" outlineLevel="1" x14ac:dyDescent="0.25">
      <c r="B31" t="s">
        <v>141</v>
      </c>
      <c r="C31" t="s">
        <v>109</v>
      </c>
      <c r="D31" s="21">
        <f>MAX('Core Loads'!C$102*Elec_exstg_kWh_per_kWh_campus+'Core Loads'!C$122*Process_exstg_kWh_per_lb_campus+'Core Loads'!C$142*Htg_exstg_kWh_per_MMBtu_campus+MAX('Core Loads'!C$162-AbsChillerLoad,0)*Clg_exstg_kWh_per_ton_campus-CogenElecOutputExstg,0)</f>
        <v>0</v>
      </c>
      <c r="E31" s="69">
        <f>MAX('Core Loads'!D$102*Elec_exstg_kWh_per_kWh_campus+'Core Loads'!D$122*Process_exstg_kWh_per_lb_campus+'Core Loads'!D$142*Htg_exstg_kWh_per_MMBtu_campus+MAX('Core Loads'!D$162-AbsChillerLoad,0)*Clg_exstg_kWh_per_ton_campus-CogenElecOutputExstg,0)</f>
        <v>0</v>
      </c>
      <c r="F31" s="21">
        <f>MAX('Core Loads'!E$102*Elec_exstg_kWh_per_kWh_campus+'Core Loads'!E$122*Process_exstg_kWh_per_lb_campus+'Core Loads'!E$142*Htg_exstg_kWh_per_MMBtu_campus+MAX('Core Loads'!E$162-AbsChillerLoad,0)*Clg_exstg_kWh_per_ton_campus-CogenElecOutputExstg,0)</f>
        <v>0</v>
      </c>
      <c r="G31" s="21">
        <f>MAX('Core Loads'!F$102*Elec_exstg_kWh_per_kWh_campus+'Core Loads'!F$122*Process_exstg_kWh_per_lb_campus+'Core Loads'!F$142*Htg_exstg_kWh_per_MMBtu_campus+MAX('Core Loads'!F$162-AbsChillerLoad,0)*Clg_exstg_kWh_per_ton_campus-CogenElecOutputExstg,0)</f>
        <v>0</v>
      </c>
      <c r="H31" s="21">
        <f>MAX('Core Loads'!G$102*Elec_exstg_kWh_per_kWh_campus+'Core Loads'!G$122*Process_exstg_kWh_per_lb_campus+'Core Loads'!G$142*Htg_exstg_kWh_per_MMBtu_campus+MAX('Core Loads'!G$162-AbsChillerLoad,0)*Clg_exstg_kWh_per_ton_campus-CogenElecOutputExstg,0)</f>
        <v>0</v>
      </c>
      <c r="I31" s="21">
        <f>MAX('Core Loads'!H$102*Elec_exstg_kWh_per_kWh_campus+'Core Loads'!H$122*Process_exstg_kWh_per_lb_campus+'Core Loads'!H$142*Htg_exstg_kWh_per_MMBtu_campus+MAX('Core Loads'!H$162-AbsChillerLoad,0)*Clg_exstg_kWh_per_ton_campus-CogenElecOutputExstg,0)</f>
        <v>0</v>
      </c>
      <c r="J31" s="21">
        <f>MAX('Core Loads'!I$102*Elec_exstg_kWh_per_kWh_campus+'Core Loads'!I$122*Process_exstg_kWh_per_lb_campus+'Core Loads'!I$142*Htg_exstg_kWh_per_MMBtu_campus+MAX('Core Loads'!I$162-AbsChillerLoad,0)*Clg_exstg_kWh_per_ton_campus-CogenElecOutputExstg,0)</f>
        <v>0</v>
      </c>
      <c r="K31" s="21">
        <f>MAX('Core Loads'!J$102*Elec_exstg_kWh_per_kWh_campus+'Core Loads'!J$122*Process_exstg_kWh_per_lb_campus+'Core Loads'!J$142*Htg_exstg_kWh_per_MMBtu_campus+MAX('Core Loads'!J$162-AbsChillerLoad,0)*Clg_exstg_kWh_per_ton_campus-CogenElecOutputExstg,0)</f>
        <v>0</v>
      </c>
      <c r="L31" s="21">
        <f>MAX('Core Loads'!K$102*Elec_exstg_kWh_per_kWh_campus+'Core Loads'!K$122*Process_exstg_kWh_per_lb_campus+'Core Loads'!K$142*Htg_exstg_kWh_per_MMBtu_campus+MAX('Core Loads'!K$162-AbsChillerLoad,0)*Clg_exstg_kWh_per_ton_campus-CogenElecOutputExstg,0)</f>
        <v>0</v>
      </c>
      <c r="M31" s="21">
        <f>MAX('Core Loads'!L$102*Elec_exstg_kWh_per_kWh_campus+'Core Loads'!L$122*Process_exstg_kWh_per_lb_campus+'Core Loads'!L$142*Htg_exstg_kWh_per_MMBtu_campus+MAX('Core Loads'!L$162-AbsChillerLoad,0)*Clg_exstg_kWh_per_ton_campus-CogenElecOutputExstg,0)</f>
        <v>0</v>
      </c>
      <c r="N31" s="21">
        <f>MAX('Core Loads'!M$102*Elec_exstg_kWh_per_kWh_campus+'Core Loads'!M$122*Process_exstg_kWh_per_lb_campus+'Core Loads'!M$142*Htg_exstg_kWh_per_MMBtu_campus+MAX('Core Loads'!M$162-AbsChillerLoad,0)*Clg_exstg_kWh_per_ton_campus-CogenElecOutputExstg,0)</f>
        <v>0</v>
      </c>
      <c r="O31" s="21">
        <f>MAX('Core Loads'!N$102*Elec_exstg_kWh_per_kWh_campus+'Core Loads'!N$122*Process_exstg_kWh_per_lb_campus+'Core Loads'!N$142*Htg_exstg_kWh_per_MMBtu_campus+MAX('Core Loads'!N$162-AbsChillerLoad,0)*Clg_exstg_kWh_per_ton_campus-CogenElecOutputExstg,0)</f>
        <v>0</v>
      </c>
      <c r="P31" s="21">
        <f>MAX('Core Loads'!O$102*Elec_exstg_kWh_per_kWh_campus+'Core Loads'!O$122*Process_exstg_kWh_per_lb_campus+'Core Loads'!O$142*Htg_exstg_kWh_per_MMBtu_campus+MAX('Core Loads'!O$162-AbsChillerLoad,0)*Clg_exstg_kWh_per_ton_campus-CogenElecOutputExstg,0)</f>
        <v>0</v>
      </c>
      <c r="Q31" s="21">
        <f>MAX('Core Loads'!P$102*Elec_exstg_kWh_per_kWh_campus+'Core Loads'!P$122*Process_exstg_kWh_per_lb_campus+'Core Loads'!P$142*Htg_exstg_kWh_per_MMBtu_campus+MAX('Core Loads'!P$162-AbsChillerLoad,0)*Clg_exstg_kWh_per_ton_campus-CogenElecOutputExstg,0)</f>
        <v>0</v>
      </c>
      <c r="R31" s="21">
        <f>MAX('Core Loads'!Q$102*Elec_exstg_kWh_per_kWh_campus+'Core Loads'!Q$122*Process_exstg_kWh_per_lb_campus+'Core Loads'!Q$142*Htg_exstg_kWh_per_MMBtu_campus+MAX('Core Loads'!Q$162-AbsChillerLoad,0)*Clg_exstg_kWh_per_ton_campus-CogenElecOutputExstg,0)</f>
        <v>0</v>
      </c>
      <c r="S31" s="21">
        <f>MAX('Core Loads'!R$102*Elec_exstg_kWh_per_kWh_campus+'Core Loads'!R$122*Process_exstg_kWh_per_lb_campus+'Core Loads'!R$142*Htg_exstg_kWh_per_MMBtu_campus+MAX('Core Loads'!R$162-AbsChillerLoad,0)*Clg_exstg_kWh_per_ton_campus-CogenElecOutputExstg,0)</f>
        <v>0</v>
      </c>
      <c r="T31" s="21">
        <f>MAX('Core Loads'!S$102*Elec_exstg_kWh_per_kWh_campus+'Core Loads'!S$122*Process_exstg_kWh_per_lb_campus+'Core Loads'!S$142*Htg_exstg_kWh_per_MMBtu_campus+MAX('Core Loads'!S$162-AbsChillerLoad,0)*Clg_exstg_kWh_per_ton_campus-CogenElecOutputExstg,0)</f>
        <v>0</v>
      </c>
      <c r="U31" s="21">
        <f>MAX('Core Loads'!T$102*Elec_exstg_kWh_per_kWh_campus+'Core Loads'!T$122*Process_exstg_kWh_per_lb_campus+'Core Loads'!T$142*Htg_exstg_kWh_per_MMBtu_campus+MAX('Core Loads'!T$162-AbsChillerLoad,0)*Clg_exstg_kWh_per_ton_campus-CogenElecOutputExstg,0)</f>
        <v>0</v>
      </c>
      <c r="V31" s="21">
        <f>MAX('Core Loads'!U$102*Elec_exstg_kWh_per_kWh_campus+'Core Loads'!U$122*Process_exstg_kWh_per_lb_campus+'Core Loads'!U$142*Htg_exstg_kWh_per_MMBtu_campus+MAX('Core Loads'!U$162-AbsChillerLoad,0)*Clg_exstg_kWh_per_ton_campus-CogenElecOutputExstg,0)</f>
        <v>0</v>
      </c>
      <c r="W31" s="21">
        <f>MAX('Core Loads'!V$102*Elec_exstg_kWh_per_kWh_campus+'Core Loads'!V$122*Process_exstg_kWh_per_lb_campus+'Core Loads'!V$142*Htg_exstg_kWh_per_MMBtu_campus+MAX('Core Loads'!V$162-AbsChillerLoad,0)*Clg_exstg_kWh_per_ton_campus-CogenElecOutputExstg,0)</f>
        <v>0</v>
      </c>
      <c r="X31" s="21">
        <f>MAX('Core Loads'!W$102*Elec_exstg_kWh_per_kWh_campus+'Core Loads'!W$122*Process_exstg_kWh_per_lb_campus+'Core Loads'!W$142*Htg_exstg_kWh_per_MMBtu_campus+MAX('Core Loads'!W$162-AbsChillerLoad,0)*Clg_exstg_kWh_per_ton_campus-CogenElecOutputExstg,0)</f>
        <v>0</v>
      </c>
      <c r="Y31" s="21">
        <f>MAX('Core Loads'!X$102*Elec_exstg_kWh_per_kWh_campus+'Core Loads'!X$122*Process_exstg_kWh_per_lb_campus+'Core Loads'!X$142*Htg_exstg_kWh_per_MMBtu_campus+MAX('Core Loads'!X$162-AbsChillerLoad,0)*Clg_exstg_kWh_per_ton_campus-CogenElecOutputExstg,0)</f>
        <v>0</v>
      </c>
      <c r="Z31" s="21">
        <f>MAX('Core Loads'!Y$102*Elec_exstg_kWh_per_kWh_campus+'Core Loads'!Y$122*Process_exstg_kWh_per_lb_campus+'Core Loads'!Y$142*Htg_exstg_kWh_per_MMBtu_campus+MAX('Core Loads'!Y$162-AbsChillerLoad,0)*Clg_exstg_kWh_per_ton_campus-CogenElecOutputExstg,0)</f>
        <v>0</v>
      </c>
      <c r="AA31" s="21">
        <f>MAX('Core Loads'!Z$102*Elec_exstg_kWh_per_kWh_campus+'Core Loads'!Z$122*Process_exstg_kWh_per_lb_campus+'Core Loads'!Z$142*Htg_exstg_kWh_per_MMBtu_campus+MAX('Core Loads'!Z$162-AbsChillerLoad,0)*Clg_exstg_kWh_per_ton_campus-CogenElecOutputExstg,0)</f>
        <v>0</v>
      </c>
      <c r="AB31" s="21">
        <f>MAX('Core Loads'!AA$102*Elec_exstg_kWh_per_kWh_campus+'Core Loads'!AA$122*Process_exstg_kWh_per_lb_campus+'Core Loads'!AA$142*Htg_exstg_kWh_per_MMBtu_campus+MAX('Core Loads'!AA$162-AbsChillerLoad,0)*Clg_exstg_kWh_per_ton_campus-CogenElecOutputExstg,0)</f>
        <v>0</v>
      </c>
      <c r="AC31" s="21">
        <f>MAX('Core Loads'!AB$102*Elec_exstg_kWh_per_kWh_campus+'Core Loads'!AB$122*Process_exstg_kWh_per_lb_campus+'Core Loads'!AB$142*Htg_exstg_kWh_per_MMBtu_campus+MAX('Core Loads'!AB$162-AbsChillerLoad,0)*Clg_exstg_kWh_per_ton_campus-CogenElecOutputExstg,0)</f>
        <v>0</v>
      </c>
      <c r="AD31" s="21">
        <f>MAX('Core Loads'!AC$102*Elec_exstg_kWh_per_kWh_campus+'Core Loads'!AC$122*Process_exstg_kWh_per_lb_campus+'Core Loads'!AC$142*Htg_exstg_kWh_per_MMBtu_campus+MAX('Core Loads'!AC$162-AbsChillerLoad,0)*Clg_exstg_kWh_per_ton_campus-CogenElecOutputExstg,0)</f>
        <v>0</v>
      </c>
      <c r="AE31" s="21">
        <f>MAX('Core Loads'!AD$102*Elec_exstg_kWh_per_kWh_campus+'Core Loads'!AD$122*Process_exstg_kWh_per_lb_campus+'Core Loads'!AD$142*Htg_exstg_kWh_per_MMBtu_campus+MAX('Core Loads'!AD$162-AbsChillerLoad,0)*Clg_exstg_kWh_per_ton_campus-CogenElecOutputExstg,0)</f>
        <v>0</v>
      </c>
      <c r="AF31" s="21">
        <f>MAX('Core Loads'!AE$102*Elec_exstg_kWh_per_kWh_campus+'Core Loads'!AE$122*Process_exstg_kWh_per_lb_campus+'Core Loads'!AE$142*Htg_exstg_kWh_per_MMBtu_campus+MAX('Core Loads'!AE$162-AbsChillerLoad,0)*Clg_exstg_kWh_per_ton_campus-CogenElecOutputExstg,0)</f>
        <v>0</v>
      </c>
      <c r="AG31" s="21">
        <f>MAX('Core Loads'!AF$102*Elec_exstg_kWh_per_kWh_campus+'Core Loads'!AF$122*Process_exstg_kWh_per_lb_campus+'Core Loads'!AF$142*Htg_exstg_kWh_per_MMBtu_campus+MAX('Core Loads'!AF$162-AbsChillerLoad,0)*Clg_exstg_kWh_per_ton_campus-CogenElecOutputExstg,0)</f>
        <v>0</v>
      </c>
      <c r="AH31"/>
      <c r="AI31" s="23" t="s">
        <v>293</v>
      </c>
    </row>
    <row r="32" spans="2:35" s="1" customFormat="1" hidden="1" outlineLevel="1" x14ac:dyDescent="0.25">
      <c r="B32" t="s">
        <v>136</v>
      </c>
      <c r="C32" t="s">
        <v>169</v>
      </c>
      <c r="D32" s="21">
        <f>'Core Loads'!C$122*Process_exstg_therm_per_lb_campus+'Core Loads'!C$142*Htg_exstg_therm_per_MMBtu_campus+MIN('Core Loads'!C$162,AbsChillerLoad)*Clg_exstg_therm_per_ton_campus</f>
        <v>28820560.60629487</v>
      </c>
      <c r="E32" s="69">
        <f>'Core Loads'!D$122*Process_exstg_therm_per_lb_campus+'Core Loads'!D$142*Htg_exstg_therm_per_MMBtu_campus+MIN('Core Loads'!D$162,AbsChillerLoad)*Clg_exstg_therm_per_ton_campus</f>
        <v>28820560.60629487</v>
      </c>
      <c r="F32" s="21">
        <f>'Core Loads'!E$122*Process_exstg_therm_per_lb_campus+'Core Loads'!E$142*Htg_exstg_therm_per_MMBtu_campus+MIN('Core Loads'!E$162,AbsChillerLoad)*Clg_exstg_therm_per_ton_campus</f>
        <v>28820560.60629487</v>
      </c>
      <c r="G32" s="21">
        <f>'Core Loads'!F$122*Process_exstg_therm_per_lb_campus+'Core Loads'!F$142*Htg_exstg_therm_per_MMBtu_campus+MIN('Core Loads'!F$162,AbsChillerLoad)*Clg_exstg_therm_per_ton_campus</f>
        <v>28545341.288089495</v>
      </c>
      <c r="H32" s="21">
        <f>'Core Loads'!G$122*Process_exstg_therm_per_lb_campus+'Core Loads'!G$142*Htg_exstg_therm_per_MMBtu_campus+MIN('Core Loads'!G$162,AbsChillerLoad)*Clg_exstg_therm_per_ton_campus</f>
        <v>28545341.288089495</v>
      </c>
      <c r="I32" s="21">
        <f>'Core Loads'!H$122*Process_exstg_therm_per_lb_campus+'Core Loads'!H$142*Htg_exstg_therm_per_MMBtu_campus+MIN('Core Loads'!H$162,AbsChillerLoad)*Clg_exstg_therm_per_ton_campus</f>
        <v>21374251.397505261</v>
      </c>
      <c r="J32" s="21">
        <f>'Core Loads'!I$122*Process_exstg_therm_per_lb_campus+'Core Loads'!I$142*Htg_exstg_therm_per_MMBtu_campus+MIN('Core Loads'!I$162,AbsChillerLoad)*Clg_exstg_therm_per_ton_campus</f>
        <v>21374251.397505261</v>
      </c>
      <c r="K32" s="21">
        <f>'Core Loads'!J$122*Process_exstg_therm_per_lb_campus+'Core Loads'!J$142*Htg_exstg_therm_per_MMBtu_campus+MIN('Core Loads'!J$162,AbsChillerLoad)*Clg_exstg_therm_per_ton_campus</f>
        <v>20706876.478281714</v>
      </c>
      <c r="L32" s="21">
        <f>'Core Loads'!K$122*Process_exstg_therm_per_lb_campus+'Core Loads'!K$142*Htg_exstg_therm_per_MMBtu_campus+MIN('Core Loads'!K$162,AbsChillerLoad)*Clg_exstg_therm_per_ton_campus</f>
        <v>20706876.478281714</v>
      </c>
      <c r="M32" s="21">
        <f>'Core Loads'!L$122*Process_exstg_therm_per_lb_campus+'Core Loads'!L$142*Htg_exstg_therm_per_MMBtu_campus+MIN('Core Loads'!L$162,AbsChillerLoad)*Clg_exstg_therm_per_ton_campus</f>
        <v>20396339.270965789</v>
      </c>
      <c r="N32" s="21">
        <f>'Core Loads'!M$122*Process_exstg_therm_per_lb_campus+'Core Loads'!M$142*Htg_exstg_therm_per_MMBtu_campus+MIN('Core Loads'!M$162,AbsChillerLoad)*Clg_exstg_therm_per_ton_campus</f>
        <v>16670601.866040172</v>
      </c>
      <c r="O32" s="21">
        <f>'Core Loads'!N$122*Process_exstg_therm_per_lb_campus+'Core Loads'!N$142*Htg_exstg_therm_per_MMBtu_campus+MIN('Core Loads'!N$162,AbsChillerLoad)*Clg_exstg_therm_per_ton_campus</f>
        <v>16331380.62114461</v>
      </c>
      <c r="P32" s="21">
        <f>'Core Loads'!O$122*Process_exstg_therm_per_lb_campus+'Core Loads'!O$142*Htg_exstg_therm_per_MMBtu_campus+MIN('Core Loads'!O$162,AbsChillerLoad)*Clg_exstg_therm_per_ton_campus</f>
        <v>16331380.62114461</v>
      </c>
      <c r="Q32" s="21">
        <f>'Core Loads'!P$122*Process_exstg_therm_per_lb_campus+'Core Loads'!P$142*Htg_exstg_therm_per_MMBtu_campus+MIN('Core Loads'!P$162,AbsChillerLoad)*Clg_exstg_therm_per_ton_campus</f>
        <v>16248856.769805884</v>
      </c>
      <c r="R32" s="21">
        <f>'Core Loads'!Q$122*Process_exstg_therm_per_lb_campus+'Core Loads'!Q$142*Htg_exstg_therm_per_MMBtu_campus+MIN('Core Loads'!Q$162,AbsChillerLoad)*Clg_exstg_therm_per_ton_campus</f>
        <v>0</v>
      </c>
      <c r="S32" s="21">
        <f>'Core Loads'!R$122*Process_exstg_therm_per_lb_campus+'Core Loads'!R$142*Htg_exstg_therm_per_MMBtu_campus+MIN('Core Loads'!R$162,AbsChillerLoad)*Clg_exstg_therm_per_ton_campus</f>
        <v>0</v>
      </c>
      <c r="T32" s="21">
        <f>'Core Loads'!S$122*Process_exstg_therm_per_lb_campus+'Core Loads'!S$142*Htg_exstg_therm_per_MMBtu_campus+MIN('Core Loads'!S$162,AbsChillerLoad)*Clg_exstg_therm_per_ton_campus</f>
        <v>0</v>
      </c>
      <c r="U32" s="21">
        <f>'Core Loads'!T$122*Process_exstg_therm_per_lb_campus+'Core Loads'!T$142*Htg_exstg_therm_per_MMBtu_campus+MIN('Core Loads'!T$162,AbsChillerLoad)*Clg_exstg_therm_per_ton_campus</f>
        <v>0</v>
      </c>
      <c r="V32" s="21">
        <f>'Core Loads'!U$122*Process_exstg_therm_per_lb_campus+'Core Loads'!U$142*Htg_exstg_therm_per_MMBtu_campus+MIN('Core Loads'!U$162,AbsChillerLoad)*Clg_exstg_therm_per_ton_campus</f>
        <v>0</v>
      </c>
      <c r="W32" s="21">
        <f>'Core Loads'!V$122*Process_exstg_therm_per_lb_campus+'Core Loads'!V$142*Htg_exstg_therm_per_MMBtu_campus+MIN('Core Loads'!V$162,AbsChillerLoad)*Clg_exstg_therm_per_ton_campus</f>
        <v>0</v>
      </c>
      <c r="X32" s="21">
        <f>'Core Loads'!W$122*Process_exstg_therm_per_lb_campus+'Core Loads'!W$142*Htg_exstg_therm_per_MMBtu_campus+MIN('Core Loads'!W$162,AbsChillerLoad)*Clg_exstg_therm_per_ton_campus</f>
        <v>0</v>
      </c>
      <c r="Y32" s="21">
        <f>'Core Loads'!X$122*Process_exstg_therm_per_lb_campus+'Core Loads'!X$142*Htg_exstg_therm_per_MMBtu_campus+MIN('Core Loads'!X$162,AbsChillerLoad)*Clg_exstg_therm_per_ton_campus</f>
        <v>0</v>
      </c>
      <c r="Z32" s="21">
        <f>'Core Loads'!Y$122*Process_exstg_therm_per_lb_campus+'Core Loads'!Y$142*Htg_exstg_therm_per_MMBtu_campus+MIN('Core Loads'!Y$162,AbsChillerLoad)*Clg_exstg_therm_per_ton_campus</f>
        <v>0</v>
      </c>
      <c r="AA32" s="21">
        <f>'Core Loads'!Z$122*Process_exstg_therm_per_lb_campus+'Core Loads'!Z$142*Htg_exstg_therm_per_MMBtu_campus+MIN('Core Loads'!Z$162,AbsChillerLoad)*Clg_exstg_therm_per_ton_campus</f>
        <v>0</v>
      </c>
      <c r="AB32" s="21">
        <f>'Core Loads'!AA$122*Process_exstg_therm_per_lb_campus+'Core Loads'!AA$142*Htg_exstg_therm_per_MMBtu_campus+MIN('Core Loads'!AA$162,AbsChillerLoad)*Clg_exstg_therm_per_ton_campus</f>
        <v>0</v>
      </c>
      <c r="AC32" s="21">
        <f>'Core Loads'!AB$122*Process_exstg_therm_per_lb_campus+'Core Loads'!AB$142*Htg_exstg_therm_per_MMBtu_campus+MIN('Core Loads'!AB$162,AbsChillerLoad)*Clg_exstg_therm_per_ton_campus</f>
        <v>0</v>
      </c>
      <c r="AD32" s="21">
        <f>'Core Loads'!AC$122*Process_exstg_therm_per_lb_campus+'Core Loads'!AC$142*Htg_exstg_therm_per_MMBtu_campus+MIN('Core Loads'!AC$162,AbsChillerLoad)*Clg_exstg_therm_per_ton_campus</f>
        <v>0</v>
      </c>
      <c r="AE32" s="21">
        <f>'Core Loads'!AD$122*Process_exstg_therm_per_lb_campus+'Core Loads'!AD$142*Htg_exstg_therm_per_MMBtu_campus+MIN('Core Loads'!AD$162,AbsChillerLoad)*Clg_exstg_therm_per_ton_campus</f>
        <v>0</v>
      </c>
      <c r="AF32" s="21">
        <f>'Core Loads'!AE$122*Process_exstg_therm_per_lb_campus+'Core Loads'!AE$142*Htg_exstg_therm_per_MMBtu_campus+MIN('Core Loads'!AE$162,AbsChillerLoad)*Clg_exstg_therm_per_ton_campus</f>
        <v>0</v>
      </c>
      <c r="AG32" s="21">
        <f>'Core Loads'!AF$122*Process_exstg_therm_per_lb_campus+'Core Loads'!AF$142*Htg_exstg_therm_per_MMBtu_campus+MIN('Core Loads'!AF$162,AbsChillerLoad)*Clg_exstg_therm_per_ton_campus</f>
        <v>0</v>
      </c>
      <c r="AH32"/>
      <c r="AI32" s="23" t="s">
        <v>293</v>
      </c>
    </row>
    <row r="33" spans="2:35" s="1" customFormat="1" hidden="1" outlineLevel="1" x14ac:dyDescent="0.25">
      <c r="B33" t="s">
        <v>154</v>
      </c>
      <c r="C33" t="s">
        <v>170</v>
      </c>
      <c r="D33" s="21">
        <f>'Core Loads'!C$122*Process_exstg_CCF_per_lb_campus+'Core Loads'!C$142*Htg_exstg_CCF_per_MMBtu_campus+'Core Loads'!C$162*Clg_exstg_CCF_per_ton_campus</f>
        <v>248660.27462218847</v>
      </c>
      <c r="E33" s="69">
        <f>'Core Loads'!D$122*Process_exstg_CCF_per_lb_campus+'Core Loads'!D$142*Htg_exstg_CCF_per_MMBtu_campus+'Core Loads'!D$162*Clg_exstg_CCF_per_ton_campus</f>
        <v>267428.09854582173</v>
      </c>
      <c r="F33" s="21">
        <f>'Core Loads'!E$122*Process_exstg_CCF_per_lb_campus+'Core Loads'!E$142*Htg_exstg_CCF_per_MMBtu_campus+'Core Loads'!E$162*Clg_exstg_CCF_per_ton_campus</f>
        <v>267428.09854582173</v>
      </c>
      <c r="G33" s="21">
        <f>'Core Loads'!F$122*Process_exstg_CCF_per_lb_campus+'Core Loads'!F$142*Htg_exstg_CCF_per_MMBtu_campus+'Core Loads'!F$162*Clg_exstg_CCF_per_ton_campus</f>
        <v>287568.1842294758</v>
      </c>
      <c r="H33" s="21">
        <f>'Core Loads'!G$122*Process_exstg_CCF_per_lb_campus+'Core Loads'!G$142*Htg_exstg_CCF_per_MMBtu_campus+'Core Loads'!G$162*Clg_exstg_CCF_per_ton_campus</f>
        <v>287568.1842294758</v>
      </c>
      <c r="I33" s="21">
        <f>'Core Loads'!H$122*Process_exstg_CCF_per_lb_campus+'Core Loads'!H$142*Htg_exstg_CCF_per_MMBtu_campus+'Core Loads'!H$162*Clg_exstg_CCF_per_ton_campus</f>
        <v>219650.48006682508</v>
      </c>
      <c r="J33" s="21">
        <f>'Core Loads'!I$122*Process_exstg_CCF_per_lb_campus+'Core Loads'!I$142*Htg_exstg_CCF_per_MMBtu_campus+'Core Loads'!I$162*Clg_exstg_CCF_per_ton_campus</f>
        <v>219650.48006682508</v>
      </c>
      <c r="K33" s="21">
        <f>'Core Loads'!J$122*Process_exstg_CCF_per_lb_campus+'Core Loads'!J$142*Htg_exstg_CCF_per_MMBtu_campus+'Core Loads'!J$162*Clg_exstg_CCF_per_ton_campus</f>
        <v>211497.25937933</v>
      </c>
      <c r="L33" s="21">
        <f>'Core Loads'!K$122*Process_exstg_CCF_per_lb_campus+'Core Loads'!K$142*Htg_exstg_CCF_per_MMBtu_campus+'Core Loads'!K$162*Clg_exstg_CCF_per_ton_campus</f>
        <v>211497.25937933</v>
      </c>
      <c r="M33" s="21">
        <f>'Core Loads'!L$122*Process_exstg_CCF_per_lb_campus+'Core Loads'!L$142*Htg_exstg_CCF_per_MMBtu_campus+'Core Loads'!L$162*Clg_exstg_CCF_per_ton_campus</f>
        <v>208869.49718082632</v>
      </c>
      <c r="N33" s="21">
        <f>'Core Loads'!M$122*Process_exstg_CCF_per_lb_campus+'Core Loads'!M$142*Htg_exstg_CCF_per_MMBtu_campus+'Core Loads'!M$162*Clg_exstg_CCF_per_ton_campus</f>
        <v>139746.11848021299</v>
      </c>
      <c r="O33" s="21">
        <f>'Core Loads'!N$122*Process_exstg_CCF_per_lb_campus+'Core Loads'!N$142*Htg_exstg_CCF_per_MMBtu_campus+'Core Loads'!N$162*Clg_exstg_CCF_per_ton_campus</f>
        <v>136609.50905570804</v>
      </c>
      <c r="P33" s="21">
        <f>'Core Loads'!O$122*Process_exstg_CCF_per_lb_campus+'Core Loads'!O$142*Htg_exstg_CCF_per_MMBtu_campus+'Core Loads'!O$162*Clg_exstg_CCF_per_ton_campus</f>
        <v>136609.50905570804</v>
      </c>
      <c r="Q33" s="21">
        <f>'Core Loads'!P$122*Process_exstg_CCF_per_lb_campus+'Core Loads'!P$142*Htg_exstg_CCF_per_MMBtu_campus+'Core Loads'!P$162*Clg_exstg_CCF_per_ton_campus</f>
        <v>135907.33166882879</v>
      </c>
      <c r="R33" s="21">
        <f>'Core Loads'!Q$122*Process_exstg_CCF_per_lb_campus+'Core Loads'!Q$142*Htg_exstg_CCF_per_MMBtu_campus+'Core Loads'!Q$162*Clg_exstg_CCF_per_ton_campus</f>
        <v>0</v>
      </c>
      <c r="S33" s="21">
        <f>'Core Loads'!R$122*Process_exstg_CCF_per_lb_campus+'Core Loads'!R$142*Htg_exstg_CCF_per_MMBtu_campus+'Core Loads'!R$162*Clg_exstg_CCF_per_ton_campus</f>
        <v>0</v>
      </c>
      <c r="T33" s="21">
        <f>'Core Loads'!S$122*Process_exstg_CCF_per_lb_campus+'Core Loads'!S$142*Htg_exstg_CCF_per_MMBtu_campus+'Core Loads'!S$162*Clg_exstg_CCF_per_ton_campus</f>
        <v>0</v>
      </c>
      <c r="U33" s="21">
        <f>'Core Loads'!T$122*Process_exstg_CCF_per_lb_campus+'Core Loads'!T$142*Htg_exstg_CCF_per_MMBtu_campus+'Core Loads'!T$162*Clg_exstg_CCF_per_ton_campus</f>
        <v>0</v>
      </c>
      <c r="V33" s="21">
        <f>'Core Loads'!U$122*Process_exstg_CCF_per_lb_campus+'Core Loads'!U$142*Htg_exstg_CCF_per_MMBtu_campus+'Core Loads'!U$162*Clg_exstg_CCF_per_ton_campus</f>
        <v>0</v>
      </c>
      <c r="W33" s="21">
        <f>'Core Loads'!V$122*Process_exstg_CCF_per_lb_campus+'Core Loads'!V$142*Htg_exstg_CCF_per_MMBtu_campus+'Core Loads'!V$162*Clg_exstg_CCF_per_ton_campus</f>
        <v>0</v>
      </c>
      <c r="X33" s="21">
        <f>'Core Loads'!W$122*Process_exstg_CCF_per_lb_campus+'Core Loads'!W$142*Htg_exstg_CCF_per_MMBtu_campus+'Core Loads'!W$162*Clg_exstg_CCF_per_ton_campus</f>
        <v>0</v>
      </c>
      <c r="Y33" s="21">
        <f>'Core Loads'!X$122*Process_exstg_CCF_per_lb_campus+'Core Loads'!X$142*Htg_exstg_CCF_per_MMBtu_campus+'Core Loads'!X$162*Clg_exstg_CCF_per_ton_campus</f>
        <v>0</v>
      </c>
      <c r="Z33" s="21">
        <f>'Core Loads'!Y$122*Process_exstg_CCF_per_lb_campus+'Core Loads'!Y$142*Htg_exstg_CCF_per_MMBtu_campus+'Core Loads'!Y$162*Clg_exstg_CCF_per_ton_campus</f>
        <v>0</v>
      </c>
      <c r="AA33" s="21">
        <f>'Core Loads'!Z$122*Process_exstg_CCF_per_lb_campus+'Core Loads'!Z$142*Htg_exstg_CCF_per_MMBtu_campus+'Core Loads'!Z$162*Clg_exstg_CCF_per_ton_campus</f>
        <v>0</v>
      </c>
      <c r="AB33" s="21">
        <f>'Core Loads'!AA$122*Process_exstg_CCF_per_lb_campus+'Core Loads'!AA$142*Htg_exstg_CCF_per_MMBtu_campus+'Core Loads'!AA$162*Clg_exstg_CCF_per_ton_campus</f>
        <v>0</v>
      </c>
      <c r="AC33" s="21">
        <f>'Core Loads'!AB$122*Process_exstg_CCF_per_lb_campus+'Core Loads'!AB$142*Htg_exstg_CCF_per_MMBtu_campus+'Core Loads'!AB$162*Clg_exstg_CCF_per_ton_campus</f>
        <v>0</v>
      </c>
      <c r="AD33" s="21">
        <f>'Core Loads'!AC$122*Process_exstg_CCF_per_lb_campus+'Core Loads'!AC$142*Htg_exstg_CCF_per_MMBtu_campus+'Core Loads'!AC$162*Clg_exstg_CCF_per_ton_campus</f>
        <v>0</v>
      </c>
      <c r="AE33" s="21">
        <f>'Core Loads'!AD$122*Process_exstg_CCF_per_lb_campus+'Core Loads'!AD$142*Htg_exstg_CCF_per_MMBtu_campus+'Core Loads'!AD$162*Clg_exstg_CCF_per_ton_campus</f>
        <v>0</v>
      </c>
      <c r="AF33" s="21">
        <f>'Core Loads'!AE$122*Process_exstg_CCF_per_lb_campus+'Core Loads'!AE$142*Htg_exstg_CCF_per_MMBtu_campus+'Core Loads'!AE$162*Clg_exstg_CCF_per_ton_campus</f>
        <v>0</v>
      </c>
      <c r="AG33" s="21">
        <f>'Core Loads'!AF$122*Process_exstg_CCF_per_lb_campus+'Core Loads'!AF$142*Htg_exstg_CCF_per_MMBtu_campus+'Core Loads'!AF$162*Clg_exstg_CCF_per_ton_campus</f>
        <v>0</v>
      </c>
      <c r="AH33"/>
      <c r="AI33" s="23" t="s">
        <v>293</v>
      </c>
    </row>
    <row r="34" spans="2:35" hidden="1" outlineLevel="1" x14ac:dyDescent="0.25"/>
    <row r="35" spans="2:35" s="1" customFormat="1" ht="17.25" hidden="1" outlineLevel="1" thickBot="1" x14ac:dyDescent="0.3">
      <c r="B35" s="19" t="s">
        <v>280</v>
      </c>
      <c r="C35" s="19"/>
      <c r="D35" s="19"/>
      <c r="E35" s="67"/>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row>
    <row r="36" spans="2:35" s="1" customFormat="1" ht="16.5" hidden="1" outlineLevel="1" thickTop="1" thickBot="1" x14ac:dyDescent="0.3">
      <c r="B36" s="20" t="s">
        <v>292</v>
      </c>
      <c r="C36" s="20" t="s">
        <v>13</v>
      </c>
      <c r="D36" s="20" t="s">
        <v>17</v>
      </c>
      <c r="E36" s="68"/>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t="s">
        <v>15</v>
      </c>
    </row>
    <row r="37" spans="2:35" hidden="1" outlineLevel="1" x14ac:dyDescent="0.25">
      <c r="D37" s="8">
        <f>'Core Loads'!$C$14</f>
        <v>2025</v>
      </c>
      <c r="E37" s="62">
        <f>'Core Loads'!$D$14</f>
        <v>2026</v>
      </c>
      <c r="F37" s="8">
        <f>'Core Loads'!$E$14</f>
        <v>2027</v>
      </c>
      <c r="G37" s="8">
        <f>'Core Loads'!$F$14</f>
        <v>2028</v>
      </c>
      <c r="H37" s="8">
        <f>'Core Loads'!$G$14</f>
        <v>2029</v>
      </c>
      <c r="I37" s="8">
        <f>'Core Loads'!$H$14</f>
        <v>2030</v>
      </c>
      <c r="J37" s="8">
        <f>'Core Loads'!$I$14</f>
        <v>2031</v>
      </c>
      <c r="K37" s="8">
        <f>'Core Loads'!$J$14</f>
        <v>2032</v>
      </c>
      <c r="L37" s="8">
        <f>'Core Loads'!$K$14</f>
        <v>2033</v>
      </c>
      <c r="M37" s="8">
        <f>'Core Loads'!$L$14</f>
        <v>2034</v>
      </c>
      <c r="N37" s="8">
        <f>'Core Loads'!$M$14</f>
        <v>2035</v>
      </c>
      <c r="O37" s="8">
        <f>'Core Loads'!$N$14</f>
        <v>2036</v>
      </c>
      <c r="P37" s="8">
        <f>'Core Loads'!$O$14</f>
        <v>2037</v>
      </c>
      <c r="Q37" s="8">
        <f>'Core Loads'!$P$14</f>
        <v>2038</v>
      </c>
      <c r="R37" s="8">
        <f>'Core Loads'!$Q$14</f>
        <v>2039</v>
      </c>
      <c r="S37" s="8">
        <f>'Core Loads'!$R$14</f>
        <v>2040</v>
      </c>
      <c r="T37" s="8">
        <f>'Core Loads'!$S$14</f>
        <v>2041</v>
      </c>
      <c r="U37" s="8">
        <f>'Core Loads'!$T$14</f>
        <v>2042</v>
      </c>
      <c r="V37" s="8">
        <f>'Core Loads'!$U$14</f>
        <v>2043</v>
      </c>
      <c r="W37" s="8">
        <f>'Core Loads'!$V$14</f>
        <v>2044</v>
      </c>
      <c r="X37" s="8">
        <f>'Core Loads'!$W$14</f>
        <v>2045</v>
      </c>
      <c r="Y37" s="8">
        <f>'Core Loads'!$X$14</f>
        <v>2046</v>
      </c>
      <c r="Z37" s="8">
        <f>'Core Loads'!$Y$14</f>
        <v>2047</v>
      </c>
      <c r="AA37" s="8">
        <f>'Core Loads'!$Z$14</f>
        <v>2048</v>
      </c>
      <c r="AB37" s="8">
        <f>'Core Loads'!$AA$14</f>
        <v>2049</v>
      </c>
      <c r="AC37" s="8">
        <f>'Core Loads'!$AB$14</f>
        <v>2050</v>
      </c>
      <c r="AD37" s="8">
        <f>'Core Loads'!$AC$14</f>
        <v>2051</v>
      </c>
      <c r="AE37" s="8">
        <f>'Core Loads'!$AD$14</f>
        <v>2052</v>
      </c>
      <c r="AF37" s="8">
        <f>'Core Loads'!$AE$14</f>
        <v>2053</v>
      </c>
      <c r="AG37" s="8">
        <f>'Core Loads'!$AF$14</f>
        <v>2054</v>
      </c>
    </row>
    <row r="38" spans="2:35" s="1" customFormat="1" hidden="1" outlineLevel="1" x14ac:dyDescent="0.25">
      <c r="B38" t="s">
        <v>141</v>
      </c>
      <c r="C38" t="s">
        <v>109</v>
      </c>
      <c r="D38" s="21">
        <f>SUM(D39:D43)</f>
        <v>20641256.461636871</v>
      </c>
      <c r="E38" s="69">
        <f t="shared" ref="E38:AG38" si="0">SUM(E39:E43)</f>
        <v>20641256.461636871</v>
      </c>
      <c r="F38" s="21">
        <f t="shared" si="0"/>
        <v>20641256.461636871</v>
      </c>
      <c r="G38" s="21">
        <f t="shared" si="0"/>
        <v>20057383.255155746</v>
      </c>
      <c r="H38" s="21">
        <f t="shared" si="0"/>
        <v>20057383.255155746</v>
      </c>
      <c r="I38" s="21">
        <f t="shared" si="0"/>
        <v>70900161.062808499</v>
      </c>
      <c r="J38" s="21">
        <f t="shared" si="0"/>
        <v>70900161.062808499</v>
      </c>
      <c r="K38" s="21">
        <f t="shared" si="0"/>
        <v>67248921.251742601</v>
      </c>
      <c r="L38" s="21">
        <f t="shared" si="0"/>
        <v>67248921.251742601</v>
      </c>
      <c r="M38" s="21">
        <f t="shared" si="0"/>
        <v>67846283.46209161</v>
      </c>
      <c r="N38" s="21">
        <f t="shared" si="0"/>
        <v>120965437.05477171</v>
      </c>
      <c r="O38" s="21">
        <f t="shared" si="0"/>
        <v>120791014.57495978</v>
      </c>
      <c r="P38" s="21">
        <f t="shared" si="0"/>
        <v>120791014.57495978</v>
      </c>
      <c r="Q38" s="21">
        <f t="shared" si="0"/>
        <v>120747962.18037227</v>
      </c>
      <c r="R38" s="21">
        <f t="shared" si="0"/>
        <v>175303168.25067636</v>
      </c>
      <c r="S38" s="21">
        <f t="shared" si="0"/>
        <v>214989280.68852437</v>
      </c>
      <c r="T38" s="21">
        <f t="shared" si="0"/>
        <v>214989280.68852437</v>
      </c>
      <c r="U38" s="21">
        <f t="shared" si="0"/>
        <v>214989280.68852437</v>
      </c>
      <c r="V38" s="21">
        <f t="shared" si="0"/>
        <v>214989280.68852437</v>
      </c>
      <c r="W38" s="21">
        <f t="shared" si="0"/>
        <v>214430341.91332072</v>
      </c>
      <c r="X38" s="21">
        <f t="shared" si="0"/>
        <v>214430341.91332072</v>
      </c>
      <c r="Y38" s="21">
        <f t="shared" si="0"/>
        <v>214430341.91332072</v>
      </c>
      <c r="Z38" s="21">
        <f t="shared" si="0"/>
        <v>214430341.91332072</v>
      </c>
      <c r="AA38" s="21">
        <f t="shared" si="0"/>
        <v>214430341.91332072</v>
      </c>
      <c r="AB38" s="21">
        <f t="shared" si="0"/>
        <v>214430341.91332072</v>
      </c>
      <c r="AC38" s="21">
        <f t="shared" si="0"/>
        <v>213744838.95229453</v>
      </c>
      <c r="AD38" s="21">
        <f t="shared" si="0"/>
        <v>213744838.95229453</v>
      </c>
      <c r="AE38" s="21">
        <f t="shared" si="0"/>
        <v>213744838.95229453</v>
      </c>
      <c r="AF38" s="21">
        <f t="shared" si="0"/>
        <v>213744838.95229453</v>
      </c>
      <c r="AG38" s="21">
        <f t="shared" si="0"/>
        <v>213744838.95229453</v>
      </c>
      <c r="AH38"/>
      <c r="AI38" s="23" t="s">
        <v>295</v>
      </c>
    </row>
    <row r="39" spans="2:35" s="1" customFormat="1" hidden="1" outlineLevel="1" x14ac:dyDescent="0.25">
      <c r="C39" s="31" t="s">
        <v>144</v>
      </c>
      <c r="D39" s="21">
        <f>'Core Loads'!C$106*'Core Inputs'!$D$80+'Core Loads'!C$126*'Core Inputs'!$D$75+'Core Loads'!C$146*'Core Inputs'!$D$66+'Core Loads'!C$166*'Core Inputs'!$D$71</f>
        <v>20641256.461636871</v>
      </c>
      <c r="E39" s="69">
        <f>'Core Loads'!D$106*'Core Inputs'!$D$80+'Core Loads'!D$126*'Core Inputs'!$D$75+'Core Loads'!D$146*'Core Inputs'!$D$66+'Core Loads'!D$166*'Core Inputs'!$D$71</f>
        <v>20641256.461636871</v>
      </c>
      <c r="F39" s="21">
        <f>'Core Loads'!E$106*'Core Inputs'!$D$80+'Core Loads'!E$126*'Core Inputs'!$D$75+'Core Loads'!E$146*'Core Inputs'!$D$66+'Core Loads'!E$166*'Core Inputs'!$D$71</f>
        <v>20641256.461636871</v>
      </c>
      <c r="G39" s="21">
        <f>'Core Loads'!F$106*'Core Inputs'!$D$80+'Core Loads'!F$126*'Core Inputs'!$D$75+'Core Loads'!F$146*'Core Inputs'!$D$66+'Core Loads'!F$166*'Core Inputs'!$D$71</f>
        <v>20057383.255155746</v>
      </c>
      <c r="H39" s="21">
        <f>'Core Loads'!G$106*'Core Inputs'!$D$80+'Core Loads'!G$126*'Core Inputs'!$D$75+'Core Loads'!G$146*'Core Inputs'!$D$66+'Core Loads'!G$166*'Core Inputs'!$D$71</f>
        <v>20057383.255155746</v>
      </c>
      <c r="I39" s="21">
        <f>'Core Loads'!H$106*'Core Inputs'!$D$80+'Core Loads'!H$126*'Core Inputs'!$D$75+'Core Loads'!H$146*'Core Inputs'!$D$66+'Core Loads'!H$166*'Core Inputs'!$D$71</f>
        <v>35266140.913521692</v>
      </c>
      <c r="J39" s="21">
        <f>'Core Loads'!I$106*'Core Inputs'!$D$80+'Core Loads'!I$126*'Core Inputs'!$D$75+'Core Loads'!I$146*'Core Inputs'!$D$66+'Core Loads'!I$166*'Core Inputs'!$D$71</f>
        <v>35266140.913521692</v>
      </c>
      <c r="K39" s="21">
        <f>'Core Loads'!J$106*'Core Inputs'!$D$80+'Core Loads'!J$126*'Core Inputs'!$D$75+'Core Loads'!J$146*'Core Inputs'!$D$66+'Core Loads'!J$166*'Core Inputs'!$D$71</f>
        <v>34815277.230145395</v>
      </c>
      <c r="L39" s="21">
        <f>'Core Loads'!K$106*'Core Inputs'!$D$80+'Core Loads'!K$126*'Core Inputs'!$D$75+'Core Loads'!K$146*'Core Inputs'!$D$66+'Core Loads'!K$166*'Core Inputs'!$D$71</f>
        <v>34815277.230145395</v>
      </c>
      <c r="M39" s="21">
        <f>'Core Loads'!L$106*'Core Inputs'!$D$80+'Core Loads'!L$126*'Core Inputs'!$D$75+'Core Loads'!L$146*'Core Inputs'!$D$66+'Core Loads'!L$166*'Core Inputs'!$D$71</f>
        <v>35412639.440494396</v>
      </c>
      <c r="N39" s="21">
        <f>'Core Loads'!M$106*'Core Inputs'!$D$80+'Core Loads'!M$126*'Core Inputs'!$D$75+'Core Loads'!M$146*'Core Inputs'!$D$66+'Core Loads'!M$166*'Core Inputs'!$D$71</f>
        <v>35412639.440494396</v>
      </c>
      <c r="O39" s="21">
        <f>'Core Loads'!N$106*'Core Inputs'!$D$80+'Core Loads'!N$126*'Core Inputs'!$D$75+'Core Loads'!N$146*'Core Inputs'!$D$66+'Core Loads'!N$166*'Core Inputs'!$D$71</f>
        <v>35412639.440494396</v>
      </c>
      <c r="P39" s="21">
        <f>'Core Loads'!O$106*'Core Inputs'!$D$80+'Core Loads'!O$126*'Core Inputs'!$D$75+'Core Loads'!O$146*'Core Inputs'!$D$66+'Core Loads'!O$166*'Core Inputs'!$D$71</f>
        <v>35412639.440494396</v>
      </c>
      <c r="Q39" s="21">
        <f>'Core Loads'!P$106*'Core Inputs'!$D$80+'Core Loads'!P$126*'Core Inputs'!$D$75+'Core Loads'!P$146*'Core Inputs'!$D$66+'Core Loads'!P$166*'Core Inputs'!$D$71</f>
        <v>35412639.440494396</v>
      </c>
      <c r="R39" s="21">
        <f>'Core Loads'!Q$106*'Core Inputs'!$D$80+'Core Loads'!Q$126*'Core Inputs'!$D$75+'Core Loads'!Q$146*'Core Inputs'!$D$66+'Core Loads'!Q$166*'Core Inputs'!$D$71</f>
        <v>48404173.029034391</v>
      </c>
      <c r="S39" s="21">
        <f>'Core Loads'!R$106*'Core Inputs'!$D$80+'Core Loads'!R$126*'Core Inputs'!$D$75+'Core Loads'!R$146*'Core Inputs'!$D$66+'Core Loads'!R$166*'Core Inputs'!$D$71</f>
        <v>48404173.029034391</v>
      </c>
      <c r="T39" s="21">
        <f>'Core Loads'!S$106*'Core Inputs'!$D$80+'Core Loads'!S$126*'Core Inputs'!$D$75+'Core Loads'!S$146*'Core Inputs'!$D$66+'Core Loads'!S$166*'Core Inputs'!$D$71</f>
        <v>48404173.029034391</v>
      </c>
      <c r="U39" s="21">
        <f>'Core Loads'!T$106*'Core Inputs'!$D$80+'Core Loads'!T$126*'Core Inputs'!$D$75+'Core Loads'!T$146*'Core Inputs'!$D$66+'Core Loads'!T$166*'Core Inputs'!$D$71</f>
        <v>48404173.029034391</v>
      </c>
      <c r="V39" s="21">
        <f>'Core Loads'!U$106*'Core Inputs'!$D$80+'Core Loads'!U$126*'Core Inputs'!$D$75+'Core Loads'!U$146*'Core Inputs'!$D$66+'Core Loads'!U$166*'Core Inputs'!$D$71</f>
        <v>48404173.029034391</v>
      </c>
      <c r="W39" s="21">
        <f>'Core Loads'!V$106*'Core Inputs'!$D$80+'Core Loads'!V$126*'Core Inputs'!$D$75+'Core Loads'!V$146*'Core Inputs'!$D$66+'Core Loads'!V$166*'Core Inputs'!$D$71</f>
        <v>48404173.029034391</v>
      </c>
      <c r="X39" s="21">
        <f>'Core Loads'!W$106*'Core Inputs'!$D$80+'Core Loads'!W$126*'Core Inputs'!$D$75+'Core Loads'!W$146*'Core Inputs'!$D$66+'Core Loads'!W$166*'Core Inputs'!$D$71</f>
        <v>48404173.029034391</v>
      </c>
      <c r="Y39" s="21">
        <f>'Core Loads'!X$106*'Core Inputs'!$D$80+'Core Loads'!X$126*'Core Inputs'!$D$75+'Core Loads'!X$146*'Core Inputs'!$D$66+'Core Loads'!X$166*'Core Inputs'!$D$71</f>
        <v>48404173.029034391</v>
      </c>
      <c r="Z39" s="21">
        <f>'Core Loads'!Y$106*'Core Inputs'!$D$80+'Core Loads'!Y$126*'Core Inputs'!$D$75+'Core Loads'!Y$146*'Core Inputs'!$D$66+'Core Loads'!Y$166*'Core Inputs'!$D$71</f>
        <v>48404173.029034391</v>
      </c>
      <c r="AA39" s="21">
        <f>'Core Loads'!Z$106*'Core Inputs'!$D$80+'Core Loads'!Z$126*'Core Inputs'!$D$75+'Core Loads'!Z$146*'Core Inputs'!$D$66+'Core Loads'!Z$166*'Core Inputs'!$D$71</f>
        <v>48404173.029034391</v>
      </c>
      <c r="AB39" s="21">
        <f>'Core Loads'!AA$106*'Core Inputs'!$D$80+'Core Loads'!AA$126*'Core Inputs'!$D$75+'Core Loads'!AA$146*'Core Inputs'!$D$66+'Core Loads'!AA$166*'Core Inputs'!$D$71</f>
        <v>48404173.029034391</v>
      </c>
      <c r="AC39" s="21">
        <f>'Core Loads'!AB$106*'Core Inputs'!$D$80+'Core Loads'!AB$126*'Core Inputs'!$D$75+'Core Loads'!AB$146*'Core Inputs'!$D$66+'Core Loads'!AB$166*'Core Inputs'!$D$71</f>
        <v>48404173.029034391</v>
      </c>
      <c r="AD39" s="21">
        <f>'Core Loads'!AC$106*'Core Inputs'!$D$80+'Core Loads'!AC$126*'Core Inputs'!$D$75+'Core Loads'!AC$146*'Core Inputs'!$D$66+'Core Loads'!AC$166*'Core Inputs'!$D$71</f>
        <v>48404173.029034391</v>
      </c>
      <c r="AE39" s="21">
        <f>'Core Loads'!AD$106*'Core Inputs'!$D$80+'Core Loads'!AD$126*'Core Inputs'!$D$75+'Core Loads'!AD$146*'Core Inputs'!$D$66+'Core Loads'!AD$166*'Core Inputs'!$D$71</f>
        <v>48404173.029034391</v>
      </c>
      <c r="AF39" s="21">
        <f>'Core Loads'!AE$106*'Core Inputs'!$D$80+'Core Loads'!AE$126*'Core Inputs'!$D$75+'Core Loads'!AE$146*'Core Inputs'!$D$66+'Core Loads'!AE$166*'Core Inputs'!$D$71</f>
        <v>48404173.029034391</v>
      </c>
      <c r="AG39" s="21">
        <f>'Core Loads'!AF$106*'Core Inputs'!$D$80+'Core Loads'!AF$126*'Core Inputs'!$D$75+'Core Loads'!AF$146*'Core Inputs'!$D$66+'Core Loads'!AF$166*'Core Inputs'!$D$71</f>
        <v>48404173.029034391</v>
      </c>
      <c r="AH39"/>
      <c r="AI39" s="23" t="s">
        <v>293</v>
      </c>
    </row>
    <row r="40" spans="2:35" s="1" customFormat="1" hidden="1" outlineLevel="1" x14ac:dyDescent="0.25">
      <c r="C40" s="31" t="s">
        <v>145</v>
      </c>
      <c r="D40" s="21">
        <f>'Core Loads'!C$107*'Core Inputs'!$E$80+'Core Loads'!C$127*'Core Inputs'!$E$75+'Core Loads'!C$147*'Core Inputs'!$E$66+'Core Loads'!C$167*'Core Inputs'!$E$71</f>
        <v>0</v>
      </c>
      <c r="E40" s="69">
        <f>'Core Loads'!D$107*'Core Inputs'!$E$80+'Core Loads'!D$127*'Core Inputs'!$E$75+'Core Loads'!D$147*'Core Inputs'!$E$66+'Core Loads'!D$167*'Core Inputs'!$E$71</f>
        <v>0</v>
      </c>
      <c r="F40" s="21">
        <f>'Core Loads'!E$107*'Core Inputs'!$E$80+'Core Loads'!E$127*'Core Inputs'!$E$75+'Core Loads'!E$147*'Core Inputs'!$E$66+'Core Loads'!E$167*'Core Inputs'!$E$71</f>
        <v>0</v>
      </c>
      <c r="G40" s="21">
        <f>'Core Loads'!F$107*'Core Inputs'!$E$80+'Core Loads'!F$127*'Core Inputs'!$E$75+'Core Loads'!F$147*'Core Inputs'!$E$66+'Core Loads'!F$167*'Core Inputs'!$E$71</f>
        <v>0</v>
      </c>
      <c r="H40" s="21">
        <f>'Core Loads'!G$107*'Core Inputs'!$E$80+'Core Loads'!G$127*'Core Inputs'!$E$75+'Core Loads'!G$147*'Core Inputs'!$E$66+'Core Loads'!G$167*'Core Inputs'!$E$71</f>
        <v>0</v>
      </c>
      <c r="I40" s="21">
        <f>'Core Loads'!H$107*'Core Inputs'!$E$80+'Core Loads'!H$127*'Core Inputs'!$E$75+'Core Loads'!H$147*'Core Inputs'!$E$66+'Core Loads'!H$167*'Core Inputs'!$E$71</f>
        <v>0</v>
      </c>
      <c r="J40" s="21">
        <f>'Core Loads'!I$107*'Core Inputs'!$E$80+'Core Loads'!I$127*'Core Inputs'!$E$75+'Core Loads'!I$147*'Core Inputs'!$E$66+'Core Loads'!I$167*'Core Inputs'!$E$71</f>
        <v>0</v>
      </c>
      <c r="K40" s="21">
        <f>'Core Loads'!J$107*'Core Inputs'!$E$80+'Core Loads'!J$127*'Core Inputs'!$E$75+'Core Loads'!J$147*'Core Inputs'!$E$66+'Core Loads'!J$167*'Core Inputs'!$E$71</f>
        <v>0</v>
      </c>
      <c r="L40" s="21">
        <f>'Core Loads'!K$107*'Core Inputs'!$E$80+'Core Loads'!K$127*'Core Inputs'!$E$75+'Core Loads'!K$147*'Core Inputs'!$E$66+'Core Loads'!K$167*'Core Inputs'!$E$71</f>
        <v>0</v>
      </c>
      <c r="M40" s="21">
        <f>'Core Loads'!L$107*'Core Inputs'!$E$80+'Core Loads'!L$127*'Core Inputs'!$E$75+'Core Loads'!L$147*'Core Inputs'!$E$66+'Core Loads'!L$167*'Core Inputs'!$E$71</f>
        <v>0</v>
      </c>
      <c r="N40" s="21">
        <f>'Core Loads'!M$107*'Core Inputs'!$E$80+'Core Loads'!M$127*'Core Inputs'!$E$75+'Core Loads'!M$147*'Core Inputs'!$E$66+'Core Loads'!M$167*'Core Inputs'!$E$71</f>
        <v>14424083.067156741</v>
      </c>
      <c r="O40" s="21">
        <f>'Core Loads'!N$107*'Core Inputs'!$E$80+'Core Loads'!N$127*'Core Inputs'!$E$75+'Core Loads'!N$147*'Core Inputs'!$E$66+'Core Loads'!N$167*'Core Inputs'!$E$71</f>
        <v>14424083.067156741</v>
      </c>
      <c r="P40" s="21">
        <f>'Core Loads'!O$107*'Core Inputs'!$E$80+'Core Loads'!O$127*'Core Inputs'!$E$75+'Core Loads'!O$147*'Core Inputs'!$E$66+'Core Loads'!O$167*'Core Inputs'!$E$71</f>
        <v>14424083.067156741</v>
      </c>
      <c r="Q40" s="21">
        <f>'Core Loads'!P$107*'Core Inputs'!$E$80+'Core Loads'!P$127*'Core Inputs'!$E$75+'Core Loads'!P$147*'Core Inputs'!$E$66+'Core Loads'!P$167*'Core Inputs'!$E$71</f>
        <v>14387552.630916741</v>
      </c>
      <c r="R40" s="21">
        <f>'Core Loads'!Q$107*'Core Inputs'!$E$80+'Core Loads'!Q$127*'Core Inputs'!$E$75+'Core Loads'!Q$147*'Core Inputs'!$E$66+'Core Loads'!Q$167*'Core Inputs'!$E$71</f>
        <v>22058371.928822987</v>
      </c>
      <c r="S40" s="21">
        <f>'Core Loads'!R$107*'Core Inputs'!$E$80+'Core Loads'!R$127*'Core Inputs'!$E$75+'Core Loads'!R$147*'Core Inputs'!$E$66+'Core Loads'!R$167*'Core Inputs'!$E$71</f>
        <v>22367394.150494985</v>
      </c>
      <c r="T40" s="21">
        <f>'Core Loads'!S$107*'Core Inputs'!$E$80+'Core Loads'!S$127*'Core Inputs'!$E$75+'Core Loads'!S$147*'Core Inputs'!$E$66+'Core Loads'!S$167*'Core Inputs'!$E$71</f>
        <v>22367394.150494985</v>
      </c>
      <c r="U40" s="21">
        <f>'Core Loads'!T$107*'Core Inputs'!$E$80+'Core Loads'!T$127*'Core Inputs'!$E$75+'Core Loads'!T$147*'Core Inputs'!$E$66+'Core Loads'!T$167*'Core Inputs'!$E$71</f>
        <v>22367394.150494985</v>
      </c>
      <c r="V40" s="21">
        <f>'Core Loads'!U$107*'Core Inputs'!$E$80+'Core Loads'!U$127*'Core Inputs'!$E$75+'Core Loads'!U$147*'Core Inputs'!$E$66+'Core Loads'!U$167*'Core Inputs'!$E$71</f>
        <v>22367394.150494985</v>
      </c>
      <c r="W40" s="21">
        <f>'Core Loads'!V$107*'Core Inputs'!$E$80+'Core Loads'!V$127*'Core Inputs'!$E$75+'Core Loads'!V$147*'Core Inputs'!$E$66+'Core Loads'!V$167*'Core Inputs'!$E$71</f>
        <v>22367394.150494985</v>
      </c>
      <c r="X40" s="21">
        <f>'Core Loads'!W$107*'Core Inputs'!$E$80+'Core Loads'!W$127*'Core Inputs'!$E$75+'Core Loads'!W$147*'Core Inputs'!$E$66+'Core Loads'!W$167*'Core Inputs'!$E$71</f>
        <v>22367394.150494985</v>
      </c>
      <c r="Y40" s="21">
        <f>'Core Loads'!X$107*'Core Inputs'!$E$80+'Core Loads'!X$127*'Core Inputs'!$E$75+'Core Loads'!X$147*'Core Inputs'!$E$66+'Core Loads'!X$167*'Core Inputs'!$E$71</f>
        <v>22367394.150494985</v>
      </c>
      <c r="Z40" s="21">
        <f>'Core Loads'!Y$107*'Core Inputs'!$E$80+'Core Loads'!Y$127*'Core Inputs'!$E$75+'Core Loads'!Y$147*'Core Inputs'!$E$66+'Core Loads'!Y$167*'Core Inputs'!$E$71</f>
        <v>22367394.150494985</v>
      </c>
      <c r="AA40" s="21">
        <f>'Core Loads'!Z$107*'Core Inputs'!$E$80+'Core Loads'!Z$127*'Core Inputs'!$E$75+'Core Loads'!Z$147*'Core Inputs'!$E$66+'Core Loads'!Z$167*'Core Inputs'!$E$71</f>
        <v>22367394.150494985</v>
      </c>
      <c r="AB40" s="21">
        <f>'Core Loads'!AA$107*'Core Inputs'!$E$80+'Core Loads'!AA$127*'Core Inputs'!$E$75+'Core Loads'!AA$147*'Core Inputs'!$E$66+'Core Loads'!AA$167*'Core Inputs'!$E$71</f>
        <v>22367394.150494985</v>
      </c>
      <c r="AC40" s="21">
        <f>'Core Loads'!AB$107*'Core Inputs'!$E$80+'Core Loads'!AB$127*'Core Inputs'!$E$75+'Core Loads'!AB$147*'Core Inputs'!$E$66+'Core Loads'!AB$167*'Core Inputs'!$E$71</f>
        <v>21681891.18946876</v>
      </c>
      <c r="AD40" s="21">
        <f>'Core Loads'!AC$107*'Core Inputs'!$E$80+'Core Loads'!AC$127*'Core Inputs'!$E$75+'Core Loads'!AC$147*'Core Inputs'!$E$66+'Core Loads'!AC$167*'Core Inputs'!$E$71</f>
        <v>21681891.18946876</v>
      </c>
      <c r="AE40" s="21">
        <f>'Core Loads'!AD$107*'Core Inputs'!$E$80+'Core Loads'!AD$127*'Core Inputs'!$E$75+'Core Loads'!AD$147*'Core Inputs'!$E$66+'Core Loads'!AD$167*'Core Inputs'!$E$71</f>
        <v>21681891.18946876</v>
      </c>
      <c r="AF40" s="21">
        <f>'Core Loads'!AE$107*'Core Inputs'!$E$80+'Core Loads'!AE$127*'Core Inputs'!$E$75+'Core Loads'!AE$147*'Core Inputs'!$E$66+'Core Loads'!AE$167*'Core Inputs'!$E$71</f>
        <v>21681891.18946876</v>
      </c>
      <c r="AG40" s="21">
        <f>'Core Loads'!AF$107*'Core Inputs'!$E$80+'Core Loads'!AF$127*'Core Inputs'!$E$75+'Core Loads'!AF$147*'Core Inputs'!$E$66+'Core Loads'!AF$167*'Core Inputs'!$E$71</f>
        <v>21681891.18946876</v>
      </c>
      <c r="AH40"/>
      <c r="AI40" s="23" t="s">
        <v>293</v>
      </c>
    </row>
    <row r="41" spans="2:35" s="1" customFormat="1" hidden="1" outlineLevel="1" x14ac:dyDescent="0.25">
      <c r="C41" s="31" t="s">
        <v>244</v>
      </c>
      <c r="D41" s="21">
        <f>'Core Loads'!C$108*'Core Inputs'!$F$80+'Core Loads'!C$128*'Core Inputs'!$F$75+'Core Loads'!C$148*'Core Inputs'!$F$66+'Core Loads'!C$168*'Core Inputs'!$F$71</f>
        <v>0</v>
      </c>
      <c r="E41" s="69">
        <f>'Core Loads'!D$108*'Core Inputs'!$F$80+'Core Loads'!D$128*'Core Inputs'!$F$75+'Core Loads'!D$148*'Core Inputs'!$F$66+'Core Loads'!D$168*'Core Inputs'!$F$71</f>
        <v>0</v>
      </c>
      <c r="F41" s="21">
        <f>'Core Loads'!E$108*'Core Inputs'!$F$80+'Core Loads'!E$128*'Core Inputs'!$F$75+'Core Loads'!E$148*'Core Inputs'!$F$66+'Core Loads'!E$168*'Core Inputs'!$F$71</f>
        <v>0</v>
      </c>
      <c r="G41" s="21">
        <f>'Core Loads'!F$108*'Core Inputs'!$F$80+'Core Loads'!F$128*'Core Inputs'!$F$75+'Core Loads'!F$148*'Core Inputs'!$F$66+'Core Loads'!F$168*'Core Inputs'!$F$71</f>
        <v>0</v>
      </c>
      <c r="H41" s="21">
        <f>'Core Loads'!G$108*'Core Inputs'!$F$80+'Core Loads'!G$128*'Core Inputs'!$F$75+'Core Loads'!G$148*'Core Inputs'!$F$66+'Core Loads'!G$168*'Core Inputs'!$F$71</f>
        <v>0</v>
      </c>
      <c r="I41" s="21">
        <f>'Core Loads'!H$108*'Core Inputs'!$F$80+'Core Loads'!H$128*'Core Inputs'!$F$75+'Core Loads'!H$148*'Core Inputs'!$F$66+'Core Loads'!H$168*'Core Inputs'!$F$71</f>
        <v>35634020.149286807</v>
      </c>
      <c r="J41" s="21">
        <f>'Core Loads'!I$108*'Core Inputs'!$F$80+'Core Loads'!I$128*'Core Inputs'!$F$75+'Core Loads'!I$148*'Core Inputs'!$F$66+'Core Loads'!I$168*'Core Inputs'!$F$71</f>
        <v>35634020.149286807</v>
      </c>
      <c r="K41" s="21">
        <f>'Core Loads'!J$108*'Core Inputs'!$F$80+'Core Loads'!J$128*'Core Inputs'!$F$75+'Core Loads'!J$148*'Core Inputs'!$F$66+'Core Loads'!J$168*'Core Inputs'!$F$71</f>
        <v>32433644.021597214</v>
      </c>
      <c r="L41" s="21">
        <f>'Core Loads'!K$108*'Core Inputs'!$F$80+'Core Loads'!K$128*'Core Inputs'!$F$75+'Core Loads'!K$148*'Core Inputs'!$F$66+'Core Loads'!K$168*'Core Inputs'!$F$71</f>
        <v>32433644.021597214</v>
      </c>
      <c r="M41" s="21">
        <f>'Core Loads'!L$108*'Core Inputs'!$F$80+'Core Loads'!L$128*'Core Inputs'!$F$75+'Core Loads'!L$148*'Core Inputs'!$F$66+'Core Loads'!L$168*'Core Inputs'!$F$71</f>
        <v>32433644.021597214</v>
      </c>
      <c r="N41" s="21">
        <f>'Core Loads'!M$108*'Core Inputs'!$F$80+'Core Loads'!M$128*'Core Inputs'!$F$75+'Core Loads'!M$148*'Core Inputs'!$F$66+'Core Loads'!M$168*'Core Inputs'!$F$71</f>
        <v>71128714.547120571</v>
      </c>
      <c r="O41" s="21">
        <f>'Core Loads'!N$108*'Core Inputs'!$F$80+'Core Loads'!N$128*'Core Inputs'!$F$75+'Core Loads'!N$148*'Core Inputs'!$F$66+'Core Loads'!N$168*'Core Inputs'!$F$71</f>
        <v>70954292.067308649</v>
      </c>
      <c r="P41" s="21">
        <f>'Core Loads'!O$108*'Core Inputs'!$F$80+'Core Loads'!O$128*'Core Inputs'!$F$75+'Core Loads'!O$148*'Core Inputs'!$F$66+'Core Loads'!O$168*'Core Inputs'!$F$71</f>
        <v>70954292.067308649</v>
      </c>
      <c r="Q41" s="21">
        <f>'Core Loads'!P$108*'Core Inputs'!$F$80+'Core Loads'!P$128*'Core Inputs'!$F$75+'Core Loads'!P$148*'Core Inputs'!$F$66+'Core Loads'!P$168*'Core Inputs'!$F$71</f>
        <v>70947770.108961135</v>
      </c>
      <c r="R41" s="21">
        <f>'Core Loads'!Q$108*'Core Inputs'!$F$80+'Core Loads'!Q$128*'Core Inputs'!$F$75+'Core Loads'!Q$148*'Core Inputs'!$F$66+'Core Loads'!Q$168*'Core Inputs'!$F$71</f>
        <v>95964175.002781779</v>
      </c>
      <c r="S41" s="21">
        <f>'Core Loads'!R$108*'Core Inputs'!$F$80+'Core Loads'!R$128*'Core Inputs'!$F$75+'Core Loads'!R$148*'Core Inputs'!$F$66+'Core Loads'!R$168*'Core Inputs'!$F$71</f>
        <v>99640307.147781789</v>
      </c>
      <c r="T41" s="21">
        <f>'Core Loads'!S$108*'Core Inputs'!$F$80+'Core Loads'!S$128*'Core Inputs'!$F$75+'Core Loads'!S$148*'Core Inputs'!$F$66+'Core Loads'!S$168*'Core Inputs'!$F$71</f>
        <v>99640307.147781789</v>
      </c>
      <c r="U41" s="21">
        <f>'Core Loads'!T$108*'Core Inputs'!$F$80+'Core Loads'!T$128*'Core Inputs'!$F$75+'Core Loads'!T$148*'Core Inputs'!$F$66+'Core Loads'!T$168*'Core Inputs'!$F$71</f>
        <v>99640307.147781789</v>
      </c>
      <c r="V41" s="21">
        <f>'Core Loads'!U$108*'Core Inputs'!$F$80+'Core Loads'!U$128*'Core Inputs'!$F$75+'Core Loads'!U$148*'Core Inputs'!$F$66+'Core Loads'!U$168*'Core Inputs'!$F$71</f>
        <v>99640307.147781789</v>
      </c>
      <c r="W41" s="21">
        <f>'Core Loads'!V$108*'Core Inputs'!$F$80+'Core Loads'!V$128*'Core Inputs'!$F$75+'Core Loads'!V$148*'Core Inputs'!$F$66+'Core Loads'!V$168*'Core Inputs'!$F$71</f>
        <v>99081368.372578159</v>
      </c>
      <c r="X41" s="21">
        <f>'Core Loads'!W$108*'Core Inputs'!$F$80+'Core Loads'!W$128*'Core Inputs'!$F$75+'Core Loads'!W$148*'Core Inputs'!$F$66+'Core Loads'!W$168*'Core Inputs'!$F$71</f>
        <v>99081368.372578159</v>
      </c>
      <c r="Y41" s="21">
        <f>'Core Loads'!X$108*'Core Inputs'!$F$80+'Core Loads'!X$128*'Core Inputs'!$F$75+'Core Loads'!X$148*'Core Inputs'!$F$66+'Core Loads'!X$168*'Core Inputs'!$F$71</f>
        <v>99081368.372578159</v>
      </c>
      <c r="Z41" s="21">
        <f>'Core Loads'!Y$108*'Core Inputs'!$F$80+'Core Loads'!Y$128*'Core Inputs'!$F$75+'Core Loads'!Y$148*'Core Inputs'!$F$66+'Core Loads'!Y$168*'Core Inputs'!$F$71</f>
        <v>99081368.372578159</v>
      </c>
      <c r="AA41" s="21">
        <f>'Core Loads'!Z$108*'Core Inputs'!$F$80+'Core Loads'!Z$128*'Core Inputs'!$F$75+'Core Loads'!Z$148*'Core Inputs'!$F$66+'Core Loads'!Z$168*'Core Inputs'!$F$71</f>
        <v>99081368.372578159</v>
      </c>
      <c r="AB41" s="21">
        <f>'Core Loads'!AA$108*'Core Inputs'!$F$80+'Core Loads'!AA$128*'Core Inputs'!$F$75+'Core Loads'!AA$148*'Core Inputs'!$F$66+'Core Loads'!AA$168*'Core Inputs'!$F$71</f>
        <v>99081368.372578159</v>
      </c>
      <c r="AC41" s="21">
        <f>'Core Loads'!AB$108*'Core Inputs'!$F$80+'Core Loads'!AB$128*'Core Inputs'!$F$75+'Core Loads'!AB$148*'Core Inputs'!$F$66+'Core Loads'!AB$168*'Core Inputs'!$F$71</f>
        <v>99081368.372578159</v>
      </c>
      <c r="AD41" s="21">
        <f>'Core Loads'!AC$108*'Core Inputs'!$F$80+'Core Loads'!AC$128*'Core Inputs'!$F$75+'Core Loads'!AC$148*'Core Inputs'!$F$66+'Core Loads'!AC$168*'Core Inputs'!$F$71</f>
        <v>99081368.372578159</v>
      </c>
      <c r="AE41" s="21">
        <f>'Core Loads'!AD$108*'Core Inputs'!$F$80+'Core Loads'!AD$128*'Core Inputs'!$F$75+'Core Loads'!AD$148*'Core Inputs'!$F$66+'Core Loads'!AD$168*'Core Inputs'!$F$71</f>
        <v>99081368.372578159</v>
      </c>
      <c r="AF41" s="21">
        <f>'Core Loads'!AE$108*'Core Inputs'!$F$80+'Core Loads'!AE$128*'Core Inputs'!$F$75+'Core Loads'!AE$148*'Core Inputs'!$F$66+'Core Loads'!AE$168*'Core Inputs'!$F$71</f>
        <v>99081368.372578159</v>
      </c>
      <c r="AG41" s="21">
        <f>'Core Loads'!AF$108*'Core Inputs'!$F$80+'Core Loads'!AF$128*'Core Inputs'!$F$75+'Core Loads'!AF$148*'Core Inputs'!$F$66+'Core Loads'!AF$168*'Core Inputs'!$F$71</f>
        <v>99081368.372578159</v>
      </c>
      <c r="AH41"/>
      <c r="AI41" s="23" t="s">
        <v>293</v>
      </c>
    </row>
    <row r="42" spans="2:35" s="1" customFormat="1" hidden="1" outlineLevel="1" x14ac:dyDescent="0.25">
      <c r="C42" s="31" t="s">
        <v>147</v>
      </c>
      <c r="D42" s="21">
        <f>'Core Loads'!C$109*'Core Inputs'!$G$80+'Core Loads'!C$129*'Core Inputs'!$G$75+'Core Loads'!C$149*'Core Inputs'!$G$66+'Core Loads'!C$169*'Core Inputs'!$G$71</f>
        <v>0</v>
      </c>
      <c r="E42" s="69">
        <f>'Core Loads'!D$109*'Core Inputs'!$G$80+'Core Loads'!D$129*'Core Inputs'!$G$75+'Core Loads'!D$149*'Core Inputs'!$G$66+'Core Loads'!D$169*'Core Inputs'!$G$71</f>
        <v>0</v>
      </c>
      <c r="F42" s="21">
        <f>'Core Loads'!E$109*'Core Inputs'!$G$80+'Core Loads'!E$129*'Core Inputs'!$G$75+'Core Loads'!E$149*'Core Inputs'!$G$66+'Core Loads'!E$169*'Core Inputs'!$G$71</f>
        <v>0</v>
      </c>
      <c r="G42" s="21">
        <f>'Core Loads'!F$109*'Core Inputs'!$G$80+'Core Loads'!F$129*'Core Inputs'!$G$75+'Core Loads'!F$149*'Core Inputs'!$G$66+'Core Loads'!F$169*'Core Inputs'!$G$71</f>
        <v>0</v>
      </c>
      <c r="H42" s="21">
        <f>'Core Loads'!G$109*'Core Inputs'!$G$80+'Core Loads'!G$129*'Core Inputs'!$G$75+'Core Loads'!G$149*'Core Inputs'!$G$66+'Core Loads'!G$169*'Core Inputs'!$G$71</f>
        <v>0</v>
      </c>
      <c r="I42" s="21">
        <f>'Core Loads'!H$109*'Core Inputs'!$G$80+'Core Loads'!H$129*'Core Inputs'!$G$75+'Core Loads'!H$149*'Core Inputs'!$G$66+'Core Loads'!H$169*'Core Inputs'!$G$71</f>
        <v>0</v>
      </c>
      <c r="J42" s="21">
        <f>'Core Loads'!I$109*'Core Inputs'!$G$80+'Core Loads'!I$129*'Core Inputs'!$G$75+'Core Loads'!I$149*'Core Inputs'!$G$66+'Core Loads'!I$169*'Core Inputs'!$G$71</f>
        <v>0</v>
      </c>
      <c r="K42" s="21">
        <f>'Core Loads'!J$109*'Core Inputs'!$G$80+'Core Loads'!J$129*'Core Inputs'!$G$75+'Core Loads'!J$149*'Core Inputs'!$G$66+'Core Loads'!J$169*'Core Inputs'!$G$71</f>
        <v>0</v>
      </c>
      <c r="L42" s="21">
        <f>'Core Loads'!K$109*'Core Inputs'!$G$80+'Core Loads'!K$129*'Core Inputs'!$G$75+'Core Loads'!K$149*'Core Inputs'!$G$66+'Core Loads'!K$169*'Core Inputs'!$G$71</f>
        <v>0</v>
      </c>
      <c r="M42" s="21">
        <f>'Core Loads'!L$109*'Core Inputs'!$G$80+'Core Loads'!L$129*'Core Inputs'!$G$75+'Core Loads'!L$149*'Core Inputs'!$G$66+'Core Loads'!L$169*'Core Inputs'!$G$71</f>
        <v>0</v>
      </c>
      <c r="N42" s="21">
        <f>'Core Loads'!M$109*'Core Inputs'!$G$80+'Core Loads'!M$129*'Core Inputs'!$G$75+'Core Loads'!M$149*'Core Inputs'!$G$66+'Core Loads'!M$169*'Core Inputs'!$G$71</f>
        <v>0</v>
      </c>
      <c r="O42" s="21">
        <f>'Core Loads'!N$109*'Core Inputs'!$G$80+'Core Loads'!N$129*'Core Inputs'!$G$75+'Core Loads'!N$149*'Core Inputs'!$G$66+'Core Loads'!N$169*'Core Inputs'!$G$71</f>
        <v>0</v>
      </c>
      <c r="P42" s="21">
        <f>'Core Loads'!O$109*'Core Inputs'!$G$80+'Core Loads'!O$129*'Core Inputs'!$G$75+'Core Loads'!O$149*'Core Inputs'!$G$66+'Core Loads'!O$169*'Core Inputs'!$G$71</f>
        <v>0</v>
      </c>
      <c r="Q42" s="21">
        <f>'Core Loads'!P$109*'Core Inputs'!$G$80+'Core Loads'!P$129*'Core Inputs'!$G$75+'Core Loads'!P$149*'Core Inputs'!$G$66+'Core Loads'!P$169*'Core Inputs'!$G$71</f>
        <v>0</v>
      </c>
      <c r="R42" s="21">
        <f>'Core Loads'!Q$109*'Core Inputs'!$G$80+'Core Loads'!Q$129*'Core Inputs'!$G$75+'Core Loads'!Q$149*'Core Inputs'!$G$66+'Core Loads'!Q$169*'Core Inputs'!$G$71</f>
        <v>0</v>
      </c>
      <c r="S42" s="21">
        <f>'Core Loads'!R$109*'Core Inputs'!$G$80+'Core Loads'!R$129*'Core Inputs'!$G$75+'Core Loads'!R$149*'Core Inputs'!$G$66+'Core Loads'!R$169*'Core Inputs'!$G$71</f>
        <v>0</v>
      </c>
      <c r="T42" s="21">
        <f>'Core Loads'!S$109*'Core Inputs'!$G$80+'Core Loads'!S$129*'Core Inputs'!$G$75+'Core Loads'!S$149*'Core Inputs'!$G$66+'Core Loads'!S$169*'Core Inputs'!$G$71</f>
        <v>0</v>
      </c>
      <c r="U42" s="21">
        <f>'Core Loads'!T$109*'Core Inputs'!$G$80+'Core Loads'!T$129*'Core Inputs'!$G$75+'Core Loads'!T$149*'Core Inputs'!$G$66+'Core Loads'!T$169*'Core Inputs'!$G$71</f>
        <v>0</v>
      </c>
      <c r="V42" s="21">
        <f>'Core Loads'!U$109*'Core Inputs'!$G$80+'Core Loads'!U$129*'Core Inputs'!$G$75+'Core Loads'!U$149*'Core Inputs'!$G$66+'Core Loads'!U$169*'Core Inputs'!$G$71</f>
        <v>0</v>
      </c>
      <c r="W42" s="21">
        <f>'Core Loads'!V$109*'Core Inputs'!$G$80+'Core Loads'!V$129*'Core Inputs'!$G$75+'Core Loads'!V$149*'Core Inputs'!$G$66+'Core Loads'!V$169*'Core Inputs'!$G$71</f>
        <v>0</v>
      </c>
      <c r="X42" s="21">
        <f>'Core Loads'!W$109*'Core Inputs'!$G$80+'Core Loads'!W$129*'Core Inputs'!$G$75+'Core Loads'!W$149*'Core Inputs'!$G$66+'Core Loads'!W$169*'Core Inputs'!$G$71</f>
        <v>0</v>
      </c>
      <c r="Y42" s="21">
        <f>'Core Loads'!X$109*'Core Inputs'!$G$80+'Core Loads'!X$129*'Core Inputs'!$G$75+'Core Loads'!X$149*'Core Inputs'!$G$66+'Core Loads'!X$169*'Core Inputs'!$G$71</f>
        <v>0</v>
      </c>
      <c r="Z42" s="21">
        <f>'Core Loads'!Y$109*'Core Inputs'!$G$80+'Core Loads'!Y$129*'Core Inputs'!$G$75+'Core Loads'!Y$149*'Core Inputs'!$G$66+'Core Loads'!Y$169*'Core Inputs'!$G$71</f>
        <v>0</v>
      </c>
      <c r="AA42" s="21">
        <f>'Core Loads'!Z$109*'Core Inputs'!$G$80+'Core Loads'!Z$129*'Core Inputs'!$G$75+'Core Loads'!Z$149*'Core Inputs'!$G$66+'Core Loads'!Z$169*'Core Inputs'!$G$71</f>
        <v>0</v>
      </c>
      <c r="AB42" s="21">
        <f>'Core Loads'!AA$109*'Core Inputs'!$G$80+'Core Loads'!AA$129*'Core Inputs'!$G$75+'Core Loads'!AA$149*'Core Inputs'!$G$66+'Core Loads'!AA$169*'Core Inputs'!$G$71</f>
        <v>0</v>
      </c>
      <c r="AC42" s="21">
        <f>'Core Loads'!AB$109*'Core Inputs'!$G$80+'Core Loads'!AB$129*'Core Inputs'!$G$75+'Core Loads'!AB$149*'Core Inputs'!$G$66+'Core Loads'!AB$169*'Core Inputs'!$G$71</f>
        <v>0</v>
      </c>
      <c r="AD42" s="21">
        <f>'Core Loads'!AC$109*'Core Inputs'!$G$80+'Core Loads'!AC$129*'Core Inputs'!$G$75+'Core Loads'!AC$149*'Core Inputs'!$G$66+'Core Loads'!AC$169*'Core Inputs'!$G$71</f>
        <v>0</v>
      </c>
      <c r="AE42" s="21">
        <f>'Core Loads'!AD$109*'Core Inputs'!$G$80+'Core Loads'!AD$129*'Core Inputs'!$G$75+'Core Loads'!AD$149*'Core Inputs'!$G$66+'Core Loads'!AD$169*'Core Inputs'!$G$71</f>
        <v>0</v>
      </c>
      <c r="AF42" s="21">
        <f>'Core Loads'!AE$109*'Core Inputs'!$G$80+'Core Loads'!AE$129*'Core Inputs'!$G$75+'Core Loads'!AE$149*'Core Inputs'!$G$66+'Core Loads'!AE$169*'Core Inputs'!$G$71</f>
        <v>0</v>
      </c>
      <c r="AG42" s="21">
        <f>'Core Loads'!AF$109*'Core Inputs'!$G$80+'Core Loads'!AF$129*'Core Inputs'!$G$75+'Core Loads'!AF$149*'Core Inputs'!$G$66+'Core Loads'!AF$169*'Core Inputs'!$G$71</f>
        <v>0</v>
      </c>
      <c r="AH42"/>
      <c r="AI42" s="23" t="s">
        <v>293</v>
      </c>
    </row>
    <row r="43" spans="2:35" s="1" customFormat="1" hidden="1" outlineLevel="1" x14ac:dyDescent="0.25">
      <c r="C43" s="31" t="s">
        <v>245</v>
      </c>
      <c r="D43" s="21">
        <f>'Core Loads'!C$110*'Core Inputs'!$H$80+'Core Loads'!C$130*'Core Inputs'!$H$75+'Core Loads'!C$150*'Core Inputs'!$H$66+'Core Loads'!C$170*'Core Inputs'!$H$71</f>
        <v>0</v>
      </c>
      <c r="E43" s="69">
        <f>'Core Loads'!D$110*'Core Inputs'!$H$80+'Core Loads'!D$130*'Core Inputs'!$H$75+'Core Loads'!D$150*'Core Inputs'!$H$66+'Core Loads'!D$170*'Core Inputs'!$H$71</f>
        <v>0</v>
      </c>
      <c r="F43" s="21">
        <f>'Core Loads'!E$110*'Core Inputs'!$H$80+'Core Loads'!E$130*'Core Inputs'!$H$75+'Core Loads'!E$150*'Core Inputs'!$H$66+'Core Loads'!E$170*'Core Inputs'!$H$71</f>
        <v>0</v>
      </c>
      <c r="G43" s="21">
        <f>'Core Loads'!F$110*'Core Inputs'!$H$80+'Core Loads'!F$130*'Core Inputs'!$H$75+'Core Loads'!F$150*'Core Inputs'!$H$66+'Core Loads'!F$170*'Core Inputs'!$H$71</f>
        <v>0</v>
      </c>
      <c r="H43" s="21">
        <f>'Core Loads'!G$110*'Core Inputs'!$H$80+'Core Loads'!G$130*'Core Inputs'!$H$75+'Core Loads'!G$150*'Core Inputs'!$H$66+'Core Loads'!G$170*'Core Inputs'!$H$71</f>
        <v>0</v>
      </c>
      <c r="I43" s="21">
        <f>'Core Loads'!H$110*'Core Inputs'!$H$80+'Core Loads'!H$130*'Core Inputs'!$H$75+'Core Loads'!H$150*'Core Inputs'!$H$66+'Core Loads'!H$170*'Core Inputs'!$H$71</f>
        <v>0</v>
      </c>
      <c r="J43" s="21">
        <f>'Core Loads'!I$110*'Core Inputs'!$H$80+'Core Loads'!I$130*'Core Inputs'!$H$75+'Core Loads'!I$150*'Core Inputs'!$H$66+'Core Loads'!I$170*'Core Inputs'!$H$71</f>
        <v>0</v>
      </c>
      <c r="K43" s="21">
        <f>'Core Loads'!J$110*'Core Inputs'!$H$80+'Core Loads'!J$130*'Core Inputs'!$H$75+'Core Loads'!J$150*'Core Inputs'!$H$66+'Core Loads'!J$170*'Core Inputs'!$H$71</f>
        <v>0</v>
      </c>
      <c r="L43" s="21">
        <f>'Core Loads'!K$110*'Core Inputs'!$H$80+'Core Loads'!K$130*'Core Inputs'!$H$75+'Core Loads'!K$150*'Core Inputs'!$H$66+'Core Loads'!K$170*'Core Inputs'!$H$71</f>
        <v>0</v>
      </c>
      <c r="M43" s="21">
        <f>'Core Loads'!L$110*'Core Inputs'!$H$80+'Core Loads'!L$130*'Core Inputs'!$H$75+'Core Loads'!L$150*'Core Inputs'!$H$66+'Core Loads'!L$170*'Core Inputs'!$H$71</f>
        <v>0</v>
      </c>
      <c r="N43" s="21">
        <f>'Core Loads'!M$110*'Core Inputs'!$H$80+'Core Loads'!M$130*'Core Inputs'!$H$75+'Core Loads'!M$150*'Core Inputs'!$H$66+'Core Loads'!M$170*'Core Inputs'!$H$71</f>
        <v>0</v>
      </c>
      <c r="O43" s="21">
        <f>'Core Loads'!N$110*'Core Inputs'!$H$80+'Core Loads'!N$130*'Core Inputs'!$H$75+'Core Loads'!N$150*'Core Inputs'!$H$66+'Core Loads'!N$170*'Core Inputs'!$H$71</f>
        <v>0</v>
      </c>
      <c r="P43" s="21">
        <f>'Core Loads'!O$110*'Core Inputs'!$H$80+'Core Loads'!O$130*'Core Inputs'!$H$75+'Core Loads'!O$150*'Core Inputs'!$H$66+'Core Loads'!O$170*'Core Inputs'!$H$71</f>
        <v>0</v>
      </c>
      <c r="Q43" s="21">
        <f>'Core Loads'!P$110*'Core Inputs'!$H$80+'Core Loads'!P$130*'Core Inputs'!$H$75+'Core Loads'!P$150*'Core Inputs'!$H$66+'Core Loads'!P$170*'Core Inputs'!$H$71</f>
        <v>0</v>
      </c>
      <c r="R43" s="21">
        <f>'Core Loads'!Q$110*'Core Inputs'!$H$80+'Core Loads'!Q$130*'Core Inputs'!$H$75+'Core Loads'!Q$150*'Core Inputs'!$H$66+'Core Loads'!Q$170*'Core Inputs'!$H$71</f>
        <v>8876448.2900372017</v>
      </c>
      <c r="S43" s="21">
        <f>'Core Loads'!R$110*'Core Inputs'!$H$80+'Core Loads'!R$130*'Core Inputs'!$H$75+'Core Loads'!R$150*'Core Inputs'!$H$66+'Core Loads'!R$170*'Core Inputs'!$H$71</f>
        <v>44577406.3612132</v>
      </c>
      <c r="T43" s="21">
        <f>'Core Loads'!S$110*'Core Inputs'!$H$80+'Core Loads'!S$130*'Core Inputs'!$H$75+'Core Loads'!S$150*'Core Inputs'!$H$66+'Core Loads'!S$170*'Core Inputs'!$H$71</f>
        <v>44577406.3612132</v>
      </c>
      <c r="U43" s="21">
        <f>'Core Loads'!T$110*'Core Inputs'!$H$80+'Core Loads'!T$130*'Core Inputs'!$H$75+'Core Loads'!T$150*'Core Inputs'!$H$66+'Core Loads'!T$170*'Core Inputs'!$H$71</f>
        <v>44577406.3612132</v>
      </c>
      <c r="V43" s="21">
        <f>'Core Loads'!U$110*'Core Inputs'!$H$80+'Core Loads'!U$130*'Core Inputs'!$H$75+'Core Loads'!U$150*'Core Inputs'!$H$66+'Core Loads'!U$170*'Core Inputs'!$H$71</f>
        <v>44577406.3612132</v>
      </c>
      <c r="W43" s="21">
        <f>'Core Loads'!V$110*'Core Inputs'!$H$80+'Core Loads'!V$130*'Core Inputs'!$H$75+'Core Loads'!V$150*'Core Inputs'!$H$66+'Core Loads'!V$170*'Core Inputs'!$H$71</f>
        <v>44577406.3612132</v>
      </c>
      <c r="X43" s="21">
        <f>'Core Loads'!W$110*'Core Inputs'!$H$80+'Core Loads'!W$130*'Core Inputs'!$H$75+'Core Loads'!W$150*'Core Inputs'!$H$66+'Core Loads'!W$170*'Core Inputs'!$H$71</f>
        <v>44577406.3612132</v>
      </c>
      <c r="Y43" s="21">
        <f>'Core Loads'!X$110*'Core Inputs'!$H$80+'Core Loads'!X$130*'Core Inputs'!$H$75+'Core Loads'!X$150*'Core Inputs'!$H$66+'Core Loads'!X$170*'Core Inputs'!$H$71</f>
        <v>44577406.3612132</v>
      </c>
      <c r="Z43" s="21">
        <f>'Core Loads'!Y$110*'Core Inputs'!$H$80+'Core Loads'!Y$130*'Core Inputs'!$H$75+'Core Loads'!Y$150*'Core Inputs'!$H$66+'Core Loads'!Y$170*'Core Inputs'!$H$71</f>
        <v>44577406.3612132</v>
      </c>
      <c r="AA43" s="21">
        <f>'Core Loads'!Z$110*'Core Inputs'!$H$80+'Core Loads'!Z$130*'Core Inputs'!$H$75+'Core Loads'!Z$150*'Core Inputs'!$H$66+'Core Loads'!Z$170*'Core Inputs'!$H$71</f>
        <v>44577406.3612132</v>
      </c>
      <c r="AB43" s="21">
        <f>'Core Loads'!AA$110*'Core Inputs'!$H$80+'Core Loads'!AA$130*'Core Inputs'!$H$75+'Core Loads'!AA$150*'Core Inputs'!$H$66+'Core Loads'!AA$170*'Core Inputs'!$H$71</f>
        <v>44577406.3612132</v>
      </c>
      <c r="AC43" s="21">
        <f>'Core Loads'!AB$110*'Core Inputs'!$H$80+'Core Loads'!AB$130*'Core Inputs'!$H$75+'Core Loads'!AB$150*'Core Inputs'!$H$66+'Core Loads'!AB$170*'Core Inputs'!$H$71</f>
        <v>44577406.3612132</v>
      </c>
      <c r="AD43" s="21">
        <f>'Core Loads'!AC$110*'Core Inputs'!$H$80+'Core Loads'!AC$130*'Core Inputs'!$H$75+'Core Loads'!AC$150*'Core Inputs'!$H$66+'Core Loads'!AC$170*'Core Inputs'!$H$71</f>
        <v>44577406.3612132</v>
      </c>
      <c r="AE43" s="21">
        <f>'Core Loads'!AD$110*'Core Inputs'!$H$80+'Core Loads'!AD$130*'Core Inputs'!$H$75+'Core Loads'!AD$150*'Core Inputs'!$H$66+'Core Loads'!AD$170*'Core Inputs'!$H$71</f>
        <v>44577406.3612132</v>
      </c>
      <c r="AF43" s="21">
        <f>'Core Loads'!AE$110*'Core Inputs'!$H$80+'Core Loads'!AE$130*'Core Inputs'!$H$75+'Core Loads'!AE$150*'Core Inputs'!$H$66+'Core Loads'!AE$170*'Core Inputs'!$H$71</f>
        <v>44577406.3612132</v>
      </c>
      <c r="AG43" s="21">
        <f>'Core Loads'!AF$110*'Core Inputs'!$H$80+'Core Loads'!AF$130*'Core Inputs'!$H$75+'Core Loads'!AF$150*'Core Inputs'!$H$66+'Core Loads'!AF$170*'Core Inputs'!$H$71</f>
        <v>44577406.3612132</v>
      </c>
      <c r="AH43"/>
      <c r="AI43" s="23" t="s">
        <v>293</v>
      </c>
    </row>
    <row r="44" spans="2:35" s="1" customFormat="1" hidden="1" outlineLevel="1" x14ac:dyDescent="0.25">
      <c r="B44" t="s">
        <v>136</v>
      </c>
      <c r="C44" t="s">
        <v>169</v>
      </c>
      <c r="D44" s="21">
        <f>SUM(D45:D49)</f>
        <v>767733.66334654135</v>
      </c>
      <c r="E44" s="69">
        <f t="shared" ref="E44:AG44" si="1">SUM(E45:E49)</f>
        <v>767733.66334654135</v>
      </c>
      <c r="F44" s="21">
        <f t="shared" si="1"/>
        <v>767733.66334654135</v>
      </c>
      <c r="G44" s="21">
        <f t="shared" si="1"/>
        <v>708737.29180658632</v>
      </c>
      <c r="H44" s="21">
        <f t="shared" si="1"/>
        <v>708737.29180658632</v>
      </c>
      <c r="I44" s="21">
        <f t="shared" si="1"/>
        <v>2801603.6481454121</v>
      </c>
      <c r="J44" s="21">
        <f t="shared" si="1"/>
        <v>2801603.6481454121</v>
      </c>
      <c r="K44" s="21">
        <f t="shared" si="1"/>
        <v>2721503.5361640383</v>
      </c>
      <c r="L44" s="21">
        <f t="shared" si="1"/>
        <v>2721503.5361640383</v>
      </c>
      <c r="M44" s="21">
        <f t="shared" si="1"/>
        <v>2721503.5361640383</v>
      </c>
      <c r="N44" s="21">
        <f t="shared" si="1"/>
        <v>3830392.5210721781</v>
      </c>
      <c r="O44" s="21">
        <f t="shared" si="1"/>
        <v>3783979.3033394264</v>
      </c>
      <c r="P44" s="21">
        <f t="shared" si="1"/>
        <v>3783979.3033394264</v>
      </c>
      <c r="Q44" s="21">
        <f t="shared" si="1"/>
        <v>3772514.883931377</v>
      </c>
      <c r="R44" s="21">
        <f t="shared" si="1"/>
        <v>6752672.3299312945</v>
      </c>
      <c r="S44" s="21">
        <f t="shared" si="1"/>
        <v>7178624.4580384223</v>
      </c>
      <c r="T44" s="21">
        <f t="shared" si="1"/>
        <v>7178624.4580384223</v>
      </c>
      <c r="U44" s="21">
        <f t="shared" si="1"/>
        <v>7160234.6155085405</v>
      </c>
      <c r="V44" s="21">
        <f t="shared" si="1"/>
        <v>7160234.6155085405</v>
      </c>
      <c r="W44" s="21">
        <f t="shared" si="1"/>
        <v>7142432.8554423703</v>
      </c>
      <c r="X44" s="21">
        <f t="shared" si="1"/>
        <v>7142432.8554423703</v>
      </c>
      <c r="Y44" s="21">
        <f t="shared" si="1"/>
        <v>7142432.8554423703</v>
      </c>
      <c r="Z44" s="21">
        <f t="shared" si="1"/>
        <v>7142432.8554423703</v>
      </c>
      <c r="AA44" s="21">
        <f t="shared" si="1"/>
        <v>7142432.8554423703</v>
      </c>
      <c r="AB44" s="21">
        <f t="shared" si="1"/>
        <v>7142432.8554423703</v>
      </c>
      <c r="AC44" s="21">
        <f t="shared" si="1"/>
        <v>7124587.9075489389</v>
      </c>
      <c r="AD44" s="21">
        <f t="shared" si="1"/>
        <v>7124587.9075489389</v>
      </c>
      <c r="AE44" s="21">
        <f t="shared" si="1"/>
        <v>7124587.9075489389</v>
      </c>
      <c r="AF44" s="21">
        <f t="shared" si="1"/>
        <v>7124587.9075489389</v>
      </c>
      <c r="AG44" s="21">
        <f t="shared" si="1"/>
        <v>7124587.9075489389</v>
      </c>
      <c r="AH44"/>
      <c r="AI44" s="23" t="s">
        <v>295</v>
      </c>
    </row>
    <row r="45" spans="2:35" s="1" customFormat="1" hidden="1" outlineLevel="1" x14ac:dyDescent="0.25">
      <c r="C45" s="31" t="s">
        <v>144</v>
      </c>
      <c r="D45" s="21">
        <f>'Core Loads'!C$126*'Core Inputs'!$D$76+'Core Loads'!C$146*'Core Inputs'!$D$67</f>
        <v>767733.66334654135</v>
      </c>
      <c r="E45" s="69">
        <f>'Core Loads'!D$126*'Core Inputs'!$D$76+'Core Loads'!D$146*'Core Inputs'!$D$67</f>
        <v>767733.66334654135</v>
      </c>
      <c r="F45" s="21">
        <f>'Core Loads'!E$126*'Core Inputs'!$D$76+'Core Loads'!E$146*'Core Inputs'!$D$67</f>
        <v>767733.66334654135</v>
      </c>
      <c r="G45" s="21">
        <f>'Core Loads'!F$126*'Core Inputs'!$D$76+'Core Loads'!F$146*'Core Inputs'!$D$67</f>
        <v>708737.29180658632</v>
      </c>
      <c r="H45" s="21">
        <f>'Core Loads'!G$126*'Core Inputs'!$D$76+'Core Loads'!G$146*'Core Inputs'!$D$67</f>
        <v>708737.29180658632</v>
      </c>
      <c r="I45" s="21">
        <f>'Core Loads'!H$126*'Core Inputs'!$D$76+'Core Loads'!H$146*'Core Inputs'!$D$67</f>
        <v>2100126.6759077967</v>
      </c>
      <c r="J45" s="21">
        <f>'Core Loads'!I$126*'Core Inputs'!$D$76+'Core Loads'!I$146*'Core Inputs'!$D$67</f>
        <v>2100126.6759077967</v>
      </c>
      <c r="K45" s="21">
        <f>'Core Loads'!J$126*'Core Inputs'!$D$76+'Core Loads'!J$146*'Core Inputs'!$D$67</f>
        <v>2077430.1591850868</v>
      </c>
      <c r="L45" s="21">
        <f>'Core Loads'!K$126*'Core Inputs'!$D$76+'Core Loads'!K$146*'Core Inputs'!$D$67</f>
        <v>2077430.1591850868</v>
      </c>
      <c r="M45" s="21">
        <f>'Core Loads'!L$126*'Core Inputs'!$D$76+'Core Loads'!L$146*'Core Inputs'!$D$67</f>
        <v>2077430.1591850868</v>
      </c>
      <c r="N45" s="21">
        <f>'Core Loads'!M$126*'Core Inputs'!$D$76+'Core Loads'!M$146*'Core Inputs'!$D$67</f>
        <v>2077430.1591850868</v>
      </c>
      <c r="O45" s="21">
        <f>'Core Loads'!N$126*'Core Inputs'!$D$76+'Core Loads'!N$146*'Core Inputs'!$D$67</f>
        <v>2077430.1591850868</v>
      </c>
      <c r="P45" s="21">
        <f>'Core Loads'!O$126*'Core Inputs'!$D$76+'Core Loads'!O$146*'Core Inputs'!$D$67</f>
        <v>2077430.1591850868</v>
      </c>
      <c r="Q45" s="21">
        <f>'Core Loads'!P$126*'Core Inputs'!$D$76+'Core Loads'!P$146*'Core Inputs'!$D$67</f>
        <v>2077430.1591850868</v>
      </c>
      <c r="R45" s="21">
        <f>'Core Loads'!Q$126*'Core Inputs'!$D$76+'Core Loads'!Q$146*'Core Inputs'!$D$67</f>
        <v>3523604.7947415588</v>
      </c>
      <c r="S45" s="21">
        <f>'Core Loads'!R$126*'Core Inputs'!$D$76+'Core Loads'!R$146*'Core Inputs'!$D$67</f>
        <v>3523604.7947415588</v>
      </c>
      <c r="T45" s="21">
        <f>'Core Loads'!S$126*'Core Inputs'!$D$76+'Core Loads'!S$146*'Core Inputs'!$D$67</f>
        <v>3523604.7947415588</v>
      </c>
      <c r="U45" s="21">
        <f>'Core Loads'!T$126*'Core Inputs'!$D$76+'Core Loads'!T$146*'Core Inputs'!$D$67</f>
        <v>3523604.7947415588</v>
      </c>
      <c r="V45" s="21">
        <f>'Core Loads'!U$126*'Core Inputs'!$D$76+'Core Loads'!U$146*'Core Inputs'!$D$67</f>
        <v>3523604.7947415588</v>
      </c>
      <c r="W45" s="21">
        <f>'Core Loads'!V$126*'Core Inputs'!$D$76+'Core Loads'!V$146*'Core Inputs'!$D$67</f>
        <v>3523604.7947415588</v>
      </c>
      <c r="X45" s="21">
        <f>'Core Loads'!W$126*'Core Inputs'!$D$76+'Core Loads'!W$146*'Core Inputs'!$D$67</f>
        <v>3523604.7947415588</v>
      </c>
      <c r="Y45" s="21">
        <f>'Core Loads'!X$126*'Core Inputs'!$D$76+'Core Loads'!X$146*'Core Inputs'!$D$67</f>
        <v>3523604.7947415588</v>
      </c>
      <c r="Z45" s="21">
        <f>'Core Loads'!Y$126*'Core Inputs'!$D$76+'Core Loads'!Y$146*'Core Inputs'!$D$67</f>
        <v>3523604.7947415588</v>
      </c>
      <c r="AA45" s="21">
        <f>'Core Loads'!Z$126*'Core Inputs'!$D$76+'Core Loads'!Z$146*'Core Inputs'!$D$67</f>
        <v>3523604.7947415588</v>
      </c>
      <c r="AB45" s="21">
        <f>'Core Loads'!AA$126*'Core Inputs'!$D$76+'Core Loads'!AA$146*'Core Inputs'!$D$67</f>
        <v>3523604.7947415588</v>
      </c>
      <c r="AC45" s="21">
        <f>'Core Loads'!AB$126*'Core Inputs'!$D$76+'Core Loads'!AB$146*'Core Inputs'!$D$67</f>
        <v>3523604.7947415588</v>
      </c>
      <c r="AD45" s="21">
        <f>'Core Loads'!AC$126*'Core Inputs'!$D$76+'Core Loads'!AC$146*'Core Inputs'!$D$67</f>
        <v>3523604.7947415588</v>
      </c>
      <c r="AE45" s="21">
        <f>'Core Loads'!AD$126*'Core Inputs'!$D$76+'Core Loads'!AD$146*'Core Inputs'!$D$67</f>
        <v>3523604.7947415588</v>
      </c>
      <c r="AF45" s="21">
        <f>'Core Loads'!AE$126*'Core Inputs'!$D$76+'Core Loads'!AE$146*'Core Inputs'!$D$67</f>
        <v>3523604.7947415588</v>
      </c>
      <c r="AG45" s="21">
        <f>'Core Loads'!AF$126*'Core Inputs'!$D$76+'Core Loads'!AF$146*'Core Inputs'!$D$67</f>
        <v>3523604.7947415588</v>
      </c>
      <c r="AH45"/>
      <c r="AI45" s="23" t="s">
        <v>293</v>
      </c>
    </row>
    <row r="46" spans="2:35" s="1" customFormat="1" hidden="1" outlineLevel="1" x14ac:dyDescent="0.25">
      <c r="C46" s="31" t="s">
        <v>145</v>
      </c>
      <c r="D46" s="21">
        <f>'Core Loads'!C$127*'Core Inputs'!$E$76+'Core Loads'!C$147*'Core Inputs'!$E$67</f>
        <v>0</v>
      </c>
      <c r="E46" s="69">
        <f>'Core Loads'!D$127*'Core Inputs'!$E$76+'Core Loads'!D$147*'Core Inputs'!$E$67</f>
        <v>0</v>
      </c>
      <c r="F46" s="21">
        <f>'Core Loads'!E$127*'Core Inputs'!$E$76+'Core Loads'!E$147*'Core Inputs'!$E$67</f>
        <v>0</v>
      </c>
      <c r="G46" s="21">
        <f>'Core Loads'!F$127*'Core Inputs'!$E$76+'Core Loads'!F$147*'Core Inputs'!$E$67</f>
        <v>0</v>
      </c>
      <c r="H46" s="21">
        <f>'Core Loads'!G$127*'Core Inputs'!$E$76+'Core Loads'!G$147*'Core Inputs'!$E$67</f>
        <v>0</v>
      </c>
      <c r="I46" s="21">
        <f>'Core Loads'!H$127*'Core Inputs'!$E$76+'Core Loads'!H$147*'Core Inputs'!$E$67</f>
        <v>0</v>
      </c>
      <c r="J46" s="21">
        <f>'Core Loads'!I$127*'Core Inputs'!$E$76+'Core Loads'!I$147*'Core Inputs'!$E$67</f>
        <v>0</v>
      </c>
      <c r="K46" s="21">
        <f>'Core Loads'!J$127*'Core Inputs'!$E$76+'Core Loads'!J$147*'Core Inputs'!$E$67</f>
        <v>0</v>
      </c>
      <c r="L46" s="21">
        <f>'Core Loads'!K$127*'Core Inputs'!$E$76+'Core Loads'!K$147*'Core Inputs'!$E$67</f>
        <v>0</v>
      </c>
      <c r="M46" s="21">
        <f>'Core Loads'!L$127*'Core Inputs'!$E$76+'Core Loads'!L$147*'Core Inputs'!$E$67</f>
        <v>0</v>
      </c>
      <c r="N46" s="21">
        <f>'Core Loads'!M$127*'Core Inputs'!$E$76+'Core Loads'!M$147*'Core Inputs'!$E$67</f>
        <v>615079.10766683065</v>
      </c>
      <c r="O46" s="21">
        <f>'Core Loads'!N$127*'Core Inputs'!$E$76+'Core Loads'!N$147*'Core Inputs'!$E$67</f>
        <v>615079.10766683065</v>
      </c>
      <c r="P46" s="21">
        <f>'Core Loads'!O$127*'Core Inputs'!$E$76+'Core Loads'!O$147*'Core Inputs'!$E$67</f>
        <v>615079.10766683065</v>
      </c>
      <c r="Q46" s="21">
        <f>'Core Loads'!P$127*'Core Inputs'!$E$76+'Core Loads'!P$147*'Core Inputs'!$E$67</f>
        <v>613479.01802063407</v>
      </c>
      <c r="R46" s="21">
        <f>'Core Loads'!Q$127*'Core Inputs'!$E$76+'Core Loads'!Q$147*'Core Inputs'!$E$67</f>
        <v>876529.15715523553</v>
      </c>
      <c r="S46" s="21">
        <f>'Core Loads'!R$127*'Core Inputs'!$E$76+'Core Loads'!R$147*'Core Inputs'!$E$67</f>
        <v>873028.38049152633</v>
      </c>
      <c r="T46" s="21">
        <f>'Core Loads'!S$127*'Core Inputs'!$E$76+'Core Loads'!S$147*'Core Inputs'!$E$67</f>
        <v>873028.38049152633</v>
      </c>
      <c r="U46" s="21">
        <f>'Core Loads'!T$127*'Core Inputs'!$E$76+'Core Loads'!T$147*'Core Inputs'!$E$67</f>
        <v>854638.53796164435</v>
      </c>
      <c r="V46" s="21">
        <f>'Core Loads'!U$127*'Core Inputs'!$E$76+'Core Loads'!U$147*'Core Inputs'!$E$67</f>
        <v>854638.53796164435</v>
      </c>
      <c r="W46" s="21">
        <f>'Core Loads'!V$127*'Core Inputs'!$E$76+'Core Loads'!V$147*'Core Inputs'!$E$67</f>
        <v>854638.53796164435</v>
      </c>
      <c r="X46" s="21">
        <f>'Core Loads'!W$127*'Core Inputs'!$E$76+'Core Loads'!W$147*'Core Inputs'!$E$67</f>
        <v>854638.53796164435</v>
      </c>
      <c r="Y46" s="21">
        <f>'Core Loads'!X$127*'Core Inputs'!$E$76+'Core Loads'!X$147*'Core Inputs'!$E$67</f>
        <v>854638.53796164435</v>
      </c>
      <c r="Z46" s="21">
        <f>'Core Loads'!Y$127*'Core Inputs'!$E$76+'Core Loads'!Y$147*'Core Inputs'!$E$67</f>
        <v>854638.53796164435</v>
      </c>
      <c r="AA46" s="21">
        <f>'Core Loads'!Z$127*'Core Inputs'!$E$76+'Core Loads'!Z$147*'Core Inputs'!$E$67</f>
        <v>854638.53796164435</v>
      </c>
      <c r="AB46" s="21">
        <f>'Core Loads'!AA$127*'Core Inputs'!$E$76+'Core Loads'!AA$147*'Core Inputs'!$E$67</f>
        <v>854638.53796164435</v>
      </c>
      <c r="AC46" s="21">
        <f>'Core Loads'!AB$127*'Core Inputs'!$E$76+'Core Loads'!AB$147*'Core Inputs'!$E$67</f>
        <v>836793.59006821318</v>
      </c>
      <c r="AD46" s="21">
        <f>'Core Loads'!AC$127*'Core Inputs'!$E$76+'Core Loads'!AC$147*'Core Inputs'!$E$67</f>
        <v>836793.59006821318</v>
      </c>
      <c r="AE46" s="21">
        <f>'Core Loads'!AD$127*'Core Inputs'!$E$76+'Core Loads'!AD$147*'Core Inputs'!$E$67</f>
        <v>836793.59006821318</v>
      </c>
      <c r="AF46" s="21">
        <f>'Core Loads'!AE$127*'Core Inputs'!$E$76+'Core Loads'!AE$147*'Core Inputs'!$E$67</f>
        <v>836793.59006821318</v>
      </c>
      <c r="AG46" s="21">
        <f>'Core Loads'!AF$127*'Core Inputs'!$E$76+'Core Loads'!AF$147*'Core Inputs'!$E$67</f>
        <v>836793.59006821318</v>
      </c>
      <c r="AH46"/>
      <c r="AI46" s="23" t="s">
        <v>293</v>
      </c>
    </row>
    <row r="47" spans="2:35" s="1" customFormat="1" hidden="1" outlineLevel="1" x14ac:dyDescent="0.25">
      <c r="C47" s="31" t="s">
        <v>244</v>
      </c>
      <c r="D47" s="21">
        <f>'Core Loads'!C$128*'Core Inputs'!$F$76+'Core Loads'!C$148*'Core Inputs'!$F$67</f>
        <v>0</v>
      </c>
      <c r="E47" s="69">
        <f>'Core Loads'!D$128*'Core Inputs'!$F$76+'Core Loads'!D$148*'Core Inputs'!$F$67</f>
        <v>0</v>
      </c>
      <c r="F47" s="21">
        <f>'Core Loads'!E$128*'Core Inputs'!$F$76+'Core Loads'!E$148*'Core Inputs'!$F$67</f>
        <v>0</v>
      </c>
      <c r="G47" s="21">
        <f>'Core Loads'!F$128*'Core Inputs'!$F$76+'Core Loads'!F$148*'Core Inputs'!$F$67</f>
        <v>0</v>
      </c>
      <c r="H47" s="21">
        <f>'Core Loads'!G$128*'Core Inputs'!$F$76+'Core Loads'!G$148*'Core Inputs'!$F$67</f>
        <v>0</v>
      </c>
      <c r="I47" s="21">
        <f>'Core Loads'!H$128*'Core Inputs'!$F$76+'Core Loads'!H$148*'Core Inputs'!$F$67</f>
        <v>701476.97223761526</v>
      </c>
      <c r="J47" s="21">
        <f>'Core Loads'!I$128*'Core Inputs'!$F$76+'Core Loads'!I$148*'Core Inputs'!$F$67</f>
        <v>701476.97223761526</v>
      </c>
      <c r="K47" s="21">
        <f>'Core Loads'!J$128*'Core Inputs'!$F$76+'Core Loads'!J$148*'Core Inputs'!$F$67</f>
        <v>644073.37697895151</v>
      </c>
      <c r="L47" s="21">
        <f>'Core Loads'!K$128*'Core Inputs'!$F$76+'Core Loads'!K$148*'Core Inputs'!$F$67</f>
        <v>644073.37697895151</v>
      </c>
      <c r="M47" s="21">
        <f>'Core Loads'!L$128*'Core Inputs'!$F$76+'Core Loads'!L$148*'Core Inputs'!$F$67</f>
        <v>644073.37697895151</v>
      </c>
      <c r="N47" s="21">
        <f>'Core Loads'!M$128*'Core Inputs'!$F$76+'Core Loads'!M$148*'Core Inputs'!$F$67</f>
        <v>1137883.2542202605</v>
      </c>
      <c r="O47" s="21">
        <f>'Core Loads'!N$128*'Core Inputs'!$F$76+'Core Loads'!N$148*'Core Inputs'!$F$67</f>
        <v>1091470.0364875088</v>
      </c>
      <c r="P47" s="21">
        <f>'Core Loads'!O$128*'Core Inputs'!$F$76+'Core Loads'!O$148*'Core Inputs'!$F$67</f>
        <v>1091470.0364875088</v>
      </c>
      <c r="Q47" s="21">
        <f>'Core Loads'!P$128*'Core Inputs'!$F$76+'Core Loads'!P$148*'Core Inputs'!$F$67</f>
        <v>1081605.7067256563</v>
      </c>
      <c r="R47" s="21">
        <f>'Core Loads'!Q$128*'Core Inputs'!$F$76+'Core Loads'!Q$148*'Core Inputs'!$F$67</f>
        <v>2239329.3235271489</v>
      </c>
      <c r="S47" s="21">
        <f>'Core Loads'!R$128*'Core Inputs'!$F$76+'Core Loads'!R$148*'Core Inputs'!$F$67</f>
        <v>2290850.8056187634</v>
      </c>
      <c r="T47" s="21">
        <f>'Core Loads'!S$128*'Core Inputs'!$F$76+'Core Loads'!S$148*'Core Inputs'!$F$67</f>
        <v>2290850.8056187634</v>
      </c>
      <c r="U47" s="21">
        <f>'Core Loads'!T$128*'Core Inputs'!$F$76+'Core Loads'!T$148*'Core Inputs'!$F$67</f>
        <v>2290850.8056187634</v>
      </c>
      <c r="V47" s="21">
        <f>'Core Loads'!U$128*'Core Inputs'!$F$76+'Core Loads'!U$148*'Core Inputs'!$F$67</f>
        <v>2290850.8056187634</v>
      </c>
      <c r="W47" s="21">
        <f>'Core Loads'!V$128*'Core Inputs'!$F$76+'Core Loads'!V$148*'Core Inputs'!$F$67</f>
        <v>2273049.0455525923</v>
      </c>
      <c r="X47" s="21">
        <f>'Core Loads'!W$128*'Core Inputs'!$F$76+'Core Loads'!W$148*'Core Inputs'!$F$67</f>
        <v>2273049.0455525923</v>
      </c>
      <c r="Y47" s="21">
        <f>'Core Loads'!X$128*'Core Inputs'!$F$76+'Core Loads'!X$148*'Core Inputs'!$F$67</f>
        <v>2273049.0455525923</v>
      </c>
      <c r="Z47" s="21">
        <f>'Core Loads'!Y$128*'Core Inputs'!$F$76+'Core Loads'!Y$148*'Core Inputs'!$F$67</f>
        <v>2273049.0455525923</v>
      </c>
      <c r="AA47" s="21">
        <f>'Core Loads'!Z$128*'Core Inputs'!$F$76+'Core Loads'!Z$148*'Core Inputs'!$F$67</f>
        <v>2273049.0455525923</v>
      </c>
      <c r="AB47" s="21">
        <f>'Core Loads'!AA$128*'Core Inputs'!$F$76+'Core Loads'!AA$148*'Core Inputs'!$F$67</f>
        <v>2273049.0455525923</v>
      </c>
      <c r="AC47" s="21">
        <f>'Core Loads'!AB$128*'Core Inputs'!$F$76+'Core Loads'!AB$148*'Core Inputs'!$F$67</f>
        <v>2273049.0455525923</v>
      </c>
      <c r="AD47" s="21">
        <f>'Core Loads'!AC$128*'Core Inputs'!$F$76+'Core Loads'!AC$148*'Core Inputs'!$F$67</f>
        <v>2273049.0455525923</v>
      </c>
      <c r="AE47" s="21">
        <f>'Core Loads'!AD$128*'Core Inputs'!$F$76+'Core Loads'!AD$148*'Core Inputs'!$F$67</f>
        <v>2273049.0455525923</v>
      </c>
      <c r="AF47" s="21">
        <f>'Core Loads'!AE$128*'Core Inputs'!$F$76+'Core Loads'!AE$148*'Core Inputs'!$F$67</f>
        <v>2273049.0455525923</v>
      </c>
      <c r="AG47" s="21">
        <f>'Core Loads'!AF$128*'Core Inputs'!$F$76+'Core Loads'!AF$148*'Core Inputs'!$F$67</f>
        <v>2273049.0455525923</v>
      </c>
      <c r="AH47"/>
      <c r="AI47" s="23" t="s">
        <v>293</v>
      </c>
    </row>
    <row r="48" spans="2:35" s="1" customFormat="1" hidden="1" outlineLevel="1" x14ac:dyDescent="0.25">
      <c r="C48" s="31" t="s">
        <v>147</v>
      </c>
      <c r="D48" s="21">
        <f>'Core Loads'!C$129*'Core Inputs'!$G$76+'Core Loads'!C$149*'Core Inputs'!$G$67</f>
        <v>0</v>
      </c>
      <c r="E48" s="69">
        <f>'Core Loads'!D$129*'Core Inputs'!$G$76+'Core Loads'!D$149*'Core Inputs'!$G$67</f>
        <v>0</v>
      </c>
      <c r="F48" s="21">
        <f>'Core Loads'!E$129*'Core Inputs'!$G$76+'Core Loads'!E$149*'Core Inputs'!$G$67</f>
        <v>0</v>
      </c>
      <c r="G48" s="21">
        <f>'Core Loads'!F$129*'Core Inputs'!$G$76+'Core Loads'!F$149*'Core Inputs'!$G$67</f>
        <v>0</v>
      </c>
      <c r="H48" s="21">
        <f>'Core Loads'!G$129*'Core Inputs'!$G$76+'Core Loads'!G$149*'Core Inputs'!$G$67</f>
        <v>0</v>
      </c>
      <c r="I48" s="21">
        <f>'Core Loads'!H$129*'Core Inputs'!$G$76+'Core Loads'!H$149*'Core Inputs'!$G$67</f>
        <v>0</v>
      </c>
      <c r="J48" s="21">
        <f>'Core Loads'!I$129*'Core Inputs'!$G$76+'Core Loads'!I$149*'Core Inputs'!$G$67</f>
        <v>0</v>
      </c>
      <c r="K48" s="21">
        <f>'Core Loads'!J$129*'Core Inputs'!$G$76+'Core Loads'!J$149*'Core Inputs'!$G$67</f>
        <v>0</v>
      </c>
      <c r="L48" s="21">
        <f>'Core Loads'!K$129*'Core Inputs'!$G$76+'Core Loads'!K$149*'Core Inputs'!$G$67</f>
        <v>0</v>
      </c>
      <c r="M48" s="21">
        <f>'Core Loads'!L$129*'Core Inputs'!$G$76+'Core Loads'!L$149*'Core Inputs'!$G$67</f>
        <v>0</v>
      </c>
      <c r="N48" s="21">
        <f>'Core Loads'!M$129*'Core Inputs'!$G$76+'Core Loads'!M$149*'Core Inputs'!$G$67</f>
        <v>0</v>
      </c>
      <c r="O48" s="21">
        <f>'Core Loads'!N$129*'Core Inputs'!$G$76+'Core Loads'!N$149*'Core Inputs'!$G$67</f>
        <v>0</v>
      </c>
      <c r="P48" s="21">
        <f>'Core Loads'!O$129*'Core Inputs'!$G$76+'Core Loads'!O$149*'Core Inputs'!$G$67</f>
        <v>0</v>
      </c>
      <c r="Q48" s="21">
        <f>'Core Loads'!P$129*'Core Inputs'!$G$76+'Core Loads'!P$149*'Core Inputs'!$G$67</f>
        <v>0</v>
      </c>
      <c r="R48" s="21">
        <f>'Core Loads'!Q$129*'Core Inputs'!$G$76+'Core Loads'!Q$149*'Core Inputs'!$G$67</f>
        <v>0</v>
      </c>
      <c r="S48" s="21">
        <f>'Core Loads'!R$129*'Core Inputs'!$G$76+'Core Loads'!R$149*'Core Inputs'!$G$67</f>
        <v>0</v>
      </c>
      <c r="T48" s="21">
        <f>'Core Loads'!S$129*'Core Inputs'!$G$76+'Core Loads'!S$149*'Core Inputs'!$G$67</f>
        <v>0</v>
      </c>
      <c r="U48" s="21">
        <f>'Core Loads'!T$129*'Core Inputs'!$G$76+'Core Loads'!T$149*'Core Inputs'!$G$67</f>
        <v>0</v>
      </c>
      <c r="V48" s="21">
        <f>'Core Loads'!U$129*'Core Inputs'!$G$76+'Core Loads'!U$149*'Core Inputs'!$G$67</f>
        <v>0</v>
      </c>
      <c r="W48" s="21">
        <f>'Core Loads'!V$129*'Core Inputs'!$G$76+'Core Loads'!V$149*'Core Inputs'!$G$67</f>
        <v>0</v>
      </c>
      <c r="X48" s="21">
        <f>'Core Loads'!W$129*'Core Inputs'!$G$76+'Core Loads'!W$149*'Core Inputs'!$G$67</f>
        <v>0</v>
      </c>
      <c r="Y48" s="21">
        <f>'Core Loads'!X$129*'Core Inputs'!$G$76+'Core Loads'!X$149*'Core Inputs'!$G$67</f>
        <v>0</v>
      </c>
      <c r="Z48" s="21">
        <f>'Core Loads'!Y$129*'Core Inputs'!$G$76+'Core Loads'!Y$149*'Core Inputs'!$G$67</f>
        <v>0</v>
      </c>
      <c r="AA48" s="21">
        <f>'Core Loads'!Z$129*'Core Inputs'!$G$76+'Core Loads'!Z$149*'Core Inputs'!$G$67</f>
        <v>0</v>
      </c>
      <c r="AB48" s="21">
        <f>'Core Loads'!AA$129*'Core Inputs'!$G$76+'Core Loads'!AA$149*'Core Inputs'!$G$67</f>
        <v>0</v>
      </c>
      <c r="AC48" s="21">
        <f>'Core Loads'!AB$129*'Core Inputs'!$G$76+'Core Loads'!AB$149*'Core Inputs'!$G$67</f>
        <v>0</v>
      </c>
      <c r="AD48" s="21">
        <f>'Core Loads'!AC$129*'Core Inputs'!$G$76+'Core Loads'!AC$149*'Core Inputs'!$G$67</f>
        <v>0</v>
      </c>
      <c r="AE48" s="21">
        <f>'Core Loads'!AD$129*'Core Inputs'!$G$76+'Core Loads'!AD$149*'Core Inputs'!$G$67</f>
        <v>0</v>
      </c>
      <c r="AF48" s="21">
        <f>'Core Loads'!AE$129*'Core Inputs'!$G$76+'Core Loads'!AE$149*'Core Inputs'!$G$67</f>
        <v>0</v>
      </c>
      <c r="AG48" s="21">
        <f>'Core Loads'!AF$129*'Core Inputs'!$G$76+'Core Loads'!AF$149*'Core Inputs'!$G$67</f>
        <v>0</v>
      </c>
      <c r="AH48"/>
      <c r="AI48" s="23" t="s">
        <v>293</v>
      </c>
    </row>
    <row r="49" spans="2:35" s="1" customFormat="1" hidden="1" outlineLevel="1" x14ac:dyDescent="0.25">
      <c r="C49" s="31" t="s">
        <v>245</v>
      </c>
      <c r="D49" s="21">
        <f>'Core Loads'!C$130*'Core Inputs'!$H$76+'Core Loads'!C$150*'Core Inputs'!$H$67</f>
        <v>0</v>
      </c>
      <c r="E49" s="69">
        <f>'Core Loads'!D$130*'Core Inputs'!$H$76+'Core Loads'!D$150*'Core Inputs'!$H$67</f>
        <v>0</v>
      </c>
      <c r="F49" s="21">
        <f>'Core Loads'!E$130*'Core Inputs'!$H$76+'Core Loads'!E$150*'Core Inputs'!$H$67</f>
        <v>0</v>
      </c>
      <c r="G49" s="21">
        <f>'Core Loads'!F$130*'Core Inputs'!$H$76+'Core Loads'!F$150*'Core Inputs'!$H$67</f>
        <v>0</v>
      </c>
      <c r="H49" s="21">
        <f>'Core Loads'!G$130*'Core Inputs'!$H$76+'Core Loads'!G$150*'Core Inputs'!$H$67</f>
        <v>0</v>
      </c>
      <c r="I49" s="21">
        <f>'Core Loads'!H$130*'Core Inputs'!$H$76+'Core Loads'!H$150*'Core Inputs'!$H$67</f>
        <v>0</v>
      </c>
      <c r="J49" s="21">
        <f>'Core Loads'!I$130*'Core Inputs'!$H$76+'Core Loads'!I$150*'Core Inputs'!$H$67</f>
        <v>0</v>
      </c>
      <c r="K49" s="21">
        <f>'Core Loads'!J$130*'Core Inputs'!$H$76+'Core Loads'!J$150*'Core Inputs'!$H$67</f>
        <v>0</v>
      </c>
      <c r="L49" s="21">
        <f>'Core Loads'!K$130*'Core Inputs'!$H$76+'Core Loads'!K$150*'Core Inputs'!$H$67</f>
        <v>0</v>
      </c>
      <c r="M49" s="21">
        <f>'Core Loads'!L$130*'Core Inputs'!$H$76+'Core Loads'!L$150*'Core Inputs'!$H$67</f>
        <v>0</v>
      </c>
      <c r="N49" s="21">
        <f>'Core Loads'!M$130*'Core Inputs'!$H$76+'Core Loads'!M$150*'Core Inputs'!$H$67</f>
        <v>0</v>
      </c>
      <c r="O49" s="21">
        <f>'Core Loads'!N$130*'Core Inputs'!$H$76+'Core Loads'!N$150*'Core Inputs'!$H$67</f>
        <v>0</v>
      </c>
      <c r="P49" s="21">
        <f>'Core Loads'!O$130*'Core Inputs'!$H$76+'Core Loads'!O$150*'Core Inputs'!$H$67</f>
        <v>0</v>
      </c>
      <c r="Q49" s="21">
        <f>'Core Loads'!P$130*'Core Inputs'!$H$76+'Core Loads'!P$150*'Core Inputs'!$H$67</f>
        <v>0</v>
      </c>
      <c r="R49" s="21">
        <f>'Core Loads'!Q$130*'Core Inputs'!$H$76+'Core Loads'!Q$150*'Core Inputs'!$H$67</f>
        <v>113209.05450735141</v>
      </c>
      <c r="S49" s="21">
        <f>'Core Loads'!R$130*'Core Inputs'!$H$76+'Core Loads'!R$150*'Core Inputs'!$H$67</f>
        <v>491140.47718657437</v>
      </c>
      <c r="T49" s="21">
        <f>'Core Loads'!S$130*'Core Inputs'!$H$76+'Core Loads'!S$150*'Core Inputs'!$H$67</f>
        <v>491140.47718657437</v>
      </c>
      <c r="U49" s="21">
        <f>'Core Loads'!T$130*'Core Inputs'!$H$76+'Core Loads'!T$150*'Core Inputs'!$H$67</f>
        <v>491140.47718657437</v>
      </c>
      <c r="V49" s="21">
        <f>'Core Loads'!U$130*'Core Inputs'!$H$76+'Core Loads'!U$150*'Core Inputs'!$H$67</f>
        <v>491140.47718657437</v>
      </c>
      <c r="W49" s="21">
        <f>'Core Loads'!V$130*'Core Inputs'!$H$76+'Core Loads'!V$150*'Core Inputs'!$H$67</f>
        <v>491140.47718657437</v>
      </c>
      <c r="X49" s="21">
        <f>'Core Loads'!W$130*'Core Inputs'!$H$76+'Core Loads'!W$150*'Core Inputs'!$H$67</f>
        <v>491140.47718657437</v>
      </c>
      <c r="Y49" s="21">
        <f>'Core Loads'!X$130*'Core Inputs'!$H$76+'Core Loads'!X$150*'Core Inputs'!$H$67</f>
        <v>491140.47718657437</v>
      </c>
      <c r="Z49" s="21">
        <f>'Core Loads'!Y$130*'Core Inputs'!$H$76+'Core Loads'!Y$150*'Core Inputs'!$H$67</f>
        <v>491140.47718657437</v>
      </c>
      <c r="AA49" s="21">
        <f>'Core Loads'!Z$130*'Core Inputs'!$H$76+'Core Loads'!Z$150*'Core Inputs'!$H$67</f>
        <v>491140.47718657437</v>
      </c>
      <c r="AB49" s="21">
        <f>'Core Loads'!AA$130*'Core Inputs'!$H$76+'Core Loads'!AA$150*'Core Inputs'!$H$67</f>
        <v>491140.47718657437</v>
      </c>
      <c r="AC49" s="21">
        <f>'Core Loads'!AB$130*'Core Inputs'!$H$76+'Core Loads'!AB$150*'Core Inputs'!$H$67</f>
        <v>491140.47718657437</v>
      </c>
      <c r="AD49" s="21">
        <f>'Core Loads'!AC$130*'Core Inputs'!$H$76+'Core Loads'!AC$150*'Core Inputs'!$H$67</f>
        <v>491140.47718657437</v>
      </c>
      <c r="AE49" s="21">
        <f>'Core Loads'!AD$130*'Core Inputs'!$H$76+'Core Loads'!AD$150*'Core Inputs'!$H$67</f>
        <v>491140.47718657437</v>
      </c>
      <c r="AF49" s="21">
        <f>'Core Loads'!AE$130*'Core Inputs'!$H$76+'Core Loads'!AE$150*'Core Inputs'!$H$67</f>
        <v>491140.47718657437</v>
      </c>
      <c r="AG49" s="21">
        <f>'Core Loads'!AF$130*'Core Inputs'!$H$76+'Core Loads'!AF$150*'Core Inputs'!$H$67</f>
        <v>491140.47718657437</v>
      </c>
      <c r="AH49"/>
      <c r="AI49" s="23" t="s">
        <v>293</v>
      </c>
    </row>
    <row r="50" spans="2:35" s="1" customFormat="1" hidden="1" outlineLevel="1" x14ac:dyDescent="0.25">
      <c r="B50" t="s">
        <v>154</v>
      </c>
      <c r="C50" t="s">
        <v>170</v>
      </c>
      <c r="D50" s="21">
        <f>SUM(D51:D55)</f>
        <v>12625.782580688316</v>
      </c>
      <c r="E50" s="69">
        <f t="shared" ref="E50:AG50" si="2">SUM(E51:E55)</f>
        <v>12625.782580688316</v>
      </c>
      <c r="F50" s="21">
        <f t="shared" si="2"/>
        <v>12625.782580688316</v>
      </c>
      <c r="G50" s="21">
        <f t="shared" si="2"/>
        <v>12130.814033766277</v>
      </c>
      <c r="H50" s="21">
        <f t="shared" si="2"/>
        <v>12130.814033766277</v>
      </c>
      <c r="I50" s="21">
        <f t="shared" si="2"/>
        <v>48964.800741048501</v>
      </c>
      <c r="J50" s="21">
        <f t="shared" si="2"/>
        <v>48964.800741048501</v>
      </c>
      <c r="K50" s="21">
        <f t="shared" si="2"/>
        <v>47515.2358352476</v>
      </c>
      <c r="L50" s="21">
        <f t="shared" si="2"/>
        <v>47515.2358352476</v>
      </c>
      <c r="M50" s="21">
        <f t="shared" si="2"/>
        <v>49695.98926384643</v>
      </c>
      <c r="N50" s="21">
        <f t="shared" si="2"/>
        <v>82660.460874429031</v>
      </c>
      <c r="O50" s="21">
        <f t="shared" si="2"/>
        <v>82305.537266675296</v>
      </c>
      <c r="P50" s="21">
        <f t="shared" si="2"/>
        <v>82305.537266675296</v>
      </c>
      <c r="Q50" s="21">
        <f t="shared" si="2"/>
        <v>82235.083202671434</v>
      </c>
      <c r="R50" s="21">
        <f t="shared" si="2"/>
        <v>144483.601555553</v>
      </c>
      <c r="S50" s="21">
        <f t="shared" si="2"/>
        <v>165316.17341266482</v>
      </c>
      <c r="T50" s="21">
        <f t="shared" si="2"/>
        <v>165316.17341266482</v>
      </c>
      <c r="U50" s="21">
        <f t="shared" si="2"/>
        <v>165249.68529523592</v>
      </c>
      <c r="V50" s="21">
        <f t="shared" si="2"/>
        <v>165249.68529523592</v>
      </c>
      <c r="W50" s="21">
        <f t="shared" si="2"/>
        <v>164877.54257590559</v>
      </c>
      <c r="X50" s="21">
        <f t="shared" si="2"/>
        <v>164877.54257590559</v>
      </c>
      <c r="Y50" s="21">
        <f t="shared" si="2"/>
        <v>164877.54257590559</v>
      </c>
      <c r="Z50" s="21">
        <f t="shared" si="2"/>
        <v>164877.54257590559</v>
      </c>
      <c r="AA50" s="21">
        <f t="shared" si="2"/>
        <v>164877.54257590559</v>
      </c>
      <c r="AB50" s="21">
        <f t="shared" si="2"/>
        <v>164877.54257590559</v>
      </c>
      <c r="AC50" s="21">
        <f t="shared" si="2"/>
        <v>164385.26105735954</v>
      </c>
      <c r="AD50" s="21">
        <f t="shared" si="2"/>
        <v>164385.26105735954</v>
      </c>
      <c r="AE50" s="21">
        <f t="shared" si="2"/>
        <v>164385.26105735954</v>
      </c>
      <c r="AF50" s="21">
        <f t="shared" si="2"/>
        <v>164385.26105735954</v>
      </c>
      <c r="AG50" s="21">
        <f t="shared" si="2"/>
        <v>164385.26105735954</v>
      </c>
      <c r="AH50"/>
      <c r="AI50" s="23" t="s">
        <v>295</v>
      </c>
    </row>
    <row r="51" spans="2:35" s="1" customFormat="1" hidden="1" outlineLevel="1" x14ac:dyDescent="0.25">
      <c r="C51" s="31" t="s">
        <v>144</v>
      </c>
      <c r="D51" s="21">
        <f>'Core Loads'!C$126*'Core Inputs'!$D$77+'Core Loads'!C$146*'Core Inputs'!$D$68+'Core Loads'!C$166*'Core Inputs'!$D$72</f>
        <v>12625.782580688316</v>
      </c>
      <c r="E51" s="69">
        <f>'Core Loads'!D$126*'Core Inputs'!$D$77+'Core Loads'!D$146*'Core Inputs'!$D$68+'Core Loads'!D$166*'Core Inputs'!$D$72</f>
        <v>12625.782580688316</v>
      </c>
      <c r="F51" s="21">
        <f>'Core Loads'!E$126*'Core Inputs'!$D$77+'Core Loads'!E$146*'Core Inputs'!$D$68+'Core Loads'!E$166*'Core Inputs'!$D$72</f>
        <v>12625.782580688316</v>
      </c>
      <c r="G51" s="21">
        <f>'Core Loads'!F$126*'Core Inputs'!$D$77+'Core Loads'!F$146*'Core Inputs'!$D$68+'Core Loads'!F$166*'Core Inputs'!$D$72</f>
        <v>12130.814033766277</v>
      </c>
      <c r="H51" s="21">
        <f>'Core Loads'!G$126*'Core Inputs'!$D$77+'Core Loads'!G$146*'Core Inputs'!$D$68+'Core Loads'!G$166*'Core Inputs'!$D$72</f>
        <v>12130.814033766277</v>
      </c>
      <c r="I51" s="21">
        <f>'Core Loads'!H$126*'Core Inputs'!$D$77+'Core Loads'!H$146*'Core Inputs'!$D$68+'Core Loads'!H$166*'Core Inputs'!$D$72</f>
        <v>30483.518646637684</v>
      </c>
      <c r="J51" s="21">
        <f>'Core Loads'!I$126*'Core Inputs'!$D$77+'Core Loads'!I$146*'Core Inputs'!$D$68+'Core Loads'!I$166*'Core Inputs'!$D$72</f>
        <v>30483.518646637684</v>
      </c>
      <c r="K51" s="21">
        <f>'Core Loads'!J$126*'Core Inputs'!$D$77+'Core Loads'!J$146*'Core Inputs'!$D$68+'Core Loads'!J$166*'Core Inputs'!$D$72</f>
        <v>30030.021078065736</v>
      </c>
      <c r="L51" s="21">
        <f>'Core Loads'!K$126*'Core Inputs'!$D$77+'Core Loads'!K$146*'Core Inputs'!$D$68+'Core Loads'!K$166*'Core Inputs'!$D$72</f>
        <v>30030.021078065736</v>
      </c>
      <c r="M51" s="21">
        <f>'Core Loads'!L$126*'Core Inputs'!$D$77+'Core Loads'!L$146*'Core Inputs'!$D$68+'Core Loads'!L$166*'Core Inputs'!$D$72</f>
        <v>32210.774506664566</v>
      </c>
      <c r="N51" s="21">
        <f>'Core Loads'!M$126*'Core Inputs'!$D$77+'Core Loads'!M$146*'Core Inputs'!$D$68+'Core Loads'!M$166*'Core Inputs'!$D$72</f>
        <v>32210.774506664566</v>
      </c>
      <c r="O51" s="21">
        <f>'Core Loads'!N$126*'Core Inputs'!$D$77+'Core Loads'!N$146*'Core Inputs'!$D$68+'Core Loads'!N$166*'Core Inputs'!$D$72</f>
        <v>32210.774506664566</v>
      </c>
      <c r="P51" s="21">
        <f>'Core Loads'!O$126*'Core Inputs'!$D$77+'Core Loads'!O$146*'Core Inputs'!$D$68+'Core Loads'!O$166*'Core Inputs'!$D$72</f>
        <v>32210.774506664566</v>
      </c>
      <c r="Q51" s="21">
        <f>'Core Loads'!P$126*'Core Inputs'!$D$77+'Core Loads'!P$146*'Core Inputs'!$D$68+'Core Loads'!P$166*'Core Inputs'!$D$72</f>
        <v>32210.774506664566</v>
      </c>
      <c r="R51" s="21">
        <f>'Core Loads'!Q$126*'Core Inputs'!$D$77+'Core Loads'!Q$146*'Core Inputs'!$D$68+'Core Loads'!Q$166*'Core Inputs'!$D$72</f>
        <v>48029.307110531103</v>
      </c>
      <c r="S51" s="21">
        <f>'Core Loads'!R$126*'Core Inputs'!$D$77+'Core Loads'!R$146*'Core Inputs'!$D$68+'Core Loads'!R$166*'Core Inputs'!$D$72</f>
        <v>48029.307110531103</v>
      </c>
      <c r="T51" s="21">
        <f>'Core Loads'!S$126*'Core Inputs'!$D$77+'Core Loads'!S$146*'Core Inputs'!$D$68+'Core Loads'!S$166*'Core Inputs'!$D$72</f>
        <v>48029.307110531103</v>
      </c>
      <c r="U51" s="21">
        <f>'Core Loads'!T$126*'Core Inputs'!$D$77+'Core Loads'!T$146*'Core Inputs'!$D$68+'Core Loads'!T$166*'Core Inputs'!$D$72</f>
        <v>48029.307110531103</v>
      </c>
      <c r="V51" s="21">
        <f>'Core Loads'!U$126*'Core Inputs'!$D$77+'Core Loads'!U$146*'Core Inputs'!$D$68+'Core Loads'!U$166*'Core Inputs'!$D$72</f>
        <v>48029.307110531103</v>
      </c>
      <c r="W51" s="21">
        <f>'Core Loads'!V$126*'Core Inputs'!$D$77+'Core Loads'!V$146*'Core Inputs'!$D$68+'Core Loads'!V$166*'Core Inputs'!$D$72</f>
        <v>48029.307110531103</v>
      </c>
      <c r="X51" s="21">
        <f>'Core Loads'!W$126*'Core Inputs'!$D$77+'Core Loads'!W$146*'Core Inputs'!$D$68+'Core Loads'!W$166*'Core Inputs'!$D$72</f>
        <v>48029.307110531103</v>
      </c>
      <c r="Y51" s="21">
        <f>'Core Loads'!X$126*'Core Inputs'!$D$77+'Core Loads'!X$146*'Core Inputs'!$D$68+'Core Loads'!X$166*'Core Inputs'!$D$72</f>
        <v>48029.307110531103</v>
      </c>
      <c r="Z51" s="21">
        <f>'Core Loads'!Y$126*'Core Inputs'!$D$77+'Core Loads'!Y$146*'Core Inputs'!$D$68+'Core Loads'!Y$166*'Core Inputs'!$D$72</f>
        <v>48029.307110531103</v>
      </c>
      <c r="AA51" s="21">
        <f>'Core Loads'!Z$126*'Core Inputs'!$D$77+'Core Loads'!Z$146*'Core Inputs'!$D$68+'Core Loads'!Z$166*'Core Inputs'!$D$72</f>
        <v>48029.307110531103</v>
      </c>
      <c r="AB51" s="21">
        <f>'Core Loads'!AA$126*'Core Inputs'!$D$77+'Core Loads'!AA$146*'Core Inputs'!$D$68+'Core Loads'!AA$166*'Core Inputs'!$D$72</f>
        <v>48029.307110531103</v>
      </c>
      <c r="AC51" s="21">
        <f>'Core Loads'!AB$126*'Core Inputs'!$D$77+'Core Loads'!AB$146*'Core Inputs'!$D$68+'Core Loads'!AB$166*'Core Inputs'!$D$72</f>
        <v>48029.307110531103</v>
      </c>
      <c r="AD51" s="21">
        <f>'Core Loads'!AC$126*'Core Inputs'!$D$77+'Core Loads'!AC$146*'Core Inputs'!$D$68+'Core Loads'!AC$166*'Core Inputs'!$D$72</f>
        <v>48029.307110531103</v>
      </c>
      <c r="AE51" s="21">
        <f>'Core Loads'!AD$126*'Core Inputs'!$D$77+'Core Loads'!AD$146*'Core Inputs'!$D$68+'Core Loads'!AD$166*'Core Inputs'!$D$72</f>
        <v>48029.307110531103</v>
      </c>
      <c r="AF51" s="21">
        <f>'Core Loads'!AE$126*'Core Inputs'!$D$77+'Core Loads'!AE$146*'Core Inputs'!$D$68+'Core Loads'!AE$166*'Core Inputs'!$D$72</f>
        <v>48029.307110531103</v>
      </c>
      <c r="AG51" s="21">
        <f>'Core Loads'!AF$126*'Core Inputs'!$D$77+'Core Loads'!AF$146*'Core Inputs'!$D$68+'Core Loads'!AF$166*'Core Inputs'!$D$72</f>
        <v>48029.307110531103</v>
      </c>
      <c r="AH51"/>
      <c r="AI51" s="23" t="s">
        <v>293</v>
      </c>
    </row>
    <row r="52" spans="2:35" s="1" customFormat="1" hidden="1" outlineLevel="1" x14ac:dyDescent="0.25">
      <c r="C52" s="31" t="s">
        <v>145</v>
      </c>
      <c r="D52" s="21">
        <f>'Core Loads'!C$127*'Core Inputs'!$E$77+'Core Loads'!C$147*'Core Inputs'!$E$68+'Core Loads'!C$167*'Core Inputs'!$E$72</f>
        <v>0</v>
      </c>
      <c r="E52" s="69">
        <f>'Core Loads'!D$127*'Core Inputs'!$E$77+'Core Loads'!D$147*'Core Inputs'!$E$68+'Core Loads'!D$167*'Core Inputs'!$E$72</f>
        <v>0</v>
      </c>
      <c r="F52" s="21">
        <f>'Core Loads'!E$127*'Core Inputs'!$E$77+'Core Loads'!E$147*'Core Inputs'!$E$68+'Core Loads'!E$167*'Core Inputs'!$E$72</f>
        <v>0</v>
      </c>
      <c r="G52" s="21">
        <f>'Core Loads'!F$127*'Core Inputs'!$E$77+'Core Loads'!F$147*'Core Inputs'!$E$68+'Core Loads'!F$167*'Core Inputs'!$E$72</f>
        <v>0</v>
      </c>
      <c r="H52" s="21">
        <f>'Core Loads'!G$127*'Core Inputs'!$E$77+'Core Loads'!G$147*'Core Inputs'!$E$68+'Core Loads'!G$167*'Core Inputs'!$E$72</f>
        <v>0</v>
      </c>
      <c r="I52" s="21">
        <f>'Core Loads'!H$127*'Core Inputs'!$E$77+'Core Loads'!H$147*'Core Inputs'!$E$68+'Core Loads'!H$167*'Core Inputs'!$E$72</f>
        <v>0</v>
      </c>
      <c r="J52" s="21">
        <f>'Core Loads'!I$127*'Core Inputs'!$E$77+'Core Loads'!I$147*'Core Inputs'!$E$68+'Core Loads'!I$167*'Core Inputs'!$E$72</f>
        <v>0</v>
      </c>
      <c r="K52" s="21">
        <f>'Core Loads'!J$127*'Core Inputs'!$E$77+'Core Loads'!J$147*'Core Inputs'!$E$68+'Core Loads'!J$167*'Core Inputs'!$E$72</f>
        <v>0</v>
      </c>
      <c r="L52" s="21">
        <f>'Core Loads'!K$127*'Core Inputs'!$E$77+'Core Loads'!K$147*'Core Inputs'!$E$68+'Core Loads'!K$167*'Core Inputs'!$E$72</f>
        <v>0</v>
      </c>
      <c r="M52" s="21">
        <f>'Core Loads'!L$127*'Core Inputs'!$E$77+'Core Loads'!L$147*'Core Inputs'!$E$68+'Core Loads'!L$167*'Core Inputs'!$E$72</f>
        <v>0</v>
      </c>
      <c r="N52" s="21">
        <f>'Core Loads'!M$127*'Core Inputs'!$E$77+'Core Loads'!M$147*'Core Inputs'!$E$68+'Core Loads'!M$167*'Core Inputs'!$E$72</f>
        <v>15620.246056914164</v>
      </c>
      <c r="O52" s="21">
        <f>'Core Loads'!N$127*'Core Inputs'!$E$77+'Core Loads'!N$147*'Core Inputs'!$E$68+'Core Loads'!N$167*'Core Inputs'!$E$72</f>
        <v>15620.246056914164</v>
      </c>
      <c r="P52" s="21">
        <f>'Core Loads'!O$127*'Core Inputs'!$E$77+'Core Loads'!O$147*'Core Inputs'!$E$68+'Core Loads'!O$167*'Core Inputs'!$E$72</f>
        <v>15620.246056914164</v>
      </c>
      <c r="Q52" s="21">
        <f>'Core Loads'!P$127*'Core Inputs'!$E$77+'Core Loads'!P$147*'Core Inputs'!$E$68+'Core Loads'!P$167*'Core Inputs'!$E$72</f>
        <v>15580.989828606009</v>
      </c>
      <c r="R52" s="21">
        <f>'Core Loads'!Q$127*'Core Inputs'!$E$77+'Core Loads'!Q$147*'Core Inputs'!$E$68+'Core Loads'!Q$167*'Core Inputs'!$E$72</f>
        <v>26868.570068124569</v>
      </c>
      <c r="S52" s="21">
        <f>'Core Loads'!R$127*'Core Inputs'!$E$77+'Core Loads'!R$147*'Core Inputs'!$E$68+'Core Loads'!R$167*'Core Inputs'!$E$72</f>
        <v>28060.327786925038</v>
      </c>
      <c r="T52" s="21">
        <f>'Core Loads'!S$127*'Core Inputs'!$E$77+'Core Loads'!S$147*'Core Inputs'!$E$68+'Core Loads'!S$167*'Core Inputs'!$E$72</f>
        <v>28060.327786925038</v>
      </c>
      <c r="U52" s="21">
        <f>'Core Loads'!T$127*'Core Inputs'!$E$77+'Core Loads'!T$147*'Core Inputs'!$E$68+'Core Loads'!T$167*'Core Inputs'!$E$72</f>
        <v>27993.839669496156</v>
      </c>
      <c r="V52" s="21">
        <f>'Core Loads'!U$127*'Core Inputs'!$E$77+'Core Loads'!U$147*'Core Inputs'!$E$68+'Core Loads'!U$167*'Core Inputs'!$E$72</f>
        <v>27993.839669496156</v>
      </c>
      <c r="W52" s="21">
        <f>'Core Loads'!V$127*'Core Inputs'!$E$77+'Core Loads'!V$147*'Core Inputs'!$E$68+'Core Loads'!V$167*'Core Inputs'!$E$72</f>
        <v>27993.839669496156</v>
      </c>
      <c r="X52" s="21">
        <f>'Core Loads'!W$127*'Core Inputs'!$E$77+'Core Loads'!W$147*'Core Inputs'!$E$68+'Core Loads'!W$167*'Core Inputs'!$E$72</f>
        <v>27993.839669496156</v>
      </c>
      <c r="Y52" s="21">
        <f>'Core Loads'!X$127*'Core Inputs'!$E$77+'Core Loads'!X$147*'Core Inputs'!$E$68+'Core Loads'!X$167*'Core Inputs'!$E$72</f>
        <v>27993.839669496156</v>
      </c>
      <c r="Z52" s="21">
        <f>'Core Loads'!Y$127*'Core Inputs'!$E$77+'Core Loads'!Y$147*'Core Inputs'!$E$68+'Core Loads'!Y$167*'Core Inputs'!$E$72</f>
        <v>27993.839669496156</v>
      </c>
      <c r="AA52" s="21">
        <f>'Core Loads'!Z$127*'Core Inputs'!$E$77+'Core Loads'!Z$147*'Core Inputs'!$E$68+'Core Loads'!Z$167*'Core Inputs'!$E$72</f>
        <v>27993.839669496156</v>
      </c>
      <c r="AB52" s="21">
        <f>'Core Loads'!AA$127*'Core Inputs'!$E$77+'Core Loads'!AA$147*'Core Inputs'!$E$68+'Core Loads'!AA$167*'Core Inputs'!$E$72</f>
        <v>27993.839669496156</v>
      </c>
      <c r="AC52" s="21">
        <f>'Core Loads'!AB$127*'Core Inputs'!$E$77+'Core Loads'!AB$147*'Core Inputs'!$E$68+'Core Loads'!AB$167*'Core Inputs'!$E$72</f>
        <v>27501.558150950099</v>
      </c>
      <c r="AD52" s="21">
        <f>'Core Loads'!AC$127*'Core Inputs'!$E$77+'Core Loads'!AC$147*'Core Inputs'!$E$68+'Core Loads'!AC$167*'Core Inputs'!$E$72</f>
        <v>27501.558150950099</v>
      </c>
      <c r="AE52" s="21">
        <f>'Core Loads'!AD$127*'Core Inputs'!$E$77+'Core Loads'!AD$147*'Core Inputs'!$E$68+'Core Loads'!AD$167*'Core Inputs'!$E$72</f>
        <v>27501.558150950099</v>
      </c>
      <c r="AF52" s="21">
        <f>'Core Loads'!AE$127*'Core Inputs'!$E$77+'Core Loads'!AE$147*'Core Inputs'!$E$68+'Core Loads'!AE$167*'Core Inputs'!$E$72</f>
        <v>27501.558150950099</v>
      </c>
      <c r="AG52" s="21">
        <f>'Core Loads'!AF$127*'Core Inputs'!$E$77+'Core Loads'!AF$147*'Core Inputs'!$E$68+'Core Loads'!AF$167*'Core Inputs'!$E$72</f>
        <v>27501.558150950099</v>
      </c>
      <c r="AH52"/>
      <c r="AI52" s="23" t="s">
        <v>293</v>
      </c>
    </row>
    <row r="53" spans="2:35" s="1" customFormat="1" hidden="1" outlineLevel="1" x14ac:dyDescent="0.25">
      <c r="C53" s="31" t="s">
        <v>244</v>
      </c>
      <c r="D53" s="21">
        <f>'Core Loads'!C$128*'Core Inputs'!$F$77+'Core Loads'!C$148*'Core Inputs'!$F$68+'Core Loads'!C$168*'Core Inputs'!$F$72</f>
        <v>0</v>
      </c>
      <c r="E53" s="69">
        <f>'Core Loads'!D$128*'Core Inputs'!$F$77+'Core Loads'!D$148*'Core Inputs'!$F$68+'Core Loads'!D$168*'Core Inputs'!$F$72</f>
        <v>0</v>
      </c>
      <c r="F53" s="21">
        <f>'Core Loads'!E$128*'Core Inputs'!$F$77+'Core Loads'!E$148*'Core Inputs'!$F$68+'Core Loads'!E$168*'Core Inputs'!$F$72</f>
        <v>0</v>
      </c>
      <c r="G53" s="21">
        <f>'Core Loads'!F$128*'Core Inputs'!$F$77+'Core Loads'!F$148*'Core Inputs'!$F$68+'Core Loads'!F$168*'Core Inputs'!$F$72</f>
        <v>0</v>
      </c>
      <c r="H53" s="21">
        <f>'Core Loads'!G$128*'Core Inputs'!$F$77+'Core Loads'!G$148*'Core Inputs'!$F$68+'Core Loads'!G$168*'Core Inputs'!$F$72</f>
        <v>0</v>
      </c>
      <c r="I53" s="21">
        <f>'Core Loads'!H$128*'Core Inputs'!$F$77+'Core Loads'!H$148*'Core Inputs'!$F$68+'Core Loads'!H$168*'Core Inputs'!$F$72</f>
        <v>18481.282094410813</v>
      </c>
      <c r="J53" s="21">
        <f>'Core Loads'!I$128*'Core Inputs'!$F$77+'Core Loads'!I$148*'Core Inputs'!$F$68+'Core Loads'!I$168*'Core Inputs'!$F$72</f>
        <v>18481.282094410813</v>
      </c>
      <c r="K53" s="21">
        <f>'Core Loads'!J$128*'Core Inputs'!$F$77+'Core Loads'!J$148*'Core Inputs'!$F$68+'Core Loads'!J$168*'Core Inputs'!$F$72</f>
        <v>17485.214757181864</v>
      </c>
      <c r="L53" s="21">
        <f>'Core Loads'!K$128*'Core Inputs'!$F$77+'Core Loads'!K$148*'Core Inputs'!$F$68+'Core Loads'!K$168*'Core Inputs'!$F$72</f>
        <v>17485.214757181864</v>
      </c>
      <c r="M53" s="21">
        <f>'Core Loads'!L$128*'Core Inputs'!$F$77+'Core Loads'!L$148*'Core Inputs'!$F$68+'Core Loads'!L$168*'Core Inputs'!$F$72</f>
        <v>17485.214757181864</v>
      </c>
      <c r="N53" s="21">
        <f>'Core Loads'!M$128*'Core Inputs'!$F$77+'Core Loads'!M$148*'Core Inputs'!$F$68+'Core Loads'!M$168*'Core Inputs'!$F$72</f>
        <v>34829.44031085031</v>
      </c>
      <c r="O53" s="21">
        <f>'Core Loads'!N$128*'Core Inputs'!$F$77+'Core Loads'!N$148*'Core Inputs'!$F$68+'Core Loads'!N$168*'Core Inputs'!$F$72</f>
        <v>34474.51670309656</v>
      </c>
      <c r="P53" s="21">
        <f>'Core Loads'!O$128*'Core Inputs'!$F$77+'Core Loads'!O$148*'Core Inputs'!$F$68+'Core Loads'!O$168*'Core Inputs'!$F$72</f>
        <v>34474.51670309656</v>
      </c>
      <c r="Q53" s="21">
        <f>'Core Loads'!P$128*'Core Inputs'!$F$77+'Core Loads'!P$148*'Core Inputs'!$F$68+'Core Loads'!P$168*'Core Inputs'!$F$72</f>
        <v>34443.318867400863</v>
      </c>
      <c r="R53" s="21">
        <f>'Core Loads'!Q$128*'Core Inputs'!$F$77+'Core Loads'!Q$148*'Core Inputs'!$F$68+'Core Loads'!Q$168*'Core Inputs'!$F$72</f>
        <v>57747.862203816447</v>
      </c>
      <c r="S53" s="21">
        <f>'Core Loads'!R$128*'Core Inputs'!$F$77+'Core Loads'!R$148*'Core Inputs'!$F$68+'Core Loads'!R$168*'Core Inputs'!$F$72</f>
        <v>60442.689102032258</v>
      </c>
      <c r="T53" s="21">
        <f>'Core Loads'!S$128*'Core Inputs'!$F$77+'Core Loads'!S$148*'Core Inputs'!$F$68+'Core Loads'!S$168*'Core Inputs'!$F$72</f>
        <v>60442.689102032258</v>
      </c>
      <c r="U53" s="21">
        <f>'Core Loads'!T$128*'Core Inputs'!$F$77+'Core Loads'!T$148*'Core Inputs'!$F$68+'Core Loads'!T$168*'Core Inputs'!$F$72</f>
        <v>60442.689102032258</v>
      </c>
      <c r="V53" s="21">
        <f>'Core Loads'!U$128*'Core Inputs'!$F$77+'Core Loads'!U$148*'Core Inputs'!$F$68+'Core Loads'!U$168*'Core Inputs'!$F$72</f>
        <v>60442.689102032258</v>
      </c>
      <c r="W53" s="21">
        <f>'Core Loads'!V$128*'Core Inputs'!$F$77+'Core Loads'!V$148*'Core Inputs'!$F$68+'Core Loads'!V$168*'Core Inputs'!$F$72</f>
        <v>60070.546382701934</v>
      </c>
      <c r="X53" s="21">
        <f>'Core Loads'!W$128*'Core Inputs'!$F$77+'Core Loads'!W$148*'Core Inputs'!$F$68+'Core Loads'!W$168*'Core Inputs'!$F$72</f>
        <v>60070.546382701934</v>
      </c>
      <c r="Y53" s="21">
        <f>'Core Loads'!X$128*'Core Inputs'!$F$77+'Core Loads'!X$148*'Core Inputs'!$F$68+'Core Loads'!X$168*'Core Inputs'!$F$72</f>
        <v>60070.546382701934</v>
      </c>
      <c r="Z53" s="21">
        <f>'Core Loads'!Y$128*'Core Inputs'!$F$77+'Core Loads'!Y$148*'Core Inputs'!$F$68+'Core Loads'!Y$168*'Core Inputs'!$F$72</f>
        <v>60070.546382701934</v>
      </c>
      <c r="AA53" s="21">
        <f>'Core Loads'!Z$128*'Core Inputs'!$F$77+'Core Loads'!Z$148*'Core Inputs'!$F$68+'Core Loads'!Z$168*'Core Inputs'!$F$72</f>
        <v>60070.546382701934</v>
      </c>
      <c r="AB53" s="21">
        <f>'Core Loads'!AA$128*'Core Inputs'!$F$77+'Core Loads'!AA$148*'Core Inputs'!$F$68+'Core Loads'!AA$168*'Core Inputs'!$F$72</f>
        <v>60070.546382701934</v>
      </c>
      <c r="AC53" s="21">
        <f>'Core Loads'!AB$128*'Core Inputs'!$F$77+'Core Loads'!AB$148*'Core Inputs'!$F$68+'Core Loads'!AB$168*'Core Inputs'!$F$72</f>
        <v>60070.546382701934</v>
      </c>
      <c r="AD53" s="21">
        <f>'Core Loads'!AC$128*'Core Inputs'!$F$77+'Core Loads'!AC$148*'Core Inputs'!$F$68+'Core Loads'!AC$168*'Core Inputs'!$F$72</f>
        <v>60070.546382701934</v>
      </c>
      <c r="AE53" s="21">
        <f>'Core Loads'!AD$128*'Core Inputs'!$F$77+'Core Loads'!AD$148*'Core Inputs'!$F$68+'Core Loads'!AD$168*'Core Inputs'!$F$72</f>
        <v>60070.546382701934</v>
      </c>
      <c r="AF53" s="21">
        <f>'Core Loads'!AE$128*'Core Inputs'!$F$77+'Core Loads'!AE$148*'Core Inputs'!$F$68+'Core Loads'!AE$168*'Core Inputs'!$F$72</f>
        <v>60070.546382701934</v>
      </c>
      <c r="AG53" s="21">
        <f>'Core Loads'!AF$128*'Core Inputs'!$F$77+'Core Loads'!AF$148*'Core Inputs'!$F$68+'Core Loads'!AF$168*'Core Inputs'!$F$72</f>
        <v>60070.546382701934</v>
      </c>
      <c r="AH53"/>
      <c r="AI53" s="23" t="s">
        <v>293</v>
      </c>
    </row>
    <row r="54" spans="2:35" s="1" customFormat="1" hidden="1" outlineLevel="1" x14ac:dyDescent="0.25">
      <c r="C54" s="31" t="s">
        <v>147</v>
      </c>
      <c r="D54" s="21">
        <f>'Core Loads'!C$129*'Core Inputs'!$G$77+'Core Loads'!C$149*'Core Inputs'!$G$68+'Core Loads'!C$169*'Core Inputs'!$G$72</f>
        <v>0</v>
      </c>
      <c r="E54" s="69">
        <f>'Core Loads'!D$129*'Core Inputs'!$G$77+'Core Loads'!D$149*'Core Inputs'!$G$68+'Core Loads'!D$169*'Core Inputs'!$G$72</f>
        <v>0</v>
      </c>
      <c r="F54" s="21">
        <f>'Core Loads'!E$129*'Core Inputs'!$G$77+'Core Loads'!E$149*'Core Inputs'!$G$68+'Core Loads'!E$169*'Core Inputs'!$G$72</f>
        <v>0</v>
      </c>
      <c r="G54" s="21">
        <f>'Core Loads'!F$129*'Core Inputs'!$G$77+'Core Loads'!F$149*'Core Inputs'!$G$68+'Core Loads'!F$169*'Core Inputs'!$G$72</f>
        <v>0</v>
      </c>
      <c r="H54" s="21">
        <f>'Core Loads'!G$129*'Core Inputs'!$G$77+'Core Loads'!G$149*'Core Inputs'!$G$68+'Core Loads'!G$169*'Core Inputs'!$G$72</f>
        <v>0</v>
      </c>
      <c r="I54" s="21">
        <f>'Core Loads'!H$129*'Core Inputs'!$G$77+'Core Loads'!H$149*'Core Inputs'!$G$68+'Core Loads'!H$169*'Core Inputs'!$G$72</f>
        <v>0</v>
      </c>
      <c r="J54" s="21">
        <f>'Core Loads'!I$129*'Core Inputs'!$G$77+'Core Loads'!I$149*'Core Inputs'!$G$68+'Core Loads'!I$169*'Core Inputs'!$G$72</f>
        <v>0</v>
      </c>
      <c r="K54" s="21">
        <f>'Core Loads'!J$129*'Core Inputs'!$G$77+'Core Loads'!J$149*'Core Inputs'!$G$68+'Core Loads'!J$169*'Core Inputs'!$G$72</f>
        <v>0</v>
      </c>
      <c r="L54" s="21">
        <f>'Core Loads'!K$129*'Core Inputs'!$G$77+'Core Loads'!K$149*'Core Inputs'!$G$68+'Core Loads'!K$169*'Core Inputs'!$G$72</f>
        <v>0</v>
      </c>
      <c r="M54" s="21">
        <f>'Core Loads'!L$129*'Core Inputs'!$G$77+'Core Loads'!L$149*'Core Inputs'!$G$68+'Core Loads'!L$169*'Core Inputs'!$G$72</f>
        <v>0</v>
      </c>
      <c r="N54" s="21">
        <f>'Core Loads'!M$129*'Core Inputs'!$G$77+'Core Loads'!M$149*'Core Inputs'!$G$68+'Core Loads'!M$169*'Core Inputs'!$G$72</f>
        <v>0</v>
      </c>
      <c r="O54" s="21">
        <f>'Core Loads'!N$129*'Core Inputs'!$G$77+'Core Loads'!N$149*'Core Inputs'!$G$68+'Core Loads'!N$169*'Core Inputs'!$G$72</f>
        <v>0</v>
      </c>
      <c r="P54" s="21">
        <f>'Core Loads'!O$129*'Core Inputs'!$G$77+'Core Loads'!O$149*'Core Inputs'!$G$68+'Core Loads'!O$169*'Core Inputs'!$G$72</f>
        <v>0</v>
      </c>
      <c r="Q54" s="21">
        <f>'Core Loads'!P$129*'Core Inputs'!$G$77+'Core Loads'!P$149*'Core Inputs'!$G$68+'Core Loads'!P$169*'Core Inputs'!$G$72</f>
        <v>0</v>
      </c>
      <c r="R54" s="21">
        <f>'Core Loads'!Q$129*'Core Inputs'!$G$77+'Core Loads'!Q$149*'Core Inputs'!$G$68+'Core Loads'!Q$169*'Core Inputs'!$G$72</f>
        <v>0</v>
      </c>
      <c r="S54" s="21">
        <f>'Core Loads'!R$129*'Core Inputs'!$G$77+'Core Loads'!R$149*'Core Inputs'!$G$68+'Core Loads'!R$169*'Core Inputs'!$G$72</f>
        <v>0</v>
      </c>
      <c r="T54" s="21">
        <f>'Core Loads'!S$129*'Core Inputs'!$G$77+'Core Loads'!S$149*'Core Inputs'!$G$68+'Core Loads'!S$169*'Core Inputs'!$G$72</f>
        <v>0</v>
      </c>
      <c r="U54" s="21">
        <f>'Core Loads'!T$129*'Core Inputs'!$G$77+'Core Loads'!T$149*'Core Inputs'!$G$68+'Core Loads'!T$169*'Core Inputs'!$G$72</f>
        <v>0</v>
      </c>
      <c r="V54" s="21">
        <f>'Core Loads'!U$129*'Core Inputs'!$G$77+'Core Loads'!U$149*'Core Inputs'!$G$68+'Core Loads'!U$169*'Core Inputs'!$G$72</f>
        <v>0</v>
      </c>
      <c r="W54" s="21">
        <f>'Core Loads'!V$129*'Core Inputs'!$G$77+'Core Loads'!V$149*'Core Inputs'!$G$68+'Core Loads'!V$169*'Core Inputs'!$G$72</f>
        <v>0</v>
      </c>
      <c r="X54" s="21">
        <f>'Core Loads'!W$129*'Core Inputs'!$G$77+'Core Loads'!W$149*'Core Inputs'!$G$68+'Core Loads'!W$169*'Core Inputs'!$G$72</f>
        <v>0</v>
      </c>
      <c r="Y54" s="21">
        <f>'Core Loads'!X$129*'Core Inputs'!$G$77+'Core Loads'!X$149*'Core Inputs'!$G$68+'Core Loads'!X$169*'Core Inputs'!$G$72</f>
        <v>0</v>
      </c>
      <c r="Z54" s="21">
        <f>'Core Loads'!Y$129*'Core Inputs'!$G$77+'Core Loads'!Y$149*'Core Inputs'!$G$68+'Core Loads'!Y$169*'Core Inputs'!$G$72</f>
        <v>0</v>
      </c>
      <c r="AA54" s="21">
        <f>'Core Loads'!Z$129*'Core Inputs'!$G$77+'Core Loads'!Z$149*'Core Inputs'!$G$68+'Core Loads'!Z$169*'Core Inputs'!$G$72</f>
        <v>0</v>
      </c>
      <c r="AB54" s="21">
        <f>'Core Loads'!AA$129*'Core Inputs'!$G$77+'Core Loads'!AA$149*'Core Inputs'!$G$68+'Core Loads'!AA$169*'Core Inputs'!$G$72</f>
        <v>0</v>
      </c>
      <c r="AC54" s="21">
        <f>'Core Loads'!AB$129*'Core Inputs'!$G$77+'Core Loads'!AB$149*'Core Inputs'!$G$68+'Core Loads'!AB$169*'Core Inputs'!$G$72</f>
        <v>0</v>
      </c>
      <c r="AD54" s="21">
        <f>'Core Loads'!AC$129*'Core Inputs'!$G$77+'Core Loads'!AC$149*'Core Inputs'!$G$68+'Core Loads'!AC$169*'Core Inputs'!$G$72</f>
        <v>0</v>
      </c>
      <c r="AE54" s="21">
        <f>'Core Loads'!AD$129*'Core Inputs'!$G$77+'Core Loads'!AD$149*'Core Inputs'!$G$68+'Core Loads'!AD$169*'Core Inputs'!$G$72</f>
        <v>0</v>
      </c>
      <c r="AF54" s="21">
        <f>'Core Loads'!AE$129*'Core Inputs'!$G$77+'Core Loads'!AE$149*'Core Inputs'!$G$68+'Core Loads'!AE$169*'Core Inputs'!$G$72</f>
        <v>0</v>
      </c>
      <c r="AG54" s="21">
        <f>'Core Loads'!AF$129*'Core Inputs'!$G$77+'Core Loads'!AF$149*'Core Inputs'!$G$68+'Core Loads'!AF$169*'Core Inputs'!$G$72</f>
        <v>0</v>
      </c>
      <c r="AH54"/>
      <c r="AI54" s="23" t="s">
        <v>293</v>
      </c>
    </row>
    <row r="55" spans="2:35" s="1" customFormat="1" hidden="1" outlineLevel="1" x14ac:dyDescent="0.25">
      <c r="C55" s="31" t="s">
        <v>245</v>
      </c>
      <c r="D55" s="21">
        <f>'Core Loads'!C$130*'Core Inputs'!$H$77+'Core Loads'!C$150*'Core Inputs'!$H$68+'Core Loads'!C$170*'Core Inputs'!$H$72</f>
        <v>0</v>
      </c>
      <c r="E55" s="69">
        <f>'Core Loads'!D$130*'Core Inputs'!$H$77+'Core Loads'!D$150*'Core Inputs'!$H$68+'Core Loads'!D$170*'Core Inputs'!$H$72</f>
        <v>0</v>
      </c>
      <c r="F55" s="21">
        <f>'Core Loads'!E$130*'Core Inputs'!$H$77+'Core Loads'!E$150*'Core Inputs'!$H$68+'Core Loads'!E$170*'Core Inputs'!$H$72</f>
        <v>0</v>
      </c>
      <c r="G55" s="21">
        <f>'Core Loads'!F$130*'Core Inputs'!$H$77+'Core Loads'!F$150*'Core Inputs'!$H$68+'Core Loads'!F$170*'Core Inputs'!$H$72</f>
        <v>0</v>
      </c>
      <c r="H55" s="21">
        <f>'Core Loads'!G$130*'Core Inputs'!$H$77+'Core Loads'!G$150*'Core Inputs'!$H$68+'Core Loads'!G$170*'Core Inputs'!$H$72</f>
        <v>0</v>
      </c>
      <c r="I55" s="21">
        <f>'Core Loads'!H$130*'Core Inputs'!$H$77+'Core Loads'!H$150*'Core Inputs'!$H$68+'Core Loads'!H$170*'Core Inputs'!$H$72</f>
        <v>0</v>
      </c>
      <c r="J55" s="21">
        <f>'Core Loads'!I$130*'Core Inputs'!$H$77+'Core Loads'!I$150*'Core Inputs'!$H$68+'Core Loads'!I$170*'Core Inputs'!$H$72</f>
        <v>0</v>
      </c>
      <c r="K55" s="21">
        <f>'Core Loads'!J$130*'Core Inputs'!$H$77+'Core Loads'!J$150*'Core Inputs'!$H$68+'Core Loads'!J$170*'Core Inputs'!$H$72</f>
        <v>0</v>
      </c>
      <c r="L55" s="21">
        <f>'Core Loads'!K$130*'Core Inputs'!$H$77+'Core Loads'!K$150*'Core Inputs'!$H$68+'Core Loads'!K$170*'Core Inputs'!$H$72</f>
        <v>0</v>
      </c>
      <c r="M55" s="21">
        <f>'Core Loads'!L$130*'Core Inputs'!$H$77+'Core Loads'!L$150*'Core Inputs'!$H$68+'Core Loads'!L$170*'Core Inputs'!$H$72</f>
        <v>0</v>
      </c>
      <c r="N55" s="21">
        <f>'Core Loads'!M$130*'Core Inputs'!$H$77+'Core Loads'!M$150*'Core Inputs'!$H$68+'Core Loads'!M$170*'Core Inputs'!$H$72</f>
        <v>0</v>
      </c>
      <c r="O55" s="21">
        <f>'Core Loads'!N$130*'Core Inputs'!$H$77+'Core Loads'!N$150*'Core Inputs'!$H$68+'Core Loads'!N$170*'Core Inputs'!$H$72</f>
        <v>0</v>
      </c>
      <c r="P55" s="21">
        <f>'Core Loads'!O$130*'Core Inputs'!$H$77+'Core Loads'!O$150*'Core Inputs'!$H$68+'Core Loads'!O$170*'Core Inputs'!$H$72</f>
        <v>0</v>
      </c>
      <c r="Q55" s="21">
        <f>'Core Loads'!P$130*'Core Inputs'!$H$77+'Core Loads'!P$150*'Core Inputs'!$H$68+'Core Loads'!P$170*'Core Inputs'!$H$72</f>
        <v>0</v>
      </c>
      <c r="R55" s="21">
        <f>'Core Loads'!Q$130*'Core Inputs'!$H$77+'Core Loads'!Q$150*'Core Inputs'!$H$68+'Core Loads'!Q$170*'Core Inputs'!$H$72</f>
        <v>11837.862173080874</v>
      </c>
      <c r="S55" s="21">
        <f>'Core Loads'!R$130*'Core Inputs'!$H$77+'Core Loads'!R$150*'Core Inputs'!$H$68+'Core Loads'!R$170*'Core Inputs'!$H$72</f>
        <v>28783.849413176406</v>
      </c>
      <c r="T55" s="21">
        <f>'Core Loads'!S$130*'Core Inputs'!$H$77+'Core Loads'!S$150*'Core Inputs'!$H$68+'Core Loads'!S$170*'Core Inputs'!$H$72</f>
        <v>28783.849413176406</v>
      </c>
      <c r="U55" s="21">
        <f>'Core Loads'!T$130*'Core Inputs'!$H$77+'Core Loads'!T$150*'Core Inputs'!$H$68+'Core Loads'!T$170*'Core Inputs'!$H$72</f>
        <v>28783.849413176406</v>
      </c>
      <c r="V55" s="21">
        <f>'Core Loads'!U$130*'Core Inputs'!$H$77+'Core Loads'!U$150*'Core Inputs'!$H$68+'Core Loads'!U$170*'Core Inputs'!$H$72</f>
        <v>28783.849413176406</v>
      </c>
      <c r="W55" s="21">
        <f>'Core Loads'!V$130*'Core Inputs'!$H$77+'Core Loads'!V$150*'Core Inputs'!$H$68+'Core Loads'!V$170*'Core Inputs'!$H$72</f>
        <v>28783.849413176406</v>
      </c>
      <c r="X55" s="21">
        <f>'Core Loads'!W$130*'Core Inputs'!$H$77+'Core Loads'!W$150*'Core Inputs'!$H$68+'Core Loads'!W$170*'Core Inputs'!$H$72</f>
        <v>28783.849413176406</v>
      </c>
      <c r="Y55" s="21">
        <f>'Core Loads'!X$130*'Core Inputs'!$H$77+'Core Loads'!X$150*'Core Inputs'!$H$68+'Core Loads'!X$170*'Core Inputs'!$H$72</f>
        <v>28783.849413176406</v>
      </c>
      <c r="Z55" s="21">
        <f>'Core Loads'!Y$130*'Core Inputs'!$H$77+'Core Loads'!Y$150*'Core Inputs'!$H$68+'Core Loads'!Y$170*'Core Inputs'!$H$72</f>
        <v>28783.849413176406</v>
      </c>
      <c r="AA55" s="21">
        <f>'Core Loads'!Z$130*'Core Inputs'!$H$77+'Core Loads'!Z$150*'Core Inputs'!$H$68+'Core Loads'!Z$170*'Core Inputs'!$H$72</f>
        <v>28783.849413176406</v>
      </c>
      <c r="AB55" s="21">
        <f>'Core Loads'!AA$130*'Core Inputs'!$H$77+'Core Loads'!AA$150*'Core Inputs'!$H$68+'Core Loads'!AA$170*'Core Inputs'!$H$72</f>
        <v>28783.849413176406</v>
      </c>
      <c r="AC55" s="21">
        <f>'Core Loads'!AB$130*'Core Inputs'!$H$77+'Core Loads'!AB$150*'Core Inputs'!$H$68+'Core Loads'!AB$170*'Core Inputs'!$H$72</f>
        <v>28783.849413176406</v>
      </c>
      <c r="AD55" s="21">
        <f>'Core Loads'!AC$130*'Core Inputs'!$H$77+'Core Loads'!AC$150*'Core Inputs'!$H$68+'Core Loads'!AC$170*'Core Inputs'!$H$72</f>
        <v>28783.849413176406</v>
      </c>
      <c r="AE55" s="21">
        <f>'Core Loads'!AD$130*'Core Inputs'!$H$77+'Core Loads'!AD$150*'Core Inputs'!$H$68+'Core Loads'!AD$170*'Core Inputs'!$H$72</f>
        <v>28783.849413176406</v>
      </c>
      <c r="AF55" s="21">
        <f>'Core Loads'!AE$130*'Core Inputs'!$H$77+'Core Loads'!AE$150*'Core Inputs'!$H$68+'Core Loads'!AE$170*'Core Inputs'!$H$72</f>
        <v>28783.849413176406</v>
      </c>
      <c r="AG55" s="21">
        <f>'Core Loads'!AF$130*'Core Inputs'!$H$77+'Core Loads'!AF$150*'Core Inputs'!$H$68+'Core Loads'!AF$170*'Core Inputs'!$H$72</f>
        <v>28783.849413176406</v>
      </c>
      <c r="AH55"/>
      <c r="AI55" s="23" t="s">
        <v>293</v>
      </c>
    </row>
    <row r="56" spans="2:35" ht="15.75" collapsed="1" thickTop="1" x14ac:dyDescent="0.25"/>
    <row r="58" spans="2:35" s="1" customFormat="1" ht="20.25" thickBot="1" x14ac:dyDescent="0.35">
      <c r="B58" s="18" t="s">
        <v>296</v>
      </c>
      <c r="C58" s="18"/>
      <c r="D58" s="18"/>
      <c r="E58" s="25"/>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row>
    <row r="59" spans="2:35" s="1" customFormat="1" ht="18" hidden="1" outlineLevel="1" thickTop="1" thickBot="1" x14ac:dyDescent="0.3">
      <c r="B59" s="19" t="s">
        <v>278</v>
      </c>
      <c r="C59" s="19"/>
      <c r="D59" s="19"/>
      <c r="E59" s="67"/>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row>
    <row r="60" spans="2:35" s="1" customFormat="1" ht="16.5" hidden="1" outlineLevel="1" thickTop="1" thickBot="1" x14ac:dyDescent="0.3">
      <c r="B60" s="20" t="s">
        <v>292</v>
      </c>
      <c r="C60" s="20" t="s">
        <v>13</v>
      </c>
      <c r="D60" s="20" t="s">
        <v>17</v>
      </c>
      <c r="E60" s="68"/>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t="s">
        <v>15</v>
      </c>
    </row>
    <row r="61" spans="2:35" hidden="1" outlineLevel="1" x14ac:dyDescent="0.25">
      <c r="D61" s="8">
        <f>'Core Loads'!$C$14</f>
        <v>2025</v>
      </c>
      <c r="E61" s="62">
        <f>'Core Loads'!$D$14</f>
        <v>2026</v>
      </c>
      <c r="F61" s="8">
        <f>'Core Loads'!$E$14</f>
        <v>2027</v>
      </c>
      <c r="G61" s="8">
        <f>'Core Loads'!$F$14</f>
        <v>2028</v>
      </c>
      <c r="H61" s="8">
        <f>'Core Loads'!$G$14</f>
        <v>2029</v>
      </c>
      <c r="I61" s="8">
        <f>'Core Loads'!$H$14</f>
        <v>2030</v>
      </c>
      <c r="J61" s="8">
        <f>'Core Loads'!$I$14</f>
        <v>2031</v>
      </c>
      <c r="K61" s="8">
        <f>'Core Loads'!$J$14</f>
        <v>2032</v>
      </c>
      <c r="L61" s="8">
        <f>'Core Loads'!$K$14</f>
        <v>2033</v>
      </c>
      <c r="M61" s="8">
        <f>'Core Loads'!$L$14</f>
        <v>2034</v>
      </c>
      <c r="N61" s="8">
        <f>'Core Loads'!$M$14</f>
        <v>2035</v>
      </c>
      <c r="O61" s="8">
        <f>'Core Loads'!$N$14</f>
        <v>2036</v>
      </c>
      <c r="P61" s="8">
        <f>'Core Loads'!$O$14</f>
        <v>2037</v>
      </c>
      <c r="Q61" s="8">
        <f>'Core Loads'!$P$14</f>
        <v>2038</v>
      </c>
      <c r="R61" s="8">
        <f>'Core Loads'!$Q$14</f>
        <v>2039</v>
      </c>
      <c r="S61" s="8">
        <f>'Core Loads'!$R$14</f>
        <v>2040</v>
      </c>
      <c r="T61" s="8">
        <f>'Core Loads'!$S$14</f>
        <v>2041</v>
      </c>
      <c r="U61" s="8">
        <f>'Core Loads'!$T$14</f>
        <v>2042</v>
      </c>
      <c r="V61" s="8">
        <f>'Core Loads'!$U$14</f>
        <v>2043</v>
      </c>
      <c r="W61" s="8">
        <f>'Core Loads'!$V$14</f>
        <v>2044</v>
      </c>
      <c r="X61" s="8">
        <f>'Core Loads'!$W$14</f>
        <v>2045</v>
      </c>
      <c r="Y61" s="8">
        <f>'Core Loads'!$X$14</f>
        <v>2046</v>
      </c>
      <c r="Z61" s="8">
        <f>'Core Loads'!$Y$14</f>
        <v>2047</v>
      </c>
      <c r="AA61" s="8">
        <f>'Core Loads'!$Z$14</f>
        <v>2048</v>
      </c>
      <c r="AB61" s="8">
        <f>'Core Loads'!$AA$14</f>
        <v>2049</v>
      </c>
      <c r="AC61" s="8">
        <f>'Core Loads'!$AB$14</f>
        <v>2050</v>
      </c>
      <c r="AD61" s="8">
        <f>'Core Loads'!$AC$14</f>
        <v>2051</v>
      </c>
      <c r="AE61" s="8">
        <f>'Core Loads'!$AD$14</f>
        <v>2052</v>
      </c>
      <c r="AF61" s="8">
        <f>'Core Loads'!$AE$14</f>
        <v>2053</v>
      </c>
      <c r="AG61" s="8">
        <f>'Core Loads'!$AF$14</f>
        <v>2054</v>
      </c>
    </row>
    <row r="62" spans="2:35" s="1" customFormat="1" hidden="1" outlineLevel="1" x14ac:dyDescent="0.25">
      <c r="B62" t="s">
        <v>141</v>
      </c>
      <c r="C62" t="s">
        <v>109</v>
      </c>
      <c r="D62" s="21">
        <f>MAX('Core Loads'!C$102*Elec_exstg_kWh_per_kWh_campus+'Core Loads'!C$122*Process_exstg_kWh_per_lb_campus+'Core Loads'!C$142*Htg_exstg_kWh_per_MMBtu_campus+MAX('Core Loads'!C$162-AbsChillerLoad,0)*Clg_exstg_kWh_per_ton_campus-CogenElecOutputExstg,0)</f>
        <v>0</v>
      </c>
      <c r="E62" s="69">
        <f>MAX('Core Loads'!D$102*Elec_exstg_kWh_per_kWh_campus+'Core Loads'!D$122*Process_exstg_kWh_per_lb_campus+'Core Loads'!D$142*Htg_exstg_kWh_per_MMBtu_campus+MAX('Core Loads'!D$162-AbsChillerLoad,0)*Clg_exstg_kWh_per_ton_campus-CogenElecOutputExstg,0)</f>
        <v>0</v>
      </c>
      <c r="F62" s="21">
        <f>MAX('Core Loads'!E$102*Elec_exstg_kWh_per_kWh_campus+'Core Loads'!E$122*Process_exstg_kWh_per_lb_campus+'Core Loads'!E$142*Htg_exstg_kWh_per_MMBtu_campus+MAX('Core Loads'!E$162-AbsChillerLoad,0)*Clg_exstg_kWh_per_ton_campus-CogenElecOutputExstg,0)</f>
        <v>0</v>
      </c>
      <c r="G62" s="21">
        <f>MAX('Core Loads'!F$102*Elec_exstg_kWh_per_kWh_campus+'Core Loads'!F$122*Process_exstg_kWh_per_lb_campus+'Core Loads'!F$142*Htg_exstg_kWh_per_MMBtu_campus+MAX('Core Loads'!F$162-AbsChillerLoad,0)*Clg_exstg_kWh_per_ton_campus-CogenElecOutputExstg,0)</f>
        <v>0</v>
      </c>
      <c r="H62" s="21">
        <f>MAX('Core Loads'!G$102*Elec_exstg_kWh_per_kWh_campus+'Core Loads'!G$122*Process_exstg_kWh_per_lb_campus+'Core Loads'!G$142*Htg_exstg_kWh_per_MMBtu_campus+MAX('Core Loads'!G$162-AbsChillerLoad,0)*Clg_exstg_kWh_per_ton_campus-CogenElecOutputExstg,0)</f>
        <v>0</v>
      </c>
      <c r="I62" s="21">
        <f>MAX('Core Loads'!H$102*Elec_exstg_kWh_per_kWh_campus+'Core Loads'!H$122*Process_exstg_kWh_per_lb_campus+'Core Loads'!H$142*Htg_exstg_kWh_per_MMBtu_campus+MAX('Core Loads'!H$162-AbsChillerLoad,0)*Clg_exstg_kWh_per_ton_campus-CogenElecOutputExstg,0)</f>
        <v>0</v>
      </c>
      <c r="J62" s="21">
        <f>MAX('Core Loads'!I$102*Elec_exstg_kWh_per_kWh_campus+'Core Loads'!I$122*Process_exstg_kWh_per_lb_campus+'Core Loads'!I$142*Htg_exstg_kWh_per_MMBtu_campus+MAX('Core Loads'!I$162-AbsChillerLoad,0)*Clg_exstg_kWh_per_ton_campus-CogenElecOutputExstg,0)</f>
        <v>0</v>
      </c>
      <c r="K62" s="21">
        <f>MAX('Core Loads'!J$102*Elec_exstg_kWh_per_kWh_campus+'Core Loads'!J$122*Process_exstg_kWh_per_lb_campus+'Core Loads'!J$142*Htg_exstg_kWh_per_MMBtu_campus+MAX('Core Loads'!J$162-AbsChillerLoad,0)*Clg_exstg_kWh_per_ton_campus-CogenElecOutputExstg,0)</f>
        <v>0</v>
      </c>
      <c r="L62" s="21">
        <f>MAX('Core Loads'!K$102*Elec_exstg_kWh_per_kWh_campus+'Core Loads'!K$122*Process_exstg_kWh_per_lb_campus+'Core Loads'!K$142*Htg_exstg_kWh_per_MMBtu_campus+MAX('Core Loads'!K$162-AbsChillerLoad,0)*Clg_exstg_kWh_per_ton_campus-CogenElecOutputExstg,0)</f>
        <v>0</v>
      </c>
      <c r="M62" s="21">
        <f>MAX('Core Loads'!L$102*Elec_exstg_kWh_per_kWh_campus+'Core Loads'!L$122*Process_exstg_kWh_per_lb_campus+'Core Loads'!L$142*Htg_exstg_kWh_per_MMBtu_campus+MAX('Core Loads'!L$162-AbsChillerLoad,0)*Clg_exstg_kWh_per_ton_campus-CogenElecOutputExstg,0)</f>
        <v>0</v>
      </c>
      <c r="N62" s="21">
        <f>MAX('Core Loads'!M$102*Elec_exstg_kWh_per_kWh_campus+'Core Loads'!M$122*Process_exstg_kWh_per_lb_campus+'Core Loads'!M$142*Htg_exstg_kWh_per_MMBtu_campus+MAX('Core Loads'!M$162-AbsChillerLoad,0)*Clg_exstg_kWh_per_ton_campus-CogenElecOutputExstg,0)</f>
        <v>0</v>
      </c>
      <c r="O62" s="21">
        <f>MAX('Core Loads'!N$102*Elec_exstg_kWh_per_kWh_campus+'Core Loads'!N$122*Process_exstg_kWh_per_lb_campus+'Core Loads'!N$142*Htg_exstg_kWh_per_MMBtu_campus+MAX('Core Loads'!N$162-AbsChillerLoad,0)*Clg_exstg_kWh_per_ton_campus-CogenElecOutputExstg,0)</f>
        <v>0</v>
      </c>
      <c r="P62" s="21">
        <f>MAX('Core Loads'!O$102*Elec_exstg_kWh_per_kWh_campus+'Core Loads'!O$122*Process_exstg_kWh_per_lb_campus+'Core Loads'!O$142*Htg_exstg_kWh_per_MMBtu_campus+MAX('Core Loads'!O$162-AbsChillerLoad,0)*Clg_exstg_kWh_per_ton_campus-CogenElecOutputExstg,0)</f>
        <v>0</v>
      </c>
      <c r="Q62" s="21">
        <f>MAX('Core Loads'!P$102*Elec_exstg_kWh_per_kWh_campus+'Core Loads'!P$122*Process_exstg_kWh_per_lb_campus+'Core Loads'!P$142*Htg_exstg_kWh_per_MMBtu_campus+MAX('Core Loads'!P$162-AbsChillerLoad,0)*Clg_exstg_kWh_per_ton_campus-CogenElecOutputExstg,0)</f>
        <v>0</v>
      </c>
      <c r="R62" s="21">
        <f>MAX('Core Loads'!Q$102*Elec_exstg_kWh_per_kWh_campus+'Core Loads'!Q$122*Process_exstg_kWh_per_lb_campus+'Core Loads'!Q$142*Htg_exstg_kWh_per_MMBtu_campus+MAX('Core Loads'!Q$162-AbsChillerLoad,0)*Clg_exstg_kWh_per_ton_campus-CogenElecOutputExstg,0)</f>
        <v>0</v>
      </c>
      <c r="S62" s="21">
        <f>MAX('Core Loads'!R$102*Elec_exstg_kWh_per_kWh_campus+'Core Loads'!R$122*Process_exstg_kWh_per_lb_campus+'Core Loads'!R$142*Htg_exstg_kWh_per_MMBtu_campus+MAX('Core Loads'!R$162-AbsChillerLoad,0)*Clg_exstg_kWh_per_ton_campus-CogenElecOutputExstg,0)</f>
        <v>0</v>
      </c>
      <c r="T62" s="21">
        <f>MAX('Core Loads'!S$102*Elec_exstg_kWh_per_kWh_campus+'Core Loads'!S$122*Process_exstg_kWh_per_lb_campus+'Core Loads'!S$142*Htg_exstg_kWh_per_MMBtu_campus+MAX('Core Loads'!S$162-AbsChillerLoad,0)*Clg_exstg_kWh_per_ton_campus-CogenElecOutputExstg,0)</f>
        <v>0</v>
      </c>
      <c r="U62" s="21">
        <f>MAX('Core Loads'!T$102*Elec_exstg_kWh_per_kWh_campus+'Core Loads'!T$122*Process_exstg_kWh_per_lb_campus+'Core Loads'!T$142*Htg_exstg_kWh_per_MMBtu_campus+MAX('Core Loads'!T$162-AbsChillerLoad,0)*Clg_exstg_kWh_per_ton_campus-CogenElecOutputExstg,0)</f>
        <v>0</v>
      </c>
      <c r="V62" s="21">
        <f>MAX('Core Loads'!U$102*Elec_exstg_kWh_per_kWh_campus+'Core Loads'!U$122*Process_exstg_kWh_per_lb_campus+'Core Loads'!U$142*Htg_exstg_kWh_per_MMBtu_campus+MAX('Core Loads'!U$162-AbsChillerLoad,0)*Clg_exstg_kWh_per_ton_campus-CogenElecOutputExstg,0)</f>
        <v>0</v>
      </c>
      <c r="W62" s="21">
        <f>MAX('Core Loads'!V$102*Elec_exstg_kWh_per_kWh_campus+'Core Loads'!V$122*Process_exstg_kWh_per_lb_campus+'Core Loads'!V$142*Htg_exstg_kWh_per_MMBtu_campus+MAX('Core Loads'!V$162-AbsChillerLoad,0)*Clg_exstg_kWh_per_ton_campus-CogenElecOutputExstg,0)</f>
        <v>0</v>
      </c>
      <c r="X62" s="21">
        <f>MAX('Core Loads'!W$102*Elec_exstg_kWh_per_kWh_campus+'Core Loads'!W$122*Process_exstg_kWh_per_lb_campus+'Core Loads'!W$142*Htg_exstg_kWh_per_MMBtu_campus+MAX('Core Loads'!W$162-AbsChillerLoad,0)*Clg_exstg_kWh_per_ton_campus-CogenElecOutputExstg,0)</f>
        <v>0</v>
      </c>
      <c r="Y62" s="21">
        <f>MAX('Core Loads'!X$102*Elec_exstg_kWh_per_kWh_campus+'Core Loads'!X$122*Process_exstg_kWh_per_lb_campus+'Core Loads'!X$142*Htg_exstg_kWh_per_MMBtu_campus+MAX('Core Loads'!X$162-AbsChillerLoad,0)*Clg_exstg_kWh_per_ton_campus-CogenElecOutputExstg,0)</f>
        <v>0</v>
      </c>
      <c r="Z62" s="21">
        <f>MAX('Core Loads'!Y$102*Elec_exstg_kWh_per_kWh_campus+'Core Loads'!Y$122*Process_exstg_kWh_per_lb_campus+'Core Loads'!Y$142*Htg_exstg_kWh_per_MMBtu_campus+MAX('Core Loads'!Y$162-AbsChillerLoad,0)*Clg_exstg_kWh_per_ton_campus-CogenElecOutputExstg,0)</f>
        <v>0</v>
      </c>
      <c r="AA62" s="21">
        <f>MAX('Core Loads'!Z$102*Elec_exstg_kWh_per_kWh_campus+'Core Loads'!Z$122*Process_exstg_kWh_per_lb_campus+'Core Loads'!Z$142*Htg_exstg_kWh_per_MMBtu_campus+MAX('Core Loads'!Z$162-AbsChillerLoad,0)*Clg_exstg_kWh_per_ton_campus-CogenElecOutputExstg,0)</f>
        <v>0</v>
      </c>
      <c r="AB62" s="21">
        <f>MAX('Core Loads'!AA$102*Elec_exstg_kWh_per_kWh_campus+'Core Loads'!AA$122*Process_exstg_kWh_per_lb_campus+'Core Loads'!AA$142*Htg_exstg_kWh_per_MMBtu_campus+MAX('Core Loads'!AA$162-AbsChillerLoad,0)*Clg_exstg_kWh_per_ton_campus-CogenElecOutputExstg,0)</f>
        <v>0</v>
      </c>
      <c r="AC62" s="21">
        <f>MAX('Core Loads'!AB$102*Elec_exstg_kWh_per_kWh_campus+'Core Loads'!AB$122*Process_exstg_kWh_per_lb_campus+'Core Loads'!AB$142*Htg_exstg_kWh_per_MMBtu_campus+MAX('Core Loads'!AB$162-AbsChillerLoad,0)*Clg_exstg_kWh_per_ton_campus-CogenElecOutputExstg,0)</f>
        <v>0</v>
      </c>
      <c r="AD62" s="21">
        <f>MAX('Core Loads'!AC$102*Elec_exstg_kWh_per_kWh_campus+'Core Loads'!AC$122*Process_exstg_kWh_per_lb_campus+'Core Loads'!AC$142*Htg_exstg_kWh_per_MMBtu_campus+MAX('Core Loads'!AC$162-AbsChillerLoad,0)*Clg_exstg_kWh_per_ton_campus-CogenElecOutputExstg,0)</f>
        <v>0</v>
      </c>
      <c r="AE62" s="21">
        <f>MAX('Core Loads'!AD$102*Elec_exstg_kWh_per_kWh_campus+'Core Loads'!AD$122*Process_exstg_kWh_per_lb_campus+'Core Loads'!AD$142*Htg_exstg_kWh_per_MMBtu_campus+MAX('Core Loads'!AD$162-AbsChillerLoad,0)*Clg_exstg_kWh_per_ton_campus-CogenElecOutputExstg,0)</f>
        <v>0</v>
      </c>
      <c r="AF62" s="21">
        <f>MAX('Core Loads'!AE$102*Elec_exstg_kWh_per_kWh_campus+'Core Loads'!AE$122*Process_exstg_kWh_per_lb_campus+'Core Loads'!AE$142*Htg_exstg_kWh_per_MMBtu_campus+MAX('Core Loads'!AE$162-AbsChillerLoad,0)*Clg_exstg_kWh_per_ton_campus-CogenElecOutputExstg,0)</f>
        <v>0</v>
      </c>
      <c r="AG62" s="21">
        <f>MAX('Core Loads'!AF$102*Elec_exstg_kWh_per_kWh_campus+'Core Loads'!AF$122*Process_exstg_kWh_per_lb_campus+'Core Loads'!AF$142*Htg_exstg_kWh_per_MMBtu_campus+MAX('Core Loads'!AF$162-AbsChillerLoad,0)*Clg_exstg_kWh_per_ton_campus-CogenElecOutputExstg,0)</f>
        <v>0</v>
      </c>
      <c r="AH62"/>
      <c r="AI62" s="23" t="s">
        <v>293</v>
      </c>
    </row>
    <row r="63" spans="2:35" s="1" customFormat="1" hidden="1" outlineLevel="1" x14ac:dyDescent="0.25">
      <c r="B63" t="s">
        <v>136</v>
      </c>
      <c r="C63" t="s">
        <v>169</v>
      </c>
      <c r="D63" s="21">
        <f>'Core Loads'!C$122*Process_exstg_therm_per_lb_campus+'Core Loads'!C$142*Htg_exstg_therm_per_MMBtu_campus+MIN('Core Loads'!C$162,AbsChillerLoad)*Clg_exstg_therm_per_ton_campus</f>
        <v>28820560.60629487</v>
      </c>
      <c r="E63" s="69">
        <f>'Core Loads'!D$122*Process_exstg_therm_per_lb_campus+'Core Loads'!D$142*Htg_exstg_therm_per_MMBtu_campus+MIN('Core Loads'!D$162,AbsChillerLoad)*Clg_exstg_therm_per_ton_campus</f>
        <v>28820560.60629487</v>
      </c>
      <c r="F63" s="21">
        <f>'Core Loads'!E$122*Process_exstg_therm_per_lb_campus+'Core Loads'!E$142*Htg_exstg_therm_per_MMBtu_campus+MIN('Core Loads'!E$162,AbsChillerLoad)*Clg_exstg_therm_per_ton_campus</f>
        <v>28820560.60629487</v>
      </c>
      <c r="G63" s="21">
        <f>'Core Loads'!F$122*Process_exstg_therm_per_lb_campus+'Core Loads'!F$142*Htg_exstg_therm_per_MMBtu_campus+MIN('Core Loads'!F$162,AbsChillerLoad)*Clg_exstg_therm_per_ton_campus</f>
        <v>28545341.288089495</v>
      </c>
      <c r="H63" s="21">
        <f>'Core Loads'!G$122*Process_exstg_therm_per_lb_campus+'Core Loads'!G$142*Htg_exstg_therm_per_MMBtu_campus+MIN('Core Loads'!G$162,AbsChillerLoad)*Clg_exstg_therm_per_ton_campus</f>
        <v>28545341.288089495</v>
      </c>
      <c r="I63" s="21">
        <f>'Core Loads'!H$122*Process_exstg_therm_per_lb_campus+'Core Loads'!H$142*Htg_exstg_therm_per_MMBtu_campus+MIN('Core Loads'!H$162,AbsChillerLoad)*Clg_exstg_therm_per_ton_campus</f>
        <v>21374251.397505261</v>
      </c>
      <c r="J63" s="21">
        <f>'Core Loads'!I$122*Process_exstg_therm_per_lb_campus+'Core Loads'!I$142*Htg_exstg_therm_per_MMBtu_campus+MIN('Core Loads'!I$162,AbsChillerLoad)*Clg_exstg_therm_per_ton_campus</f>
        <v>21374251.397505261</v>
      </c>
      <c r="K63" s="21">
        <f>'Core Loads'!J$122*Process_exstg_therm_per_lb_campus+'Core Loads'!J$142*Htg_exstg_therm_per_MMBtu_campus+MIN('Core Loads'!J$162,AbsChillerLoad)*Clg_exstg_therm_per_ton_campus</f>
        <v>20706876.478281714</v>
      </c>
      <c r="L63" s="21">
        <f>'Core Loads'!K$122*Process_exstg_therm_per_lb_campus+'Core Loads'!K$142*Htg_exstg_therm_per_MMBtu_campus+MIN('Core Loads'!K$162,AbsChillerLoad)*Clg_exstg_therm_per_ton_campus</f>
        <v>20706876.478281714</v>
      </c>
      <c r="M63" s="21">
        <f>'Core Loads'!L$122*Process_exstg_therm_per_lb_campus+'Core Loads'!L$142*Htg_exstg_therm_per_MMBtu_campus+MIN('Core Loads'!L$162,AbsChillerLoad)*Clg_exstg_therm_per_ton_campus</f>
        <v>20396339.270965789</v>
      </c>
      <c r="N63" s="21">
        <f>'Core Loads'!M$122*Process_exstg_therm_per_lb_campus+'Core Loads'!M$142*Htg_exstg_therm_per_MMBtu_campus+MIN('Core Loads'!M$162,AbsChillerLoad)*Clg_exstg_therm_per_ton_campus</f>
        <v>16670601.866040172</v>
      </c>
      <c r="O63" s="21">
        <f>'Core Loads'!N$122*Process_exstg_therm_per_lb_campus+'Core Loads'!N$142*Htg_exstg_therm_per_MMBtu_campus+MIN('Core Loads'!N$162,AbsChillerLoad)*Clg_exstg_therm_per_ton_campus</f>
        <v>16331380.62114461</v>
      </c>
      <c r="P63" s="21">
        <f>'Core Loads'!O$122*Process_exstg_therm_per_lb_campus+'Core Loads'!O$142*Htg_exstg_therm_per_MMBtu_campus+MIN('Core Loads'!O$162,AbsChillerLoad)*Clg_exstg_therm_per_ton_campus</f>
        <v>16331380.62114461</v>
      </c>
      <c r="Q63" s="21">
        <f>'Core Loads'!P$122*Process_exstg_therm_per_lb_campus+'Core Loads'!P$142*Htg_exstg_therm_per_MMBtu_campus+MIN('Core Loads'!P$162,AbsChillerLoad)*Clg_exstg_therm_per_ton_campus</f>
        <v>16248856.769805884</v>
      </c>
      <c r="R63" s="21">
        <f>'Core Loads'!Q$122*Process_exstg_therm_per_lb_campus+'Core Loads'!Q$142*Htg_exstg_therm_per_MMBtu_campus+MIN('Core Loads'!Q$162,AbsChillerLoad)*Clg_exstg_therm_per_ton_campus</f>
        <v>0</v>
      </c>
      <c r="S63" s="21">
        <f>'Core Loads'!R$122*Process_exstg_therm_per_lb_campus+'Core Loads'!R$142*Htg_exstg_therm_per_MMBtu_campus+MIN('Core Loads'!R$162,AbsChillerLoad)*Clg_exstg_therm_per_ton_campus</f>
        <v>0</v>
      </c>
      <c r="T63" s="21">
        <f>'Core Loads'!S$122*Process_exstg_therm_per_lb_campus+'Core Loads'!S$142*Htg_exstg_therm_per_MMBtu_campus+MIN('Core Loads'!S$162,AbsChillerLoad)*Clg_exstg_therm_per_ton_campus</f>
        <v>0</v>
      </c>
      <c r="U63" s="21">
        <f>'Core Loads'!T$122*Process_exstg_therm_per_lb_campus+'Core Loads'!T$142*Htg_exstg_therm_per_MMBtu_campus+MIN('Core Loads'!T$162,AbsChillerLoad)*Clg_exstg_therm_per_ton_campus</f>
        <v>0</v>
      </c>
      <c r="V63" s="21">
        <f>'Core Loads'!U$122*Process_exstg_therm_per_lb_campus+'Core Loads'!U$142*Htg_exstg_therm_per_MMBtu_campus+MIN('Core Loads'!U$162,AbsChillerLoad)*Clg_exstg_therm_per_ton_campus</f>
        <v>0</v>
      </c>
      <c r="W63" s="21">
        <f>'Core Loads'!V$122*Process_exstg_therm_per_lb_campus+'Core Loads'!V$142*Htg_exstg_therm_per_MMBtu_campus+MIN('Core Loads'!V$162,AbsChillerLoad)*Clg_exstg_therm_per_ton_campus</f>
        <v>0</v>
      </c>
      <c r="X63" s="21">
        <f>'Core Loads'!W$122*Process_exstg_therm_per_lb_campus+'Core Loads'!W$142*Htg_exstg_therm_per_MMBtu_campus+MIN('Core Loads'!W$162,AbsChillerLoad)*Clg_exstg_therm_per_ton_campus</f>
        <v>0</v>
      </c>
      <c r="Y63" s="21">
        <f>'Core Loads'!X$122*Process_exstg_therm_per_lb_campus+'Core Loads'!X$142*Htg_exstg_therm_per_MMBtu_campus+MIN('Core Loads'!X$162,AbsChillerLoad)*Clg_exstg_therm_per_ton_campus</f>
        <v>0</v>
      </c>
      <c r="Z63" s="21">
        <f>'Core Loads'!Y$122*Process_exstg_therm_per_lb_campus+'Core Loads'!Y$142*Htg_exstg_therm_per_MMBtu_campus+MIN('Core Loads'!Y$162,AbsChillerLoad)*Clg_exstg_therm_per_ton_campus</f>
        <v>0</v>
      </c>
      <c r="AA63" s="21">
        <f>'Core Loads'!Z$122*Process_exstg_therm_per_lb_campus+'Core Loads'!Z$142*Htg_exstg_therm_per_MMBtu_campus+MIN('Core Loads'!Z$162,AbsChillerLoad)*Clg_exstg_therm_per_ton_campus</f>
        <v>0</v>
      </c>
      <c r="AB63" s="21">
        <f>'Core Loads'!AA$122*Process_exstg_therm_per_lb_campus+'Core Loads'!AA$142*Htg_exstg_therm_per_MMBtu_campus+MIN('Core Loads'!AA$162,AbsChillerLoad)*Clg_exstg_therm_per_ton_campus</f>
        <v>0</v>
      </c>
      <c r="AC63" s="21">
        <f>'Core Loads'!AB$122*Process_exstg_therm_per_lb_campus+'Core Loads'!AB$142*Htg_exstg_therm_per_MMBtu_campus+MIN('Core Loads'!AB$162,AbsChillerLoad)*Clg_exstg_therm_per_ton_campus</f>
        <v>0</v>
      </c>
      <c r="AD63" s="21">
        <f>'Core Loads'!AC$122*Process_exstg_therm_per_lb_campus+'Core Loads'!AC$142*Htg_exstg_therm_per_MMBtu_campus+MIN('Core Loads'!AC$162,AbsChillerLoad)*Clg_exstg_therm_per_ton_campus</f>
        <v>0</v>
      </c>
      <c r="AE63" s="21">
        <f>'Core Loads'!AD$122*Process_exstg_therm_per_lb_campus+'Core Loads'!AD$142*Htg_exstg_therm_per_MMBtu_campus+MIN('Core Loads'!AD$162,AbsChillerLoad)*Clg_exstg_therm_per_ton_campus</f>
        <v>0</v>
      </c>
      <c r="AF63" s="21">
        <f>'Core Loads'!AE$122*Process_exstg_therm_per_lb_campus+'Core Loads'!AE$142*Htg_exstg_therm_per_MMBtu_campus+MIN('Core Loads'!AE$162,AbsChillerLoad)*Clg_exstg_therm_per_ton_campus</f>
        <v>0</v>
      </c>
      <c r="AG63" s="21">
        <f>'Core Loads'!AF$122*Process_exstg_therm_per_lb_campus+'Core Loads'!AF$142*Htg_exstg_therm_per_MMBtu_campus+MIN('Core Loads'!AF$162,AbsChillerLoad)*Clg_exstg_therm_per_ton_campus</f>
        <v>0</v>
      </c>
      <c r="AH63"/>
      <c r="AI63" s="23" t="s">
        <v>293</v>
      </c>
    </row>
    <row r="64" spans="2:35" s="1" customFormat="1" hidden="1" outlineLevel="1" x14ac:dyDescent="0.25">
      <c r="B64" t="s">
        <v>154</v>
      </c>
      <c r="C64" t="s">
        <v>170</v>
      </c>
      <c r="D64" s="21">
        <f>'Core Loads'!C$122*Process_exstg_CCF_per_lb_campus+'Core Loads'!C$142*Htg_exstg_CCF_per_MMBtu_campus+'Core Loads'!C$162*Clg_exstg_CCF_per_ton_campus</f>
        <v>248660.27462218847</v>
      </c>
      <c r="E64" s="69">
        <f>'Core Loads'!D$122*Process_exstg_CCF_per_lb_campus+'Core Loads'!D$142*Htg_exstg_CCF_per_MMBtu_campus+'Core Loads'!D$162*Clg_exstg_CCF_per_ton_campus</f>
        <v>267428.09854582173</v>
      </c>
      <c r="F64" s="21">
        <f>'Core Loads'!E$122*Process_exstg_CCF_per_lb_campus+'Core Loads'!E$142*Htg_exstg_CCF_per_MMBtu_campus+'Core Loads'!E$162*Clg_exstg_CCF_per_ton_campus</f>
        <v>267428.09854582173</v>
      </c>
      <c r="G64" s="21">
        <f>'Core Loads'!F$122*Process_exstg_CCF_per_lb_campus+'Core Loads'!F$142*Htg_exstg_CCF_per_MMBtu_campus+'Core Loads'!F$162*Clg_exstg_CCF_per_ton_campus</f>
        <v>287568.1842294758</v>
      </c>
      <c r="H64" s="21">
        <f>'Core Loads'!G$122*Process_exstg_CCF_per_lb_campus+'Core Loads'!G$142*Htg_exstg_CCF_per_MMBtu_campus+'Core Loads'!G$162*Clg_exstg_CCF_per_ton_campus</f>
        <v>287568.1842294758</v>
      </c>
      <c r="I64" s="21">
        <f>'Core Loads'!H$122*Process_exstg_CCF_per_lb_campus+'Core Loads'!H$142*Htg_exstg_CCF_per_MMBtu_campus+'Core Loads'!H$162*Clg_exstg_CCF_per_ton_campus</f>
        <v>219650.48006682508</v>
      </c>
      <c r="J64" s="21">
        <f>'Core Loads'!I$122*Process_exstg_CCF_per_lb_campus+'Core Loads'!I$142*Htg_exstg_CCF_per_MMBtu_campus+'Core Loads'!I$162*Clg_exstg_CCF_per_ton_campus</f>
        <v>219650.48006682508</v>
      </c>
      <c r="K64" s="21">
        <f>'Core Loads'!J$122*Process_exstg_CCF_per_lb_campus+'Core Loads'!J$142*Htg_exstg_CCF_per_MMBtu_campus+'Core Loads'!J$162*Clg_exstg_CCF_per_ton_campus</f>
        <v>211497.25937933</v>
      </c>
      <c r="L64" s="21">
        <f>'Core Loads'!K$122*Process_exstg_CCF_per_lb_campus+'Core Loads'!K$142*Htg_exstg_CCF_per_MMBtu_campus+'Core Loads'!K$162*Clg_exstg_CCF_per_ton_campus</f>
        <v>211497.25937933</v>
      </c>
      <c r="M64" s="21">
        <f>'Core Loads'!L$122*Process_exstg_CCF_per_lb_campus+'Core Loads'!L$142*Htg_exstg_CCF_per_MMBtu_campus+'Core Loads'!L$162*Clg_exstg_CCF_per_ton_campus</f>
        <v>208869.49718082632</v>
      </c>
      <c r="N64" s="21">
        <f>'Core Loads'!M$122*Process_exstg_CCF_per_lb_campus+'Core Loads'!M$142*Htg_exstg_CCF_per_MMBtu_campus+'Core Loads'!M$162*Clg_exstg_CCF_per_ton_campus</f>
        <v>139746.11848021299</v>
      </c>
      <c r="O64" s="21">
        <f>'Core Loads'!N$122*Process_exstg_CCF_per_lb_campus+'Core Loads'!N$142*Htg_exstg_CCF_per_MMBtu_campus+'Core Loads'!N$162*Clg_exstg_CCF_per_ton_campus</f>
        <v>136609.50905570804</v>
      </c>
      <c r="P64" s="21">
        <f>'Core Loads'!O$122*Process_exstg_CCF_per_lb_campus+'Core Loads'!O$142*Htg_exstg_CCF_per_MMBtu_campus+'Core Loads'!O$162*Clg_exstg_CCF_per_ton_campus</f>
        <v>136609.50905570804</v>
      </c>
      <c r="Q64" s="21">
        <f>'Core Loads'!P$122*Process_exstg_CCF_per_lb_campus+'Core Loads'!P$142*Htg_exstg_CCF_per_MMBtu_campus+'Core Loads'!P$162*Clg_exstg_CCF_per_ton_campus</f>
        <v>135907.33166882879</v>
      </c>
      <c r="R64" s="21">
        <f>'Core Loads'!Q$122*Process_exstg_CCF_per_lb_campus+'Core Loads'!Q$142*Htg_exstg_CCF_per_MMBtu_campus+'Core Loads'!Q$162*Clg_exstg_CCF_per_ton_campus</f>
        <v>0</v>
      </c>
      <c r="S64" s="21">
        <f>'Core Loads'!R$122*Process_exstg_CCF_per_lb_campus+'Core Loads'!R$142*Htg_exstg_CCF_per_MMBtu_campus+'Core Loads'!R$162*Clg_exstg_CCF_per_ton_campus</f>
        <v>0</v>
      </c>
      <c r="T64" s="21">
        <f>'Core Loads'!S$122*Process_exstg_CCF_per_lb_campus+'Core Loads'!S$142*Htg_exstg_CCF_per_MMBtu_campus+'Core Loads'!S$162*Clg_exstg_CCF_per_ton_campus</f>
        <v>0</v>
      </c>
      <c r="U64" s="21">
        <f>'Core Loads'!T$122*Process_exstg_CCF_per_lb_campus+'Core Loads'!T$142*Htg_exstg_CCF_per_MMBtu_campus+'Core Loads'!T$162*Clg_exstg_CCF_per_ton_campus</f>
        <v>0</v>
      </c>
      <c r="V64" s="21">
        <f>'Core Loads'!U$122*Process_exstg_CCF_per_lb_campus+'Core Loads'!U$142*Htg_exstg_CCF_per_MMBtu_campus+'Core Loads'!U$162*Clg_exstg_CCF_per_ton_campus</f>
        <v>0</v>
      </c>
      <c r="W64" s="21">
        <f>'Core Loads'!V$122*Process_exstg_CCF_per_lb_campus+'Core Loads'!V$142*Htg_exstg_CCF_per_MMBtu_campus+'Core Loads'!V$162*Clg_exstg_CCF_per_ton_campus</f>
        <v>0</v>
      </c>
      <c r="X64" s="21">
        <f>'Core Loads'!W$122*Process_exstg_CCF_per_lb_campus+'Core Loads'!W$142*Htg_exstg_CCF_per_MMBtu_campus+'Core Loads'!W$162*Clg_exstg_CCF_per_ton_campus</f>
        <v>0</v>
      </c>
      <c r="Y64" s="21">
        <f>'Core Loads'!X$122*Process_exstg_CCF_per_lb_campus+'Core Loads'!X$142*Htg_exstg_CCF_per_MMBtu_campus+'Core Loads'!X$162*Clg_exstg_CCF_per_ton_campus</f>
        <v>0</v>
      </c>
      <c r="Z64" s="21">
        <f>'Core Loads'!Y$122*Process_exstg_CCF_per_lb_campus+'Core Loads'!Y$142*Htg_exstg_CCF_per_MMBtu_campus+'Core Loads'!Y$162*Clg_exstg_CCF_per_ton_campus</f>
        <v>0</v>
      </c>
      <c r="AA64" s="21">
        <f>'Core Loads'!Z$122*Process_exstg_CCF_per_lb_campus+'Core Loads'!Z$142*Htg_exstg_CCF_per_MMBtu_campus+'Core Loads'!Z$162*Clg_exstg_CCF_per_ton_campus</f>
        <v>0</v>
      </c>
      <c r="AB64" s="21">
        <f>'Core Loads'!AA$122*Process_exstg_CCF_per_lb_campus+'Core Loads'!AA$142*Htg_exstg_CCF_per_MMBtu_campus+'Core Loads'!AA$162*Clg_exstg_CCF_per_ton_campus</f>
        <v>0</v>
      </c>
      <c r="AC64" s="21">
        <f>'Core Loads'!AB$122*Process_exstg_CCF_per_lb_campus+'Core Loads'!AB$142*Htg_exstg_CCF_per_MMBtu_campus+'Core Loads'!AB$162*Clg_exstg_CCF_per_ton_campus</f>
        <v>0</v>
      </c>
      <c r="AD64" s="21">
        <f>'Core Loads'!AC$122*Process_exstg_CCF_per_lb_campus+'Core Loads'!AC$142*Htg_exstg_CCF_per_MMBtu_campus+'Core Loads'!AC$162*Clg_exstg_CCF_per_ton_campus</f>
        <v>0</v>
      </c>
      <c r="AE64" s="21">
        <f>'Core Loads'!AD$122*Process_exstg_CCF_per_lb_campus+'Core Loads'!AD$142*Htg_exstg_CCF_per_MMBtu_campus+'Core Loads'!AD$162*Clg_exstg_CCF_per_ton_campus</f>
        <v>0</v>
      </c>
      <c r="AF64" s="21">
        <f>'Core Loads'!AE$122*Process_exstg_CCF_per_lb_campus+'Core Loads'!AE$142*Htg_exstg_CCF_per_MMBtu_campus+'Core Loads'!AE$162*Clg_exstg_CCF_per_ton_campus</f>
        <v>0</v>
      </c>
      <c r="AG64" s="21">
        <f>'Core Loads'!AF$122*Process_exstg_CCF_per_lb_campus+'Core Loads'!AF$142*Htg_exstg_CCF_per_MMBtu_campus+'Core Loads'!AF$162*Clg_exstg_CCF_per_ton_campus</f>
        <v>0</v>
      </c>
      <c r="AH64"/>
      <c r="AI64" s="23" t="s">
        <v>293</v>
      </c>
    </row>
    <row r="65" spans="2:35" hidden="1" outlineLevel="1" x14ac:dyDescent="0.25"/>
    <row r="66" spans="2:35" s="1" customFormat="1" ht="17.25" hidden="1" outlineLevel="1" thickBot="1" x14ac:dyDescent="0.3">
      <c r="B66" s="19" t="s">
        <v>280</v>
      </c>
      <c r="C66" s="19"/>
      <c r="D66" s="19"/>
      <c r="E66" s="67"/>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row>
    <row r="67" spans="2:35" s="1" customFormat="1" ht="16.5" hidden="1" outlineLevel="1" thickTop="1" thickBot="1" x14ac:dyDescent="0.3">
      <c r="B67" s="20" t="s">
        <v>292</v>
      </c>
      <c r="C67" s="20" t="s">
        <v>13</v>
      </c>
      <c r="D67" s="20" t="s">
        <v>17</v>
      </c>
      <c r="E67" s="68"/>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t="s">
        <v>15</v>
      </c>
    </row>
    <row r="68" spans="2:35" hidden="1" outlineLevel="1" x14ac:dyDescent="0.25">
      <c r="D68" s="8">
        <f>'Core Loads'!$C$14</f>
        <v>2025</v>
      </c>
      <c r="E68" s="62">
        <f>'Core Loads'!$D$14</f>
        <v>2026</v>
      </c>
      <c r="F68" s="8">
        <f>'Core Loads'!$E$14</f>
        <v>2027</v>
      </c>
      <c r="G68" s="8">
        <f>'Core Loads'!$F$14</f>
        <v>2028</v>
      </c>
      <c r="H68" s="8">
        <f>'Core Loads'!$G$14</f>
        <v>2029</v>
      </c>
      <c r="I68" s="8">
        <f>'Core Loads'!$H$14</f>
        <v>2030</v>
      </c>
      <c r="J68" s="8">
        <f>'Core Loads'!$I$14</f>
        <v>2031</v>
      </c>
      <c r="K68" s="8">
        <f>'Core Loads'!$J$14</f>
        <v>2032</v>
      </c>
      <c r="L68" s="8">
        <f>'Core Loads'!$K$14</f>
        <v>2033</v>
      </c>
      <c r="M68" s="8">
        <f>'Core Loads'!$L$14</f>
        <v>2034</v>
      </c>
      <c r="N68" s="8">
        <f>'Core Loads'!$M$14</f>
        <v>2035</v>
      </c>
      <c r="O68" s="8">
        <f>'Core Loads'!$N$14</f>
        <v>2036</v>
      </c>
      <c r="P68" s="8">
        <f>'Core Loads'!$O$14</f>
        <v>2037</v>
      </c>
      <c r="Q68" s="8">
        <f>'Core Loads'!$P$14</f>
        <v>2038</v>
      </c>
      <c r="R68" s="8">
        <f>'Core Loads'!$Q$14</f>
        <v>2039</v>
      </c>
      <c r="S68" s="8">
        <f>'Core Loads'!$R$14</f>
        <v>2040</v>
      </c>
      <c r="T68" s="8">
        <f>'Core Loads'!$S$14</f>
        <v>2041</v>
      </c>
      <c r="U68" s="8">
        <f>'Core Loads'!$T$14</f>
        <v>2042</v>
      </c>
      <c r="V68" s="8">
        <f>'Core Loads'!$U$14</f>
        <v>2043</v>
      </c>
      <c r="W68" s="8">
        <f>'Core Loads'!$V$14</f>
        <v>2044</v>
      </c>
      <c r="X68" s="8">
        <f>'Core Loads'!$W$14</f>
        <v>2045</v>
      </c>
      <c r="Y68" s="8">
        <f>'Core Loads'!$X$14</f>
        <v>2046</v>
      </c>
      <c r="Z68" s="8">
        <f>'Core Loads'!$Y$14</f>
        <v>2047</v>
      </c>
      <c r="AA68" s="8">
        <f>'Core Loads'!$Z$14</f>
        <v>2048</v>
      </c>
      <c r="AB68" s="8">
        <f>'Core Loads'!$AA$14</f>
        <v>2049</v>
      </c>
      <c r="AC68" s="8">
        <f>'Core Loads'!$AB$14</f>
        <v>2050</v>
      </c>
      <c r="AD68" s="8">
        <f>'Core Loads'!$AC$14</f>
        <v>2051</v>
      </c>
      <c r="AE68" s="8">
        <f>'Core Loads'!$AD$14</f>
        <v>2052</v>
      </c>
      <c r="AF68" s="8">
        <f>'Core Loads'!$AE$14</f>
        <v>2053</v>
      </c>
      <c r="AG68" s="8">
        <f>'Core Loads'!$AF$14</f>
        <v>2054</v>
      </c>
    </row>
    <row r="69" spans="2:35" s="1" customFormat="1" hidden="1" outlineLevel="1" x14ac:dyDescent="0.25">
      <c r="B69" t="s">
        <v>141</v>
      </c>
      <c r="C69" t="s">
        <v>109</v>
      </c>
      <c r="D69" s="21">
        <f>SUM(D70:D74)</f>
        <v>40881228.977333002</v>
      </c>
      <c r="E69" s="69">
        <f t="shared" ref="E69:AG69" si="3">SUM(E70:E74)</f>
        <v>40881228.977333002</v>
      </c>
      <c r="F69" s="21">
        <f t="shared" si="3"/>
        <v>40881228.977333002</v>
      </c>
      <c r="G69" s="21">
        <f t="shared" si="3"/>
        <v>38703970.829197206</v>
      </c>
      <c r="H69" s="21">
        <f t="shared" si="3"/>
        <v>38703970.829197206</v>
      </c>
      <c r="I69" s="21">
        <f t="shared" si="3"/>
        <v>144979354.69012418</v>
      </c>
      <c r="J69" s="21">
        <f t="shared" si="3"/>
        <v>144979354.69012418</v>
      </c>
      <c r="K69" s="21">
        <f t="shared" si="3"/>
        <v>139241066.59700841</v>
      </c>
      <c r="L69" s="21">
        <f t="shared" si="3"/>
        <v>139241066.59700841</v>
      </c>
      <c r="M69" s="21">
        <f t="shared" si="3"/>
        <v>139836397.949</v>
      </c>
      <c r="N69" s="21">
        <f t="shared" si="3"/>
        <v>221776033.2219646</v>
      </c>
      <c r="O69" s="21">
        <f t="shared" si="3"/>
        <v>220343199.31930685</v>
      </c>
      <c r="P69" s="21">
        <f t="shared" si="3"/>
        <v>220343199.31930685</v>
      </c>
      <c r="Q69" s="21">
        <f t="shared" si="3"/>
        <v>219988679.50909752</v>
      </c>
      <c r="R69" s="21">
        <f t="shared" si="3"/>
        <v>353949831.95474601</v>
      </c>
      <c r="S69" s="21">
        <f t="shared" si="3"/>
        <v>402745531.68411994</v>
      </c>
      <c r="T69" s="21">
        <f t="shared" si="3"/>
        <v>402745531.68411994</v>
      </c>
      <c r="U69" s="21">
        <f t="shared" si="3"/>
        <v>402247666.1524266</v>
      </c>
      <c r="V69" s="21">
        <f t="shared" si="3"/>
        <v>402247666.1524266</v>
      </c>
      <c r="W69" s="21">
        <f t="shared" si="3"/>
        <v>401217333.94377863</v>
      </c>
      <c r="X69" s="21">
        <f t="shared" si="3"/>
        <v>401217333.94377863</v>
      </c>
      <c r="Y69" s="21">
        <f t="shared" si="3"/>
        <v>401217333.94377863</v>
      </c>
      <c r="Z69" s="21">
        <f t="shared" si="3"/>
        <v>401217333.94377863</v>
      </c>
      <c r="AA69" s="21">
        <f t="shared" si="3"/>
        <v>401217333.94377863</v>
      </c>
      <c r="AB69" s="21">
        <f t="shared" si="3"/>
        <v>401217333.94377863</v>
      </c>
      <c r="AC69" s="21">
        <f t="shared" si="3"/>
        <v>400062049.15477121</v>
      </c>
      <c r="AD69" s="21">
        <f t="shared" si="3"/>
        <v>400062049.15477121</v>
      </c>
      <c r="AE69" s="21">
        <f t="shared" si="3"/>
        <v>400062049.15477121</v>
      </c>
      <c r="AF69" s="21">
        <f t="shared" si="3"/>
        <v>400062049.15477121</v>
      </c>
      <c r="AG69" s="21">
        <f t="shared" si="3"/>
        <v>400062049.15477121</v>
      </c>
      <c r="AH69"/>
      <c r="AI69" s="23" t="s">
        <v>295</v>
      </c>
    </row>
    <row r="70" spans="2:35" s="1" customFormat="1" hidden="1" outlineLevel="1" x14ac:dyDescent="0.25">
      <c r="C70" s="31" t="s">
        <v>144</v>
      </c>
      <c r="D70" s="21">
        <f>'Core Loads'!C$106*'Core Inputs'!$D$105+'Core Loads'!C$126*'Core Inputs'!$D$100+'Core Loads'!C$146*'Core Inputs'!$D$91+'Core Loads'!C$166*'Core Inputs'!$D$96</f>
        <v>40881228.977333002</v>
      </c>
      <c r="E70" s="69">
        <f>'Core Loads'!D$106*'Core Inputs'!$D$105+'Core Loads'!D$126*'Core Inputs'!$D$100+'Core Loads'!D$146*'Core Inputs'!$D$91+'Core Loads'!D$166*'Core Inputs'!$D$96</f>
        <v>40881228.977333002</v>
      </c>
      <c r="F70" s="21">
        <f>'Core Loads'!E$106*'Core Inputs'!$D$105+'Core Loads'!E$126*'Core Inputs'!$D$100+'Core Loads'!E$146*'Core Inputs'!$D$91+'Core Loads'!E$166*'Core Inputs'!$D$96</f>
        <v>40881228.977333002</v>
      </c>
      <c r="G70" s="21">
        <f>'Core Loads'!F$106*'Core Inputs'!$D$105+'Core Loads'!F$126*'Core Inputs'!$D$100+'Core Loads'!F$146*'Core Inputs'!$D$91+'Core Loads'!F$166*'Core Inputs'!$D$96</f>
        <v>38703970.829197206</v>
      </c>
      <c r="H70" s="21">
        <f>'Core Loads'!G$106*'Core Inputs'!$D$105+'Core Loads'!G$126*'Core Inputs'!$D$100+'Core Loads'!G$146*'Core Inputs'!$D$91+'Core Loads'!G$166*'Core Inputs'!$D$96</f>
        <v>38703970.829197206</v>
      </c>
      <c r="I70" s="21">
        <f>'Core Loads'!H$106*'Core Inputs'!$D$105+'Core Loads'!H$126*'Core Inputs'!$D$100+'Core Loads'!H$146*'Core Inputs'!$D$91+'Core Loads'!H$166*'Core Inputs'!$D$96</f>
        <v>91177389.219426587</v>
      </c>
      <c r="J70" s="21">
        <f>'Core Loads'!I$106*'Core Inputs'!$D$105+'Core Loads'!I$126*'Core Inputs'!$D$100+'Core Loads'!I$146*'Core Inputs'!$D$91+'Core Loads'!I$166*'Core Inputs'!$D$96</f>
        <v>91177389.219426587</v>
      </c>
      <c r="K70" s="21">
        <f>'Core Loads'!J$106*'Core Inputs'!$D$105+'Core Loads'!J$126*'Core Inputs'!$D$100+'Core Loads'!J$146*'Core Inputs'!$D$91+'Core Loads'!J$166*'Core Inputs'!$D$96</f>
        <v>90118183.885835811</v>
      </c>
      <c r="L70" s="21">
        <f>'Core Loads'!K$106*'Core Inputs'!$D$105+'Core Loads'!K$126*'Core Inputs'!$D$100+'Core Loads'!K$146*'Core Inputs'!$D$91+'Core Loads'!K$166*'Core Inputs'!$D$96</f>
        <v>90118183.885835811</v>
      </c>
      <c r="M70" s="21">
        <f>'Core Loads'!L$106*'Core Inputs'!$D$105+'Core Loads'!L$126*'Core Inputs'!$D$100+'Core Loads'!L$146*'Core Inputs'!$D$91+'Core Loads'!L$166*'Core Inputs'!$D$96</f>
        <v>90713515.237827405</v>
      </c>
      <c r="N70" s="21">
        <f>'Core Loads'!M$106*'Core Inputs'!$D$105+'Core Loads'!M$126*'Core Inputs'!$D$100+'Core Loads'!M$146*'Core Inputs'!$D$91+'Core Loads'!M$166*'Core Inputs'!$D$96</f>
        <v>90713515.237827405</v>
      </c>
      <c r="O70" s="21">
        <f>'Core Loads'!N$106*'Core Inputs'!$D$105+'Core Loads'!N$126*'Core Inputs'!$D$100+'Core Loads'!N$146*'Core Inputs'!$D$91+'Core Loads'!N$166*'Core Inputs'!$D$96</f>
        <v>90713515.237827405</v>
      </c>
      <c r="P70" s="21">
        <f>'Core Loads'!O$106*'Core Inputs'!$D$105+'Core Loads'!O$126*'Core Inputs'!$D$100+'Core Loads'!O$146*'Core Inputs'!$D$91+'Core Loads'!O$166*'Core Inputs'!$D$96</f>
        <v>90713515.237827405</v>
      </c>
      <c r="Q70" s="21">
        <f>'Core Loads'!P$106*'Core Inputs'!$D$105+'Core Loads'!P$126*'Core Inputs'!$D$100+'Core Loads'!P$146*'Core Inputs'!$D$91+'Core Loads'!P$166*'Core Inputs'!$D$96</f>
        <v>90713515.237827405</v>
      </c>
      <c r="R70" s="21">
        <f>'Core Loads'!Q$106*'Core Inputs'!$D$105+'Core Loads'!Q$126*'Core Inputs'!$D$100+'Core Loads'!Q$146*'Core Inputs'!$D$91+'Core Loads'!Q$166*'Core Inputs'!$D$96</f>
        <v>142460726.44678384</v>
      </c>
      <c r="S70" s="21">
        <f>'Core Loads'!R$106*'Core Inputs'!$D$105+'Core Loads'!R$126*'Core Inputs'!$D$100+'Core Loads'!R$146*'Core Inputs'!$D$91+'Core Loads'!R$166*'Core Inputs'!$D$96</f>
        <v>142460726.44678384</v>
      </c>
      <c r="T70" s="21">
        <f>'Core Loads'!S$106*'Core Inputs'!$D$105+'Core Loads'!S$126*'Core Inputs'!$D$100+'Core Loads'!S$146*'Core Inputs'!$D$91+'Core Loads'!S$166*'Core Inputs'!$D$96</f>
        <v>142460726.44678384</v>
      </c>
      <c r="U70" s="21">
        <f>'Core Loads'!T$106*'Core Inputs'!$D$105+'Core Loads'!T$126*'Core Inputs'!$D$100+'Core Loads'!T$146*'Core Inputs'!$D$91+'Core Loads'!T$166*'Core Inputs'!$D$96</f>
        <v>142460726.44678384</v>
      </c>
      <c r="V70" s="21">
        <f>'Core Loads'!U$106*'Core Inputs'!$D$105+'Core Loads'!U$126*'Core Inputs'!$D$100+'Core Loads'!U$146*'Core Inputs'!$D$91+'Core Loads'!U$166*'Core Inputs'!$D$96</f>
        <v>142460726.44678384</v>
      </c>
      <c r="W70" s="21">
        <f>'Core Loads'!V$106*'Core Inputs'!$D$105+'Core Loads'!V$126*'Core Inputs'!$D$100+'Core Loads'!V$146*'Core Inputs'!$D$91+'Core Loads'!V$166*'Core Inputs'!$D$96</f>
        <v>142460726.44678384</v>
      </c>
      <c r="X70" s="21">
        <f>'Core Loads'!W$106*'Core Inputs'!$D$105+'Core Loads'!W$126*'Core Inputs'!$D$100+'Core Loads'!W$146*'Core Inputs'!$D$91+'Core Loads'!W$166*'Core Inputs'!$D$96</f>
        <v>142460726.44678384</v>
      </c>
      <c r="Y70" s="21">
        <f>'Core Loads'!X$106*'Core Inputs'!$D$105+'Core Loads'!X$126*'Core Inputs'!$D$100+'Core Loads'!X$146*'Core Inputs'!$D$91+'Core Loads'!X$166*'Core Inputs'!$D$96</f>
        <v>142460726.44678384</v>
      </c>
      <c r="Z70" s="21">
        <f>'Core Loads'!Y$106*'Core Inputs'!$D$105+'Core Loads'!Y$126*'Core Inputs'!$D$100+'Core Loads'!Y$146*'Core Inputs'!$D$91+'Core Loads'!Y$166*'Core Inputs'!$D$96</f>
        <v>142460726.44678384</v>
      </c>
      <c r="AA70" s="21">
        <f>'Core Loads'!Z$106*'Core Inputs'!$D$105+'Core Loads'!Z$126*'Core Inputs'!$D$100+'Core Loads'!Z$146*'Core Inputs'!$D$91+'Core Loads'!Z$166*'Core Inputs'!$D$96</f>
        <v>142460726.44678384</v>
      </c>
      <c r="AB70" s="21">
        <f>'Core Loads'!AA$106*'Core Inputs'!$D$105+'Core Loads'!AA$126*'Core Inputs'!$D$100+'Core Loads'!AA$146*'Core Inputs'!$D$91+'Core Loads'!AA$166*'Core Inputs'!$D$96</f>
        <v>142460726.44678384</v>
      </c>
      <c r="AC70" s="21">
        <f>'Core Loads'!AB$106*'Core Inputs'!$D$105+'Core Loads'!AB$126*'Core Inputs'!$D$100+'Core Loads'!AB$146*'Core Inputs'!$D$91+'Core Loads'!AB$166*'Core Inputs'!$D$96</f>
        <v>142460726.44678384</v>
      </c>
      <c r="AD70" s="21">
        <f>'Core Loads'!AC$106*'Core Inputs'!$D$105+'Core Loads'!AC$126*'Core Inputs'!$D$100+'Core Loads'!AC$146*'Core Inputs'!$D$91+'Core Loads'!AC$166*'Core Inputs'!$D$96</f>
        <v>142460726.44678384</v>
      </c>
      <c r="AE70" s="21">
        <f>'Core Loads'!AD$106*'Core Inputs'!$D$105+'Core Loads'!AD$126*'Core Inputs'!$D$100+'Core Loads'!AD$146*'Core Inputs'!$D$91+'Core Loads'!AD$166*'Core Inputs'!$D$96</f>
        <v>142460726.44678384</v>
      </c>
      <c r="AF70" s="21">
        <f>'Core Loads'!AE$106*'Core Inputs'!$D$105+'Core Loads'!AE$126*'Core Inputs'!$D$100+'Core Loads'!AE$146*'Core Inputs'!$D$91+'Core Loads'!AE$166*'Core Inputs'!$D$96</f>
        <v>142460726.44678384</v>
      </c>
      <c r="AG70" s="21">
        <f>'Core Loads'!AF$106*'Core Inputs'!$D$105+'Core Loads'!AF$126*'Core Inputs'!$D$100+'Core Loads'!AF$146*'Core Inputs'!$D$91+'Core Loads'!AF$166*'Core Inputs'!$D$96</f>
        <v>142460726.44678384</v>
      </c>
      <c r="AH70"/>
      <c r="AI70" s="23" t="s">
        <v>293</v>
      </c>
    </row>
    <row r="71" spans="2:35" s="1" customFormat="1" hidden="1" outlineLevel="1" x14ac:dyDescent="0.25">
      <c r="C71" s="31" t="s">
        <v>145</v>
      </c>
      <c r="D71" s="21">
        <f>'Core Loads'!C$107*'Core Inputs'!$E$105+'Core Loads'!C$127*'Core Inputs'!$E$100+'Core Loads'!C$147*'Core Inputs'!$E$91+'Core Loads'!C$167*'Core Inputs'!$E$96</f>
        <v>0</v>
      </c>
      <c r="E71" s="69">
        <f>'Core Loads'!D$107*'Core Inputs'!$E$105+'Core Loads'!D$127*'Core Inputs'!$E$100+'Core Loads'!D$147*'Core Inputs'!$E$91+'Core Loads'!D$167*'Core Inputs'!$E$96</f>
        <v>0</v>
      </c>
      <c r="F71" s="21">
        <f>'Core Loads'!E$107*'Core Inputs'!$E$105+'Core Loads'!E$127*'Core Inputs'!$E$100+'Core Loads'!E$147*'Core Inputs'!$E$91+'Core Loads'!E$167*'Core Inputs'!$E$96</f>
        <v>0</v>
      </c>
      <c r="G71" s="21">
        <f>'Core Loads'!F$107*'Core Inputs'!$E$105+'Core Loads'!F$127*'Core Inputs'!$E$100+'Core Loads'!F$147*'Core Inputs'!$E$91+'Core Loads'!F$167*'Core Inputs'!$E$96</f>
        <v>0</v>
      </c>
      <c r="H71" s="21">
        <f>'Core Loads'!G$107*'Core Inputs'!$E$105+'Core Loads'!G$127*'Core Inputs'!$E$100+'Core Loads'!G$147*'Core Inputs'!$E$91+'Core Loads'!G$167*'Core Inputs'!$E$96</f>
        <v>0</v>
      </c>
      <c r="I71" s="21">
        <f>'Core Loads'!H$107*'Core Inputs'!$E$105+'Core Loads'!H$127*'Core Inputs'!$E$100+'Core Loads'!H$147*'Core Inputs'!$E$91+'Core Loads'!H$167*'Core Inputs'!$E$96</f>
        <v>0</v>
      </c>
      <c r="J71" s="21">
        <f>'Core Loads'!I$107*'Core Inputs'!$E$105+'Core Loads'!I$127*'Core Inputs'!$E$100+'Core Loads'!I$147*'Core Inputs'!$E$91+'Core Loads'!I$167*'Core Inputs'!$E$96</f>
        <v>0</v>
      </c>
      <c r="K71" s="21">
        <f>'Core Loads'!J$107*'Core Inputs'!$E$105+'Core Loads'!J$127*'Core Inputs'!$E$100+'Core Loads'!J$147*'Core Inputs'!$E$91+'Core Loads'!J$167*'Core Inputs'!$E$96</f>
        <v>0</v>
      </c>
      <c r="L71" s="21">
        <f>'Core Loads'!K$107*'Core Inputs'!$E$105+'Core Loads'!K$127*'Core Inputs'!$E$100+'Core Loads'!K$147*'Core Inputs'!$E$91+'Core Loads'!K$167*'Core Inputs'!$E$96</f>
        <v>0</v>
      </c>
      <c r="M71" s="21">
        <f>'Core Loads'!L$107*'Core Inputs'!$E$105+'Core Loads'!L$127*'Core Inputs'!$E$100+'Core Loads'!L$147*'Core Inputs'!$E$91+'Core Loads'!L$167*'Core Inputs'!$E$96</f>
        <v>0</v>
      </c>
      <c r="N71" s="21">
        <f>'Core Loads'!M$107*'Core Inputs'!$E$105+'Core Loads'!M$127*'Core Inputs'!$E$100+'Core Loads'!M$147*'Core Inputs'!$E$91+'Core Loads'!M$167*'Core Inputs'!$E$96</f>
        <v>30782572.772550896</v>
      </c>
      <c r="O71" s="21">
        <f>'Core Loads'!N$107*'Core Inputs'!$E$105+'Core Loads'!N$127*'Core Inputs'!$E$100+'Core Loads'!N$147*'Core Inputs'!$E$91+'Core Loads'!N$167*'Core Inputs'!$E$96</f>
        <v>30782572.772550896</v>
      </c>
      <c r="P71" s="21">
        <f>'Core Loads'!O$107*'Core Inputs'!$E$105+'Core Loads'!O$127*'Core Inputs'!$E$100+'Core Loads'!O$147*'Core Inputs'!$E$91+'Core Loads'!O$167*'Core Inputs'!$E$96</f>
        <v>30782572.772550896</v>
      </c>
      <c r="Q71" s="21">
        <f>'Core Loads'!P$107*'Core Inputs'!$E$105+'Core Loads'!P$127*'Core Inputs'!$E$100+'Core Loads'!P$147*'Core Inputs'!$E$91+'Core Loads'!P$167*'Core Inputs'!$E$96</f>
        <v>30703239.982233718</v>
      </c>
      <c r="R71" s="21">
        <f>'Core Loads'!Q$107*'Core Inputs'!$E$105+'Core Loads'!Q$127*'Core Inputs'!$E$100+'Core Loads'!Q$147*'Core Inputs'!$E$91+'Core Loads'!Q$167*'Core Inputs'!$E$96</f>
        <v>45371223.645106643</v>
      </c>
      <c r="S71" s="21">
        <f>'Core Loads'!R$107*'Core Inputs'!$E$105+'Core Loads'!R$127*'Core Inputs'!$E$100+'Core Loads'!R$147*'Core Inputs'!$E$91+'Core Loads'!R$167*'Core Inputs'!$E$96</f>
        <v>45584297.010219261</v>
      </c>
      <c r="T71" s="21">
        <f>'Core Loads'!S$107*'Core Inputs'!$E$105+'Core Loads'!S$127*'Core Inputs'!$E$100+'Core Loads'!S$147*'Core Inputs'!$E$91+'Core Loads'!S$167*'Core Inputs'!$E$96</f>
        <v>45584297.010219261</v>
      </c>
      <c r="U71" s="21">
        <f>'Core Loads'!T$107*'Core Inputs'!$E$105+'Core Loads'!T$127*'Core Inputs'!$E$100+'Core Loads'!T$147*'Core Inputs'!$E$91+'Core Loads'!T$167*'Core Inputs'!$E$96</f>
        <v>45086431.478525937</v>
      </c>
      <c r="V71" s="21">
        <f>'Core Loads'!U$107*'Core Inputs'!$E$105+'Core Loads'!U$127*'Core Inputs'!$E$100+'Core Loads'!U$147*'Core Inputs'!$E$91+'Core Loads'!U$167*'Core Inputs'!$E$96</f>
        <v>45086431.478525937</v>
      </c>
      <c r="W71" s="21">
        <f>'Core Loads'!V$107*'Core Inputs'!$E$105+'Core Loads'!V$127*'Core Inputs'!$E$100+'Core Loads'!V$147*'Core Inputs'!$E$91+'Core Loads'!V$167*'Core Inputs'!$E$96</f>
        <v>45086431.478525937</v>
      </c>
      <c r="X71" s="21">
        <f>'Core Loads'!W$107*'Core Inputs'!$E$105+'Core Loads'!W$127*'Core Inputs'!$E$100+'Core Loads'!W$147*'Core Inputs'!$E$91+'Core Loads'!W$167*'Core Inputs'!$E$96</f>
        <v>45086431.478525937</v>
      </c>
      <c r="Y71" s="21">
        <f>'Core Loads'!X$107*'Core Inputs'!$E$105+'Core Loads'!X$127*'Core Inputs'!$E$100+'Core Loads'!X$147*'Core Inputs'!$E$91+'Core Loads'!X$167*'Core Inputs'!$E$96</f>
        <v>45086431.478525937</v>
      </c>
      <c r="Z71" s="21">
        <f>'Core Loads'!Y$107*'Core Inputs'!$E$105+'Core Loads'!Y$127*'Core Inputs'!$E$100+'Core Loads'!Y$147*'Core Inputs'!$E$91+'Core Loads'!Y$167*'Core Inputs'!$E$96</f>
        <v>45086431.478525937</v>
      </c>
      <c r="AA71" s="21">
        <f>'Core Loads'!Z$107*'Core Inputs'!$E$105+'Core Loads'!Z$127*'Core Inputs'!$E$100+'Core Loads'!Z$147*'Core Inputs'!$E$91+'Core Loads'!Z$167*'Core Inputs'!$E$96</f>
        <v>45086431.478525937</v>
      </c>
      <c r="AB71" s="21">
        <f>'Core Loads'!AA$107*'Core Inputs'!$E$105+'Core Loads'!AA$127*'Core Inputs'!$E$100+'Core Loads'!AA$147*'Core Inputs'!$E$91+'Core Loads'!AA$167*'Core Inputs'!$E$96</f>
        <v>45086431.478525937</v>
      </c>
      <c r="AC71" s="21">
        <f>'Core Loads'!AB$107*'Core Inputs'!$E$105+'Core Loads'!AB$127*'Core Inputs'!$E$100+'Core Loads'!AB$147*'Core Inputs'!$E$91+'Core Loads'!AB$167*'Core Inputs'!$E$96</f>
        <v>43931146.689518519</v>
      </c>
      <c r="AD71" s="21">
        <f>'Core Loads'!AC$107*'Core Inputs'!$E$105+'Core Loads'!AC$127*'Core Inputs'!$E$100+'Core Loads'!AC$147*'Core Inputs'!$E$91+'Core Loads'!AC$167*'Core Inputs'!$E$96</f>
        <v>43931146.689518519</v>
      </c>
      <c r="AE71" s="21">
        <f>'Core Loads'!AD$107*'Core Inputs'!$E$105+'Core Loads'!AD$127*'Core Inputs'!$E$100+'Core Loads'!AD$147*'Core Inputs'!$E$91+'Core Loads'!AD$167*'Core Inputs'!$E$96</f>
        <v>43931146.689518519</v>
      </c>
      <c r="AF71" s="21">
        <f>'Core Loads'!AE$107*'Core Inputs'!$E$105+'Core Loads'!AE$127*'Core Inputs'!$E$100+'Core Loads'!AE$147*'Core Inputs'!$E$91+'Core Loads'!AE$167*'Core Inputs'!$E$96</f>
        <v>43931146.689518519</v>
      </c>
      <c r="AG71" s="21">
        <f>'Core Loads'!AF$107*'Core Inputs'!$E$105+'Core Loads'!AF$127*'Core Inputs'!$E$100+'Core Loads'!AF$147*'Core Inputs'!$E$91+'Core Loads'!AF$167*'Core Inputs'!$E$96</f>
        <v>43931146.689518519</v>
      </c>
      <c r="AH71"/>
      <c r="AI71" s="23" t="s">
        <v>293</v>
      </c>
    </row>
    <row r="72" spans="2:35" s="1" customFormat="1" hidden="1" outlineLevel="1" x14ac:dyDescent="0.25">
      <c r="C72" s="31" t="s">
        <v>244</v>
      </c>
      <c r="D72" s="21">
        <f>'Core Loads'!C$108*'Core Inputs'!$F$105+'Core Loads'!C$128*'Core Inputs'!$F$100+'Core Loads'!C$148*'Core Inputs'!$F$91+'Core Loads'!C$168*'Core Inputs'!$F$96</f>
        <v>0</v>
      </c>
      <c r="E72" s="69">
        <f>'Core Loads'!D$108*'Core Inputs'!$F$105+'Core Loads'!D$128*'Core Inputs'!$F$100+'Core Loads'!D$148*'Core Inputs'!$F$91+'Core Loads'!D$168*'Core Inputs'!$F$96</f>
        <v>0</v>
      </c>
      <c r="F72" s="21">
        <f>'Core Loads'!E$108*'Core Inputs'!$F$105+'Core Loads'!E$128*'Core Inputs'!$F$100+'Core Loads'!E$148*'Core Inputs'!$F$91+'Core Loads'!E$168*'Core Inputs'!$F$96</f>
        <v>0</v>
      </c>
      <c r="G72" s="21">
        <f>'Core Loads'!F$108*'Core Inputs'!$F$105+'Core Loads'!F$128*'Core Inputs'!$F$100+'Core Loads'!F$148*'Core Inputs'!$F$91+'Core Loads'!F$168*'Core Inputs'!$F$96</f>
        <v>0</v>
      </c>
      <c r="H72" s="21">
        <f>'Core Loads'!G$108*'Core Inputs'!$F$105+'Core Loads'!G$128*'Core Inputs'!$F$100+'Core Loads'!G$148*'Core Inputs'!$F$91+'Core Loads'!G$168*'Core Inputs'!$F$96</f>
        <v>0</v>
      </c>
      <c r="I72" s="21">
        <f>'Core Loads'!H$108*'Core Inputs'!$F$105+'Core Loads'!H$128*'Core Inputs'!$F$100+'Core Loads'!H$148*'Core Inputs'!$F$91+'Core Loads'!H$168*'Core Inputs'!$F$96</f>
        <v>53801965.470697597</v>
      </c>
      <c r="J72" s="21">
        <f>'Core Loads'!I$108*'Core Inputs'!$F$105+'Core Loads'!I$128*'Core Inputs'!$F$100+'Core Loads'!I$148*'Core Inputs'!$F$91+'Core Loads'!I$168*'Core Inputs'!$F$96</f>
        <v>53801965.470697597</v>
      </c>
      <c r="K72" s="21">
        <f>'Core Loads'!J$108*'Core Inputs'!$F$105+'Core Loads'!J$128*'Core Inputs'!$F$100+'Core Loads'!J$148*'Core Inputs'!$F$91+'Core Loads'!J$168*'Core Inputs'!$F$96</f>
        <v>49122882.711172588</v>
      </c>
      <c r="L72" s="21">
        <f>'Core Loads'!K$108*'Core Inputs'!$F$105+'Core Loads'!K$128*'Core Inputs'!$F$100+'Core Loads'!K$148*'Core Inputs'!$F$91+'Core Loads'!K$168*'Core Inputs'!$F$96</f>
        <v>49122882.711172588</v>
      </c>
      <c r="M72" s="21">
        <f>'Core Loads'!L$108*'Core Inputs'!$F$105+'Core Loads'!L$128*'Core Inputs'!$F$100+'Core Loads'!L$148*'Core Inputs'!$F$91+'Core Loads'!L$168*'Core Inputs'!$F$96</f>
        <v>49122882.711172588</v>
      </c>
      <c r="N72" s="21">
        <f>'Core Loads'!M$108*'Core Inputs'!$F$105+'Core Loads'!M$128*'Core Inputs'!$F$100+'Core Loads'!M$148*'Core Inputs'!$F$91+'Core Loads'!M$168*'Core Inputs'!$F$96</f>
        <v>100279945.21158628</v>
      </c>
      <c r="O72" s="21">
        <f>'Core Loads'!N$108*'Core Inputs'!$F$105+'Core Loads'!N$128*'Core Inputs'!$F$100+'Core Loads'!N$148*'Core Inputs'!$F$91+'Core Loads'!N$168*'Core Inputs'!$F$96</f>
        <v>98847111.308928564</v>
      </c>
      <c r="P72" s="21">
        <f>'Core Loads'!O$108*'Core Inputs'!$F$105+'Core Loads'!O$128*'Core Inputs'!$F$100+'Core Loads'!O$148*'Core Inputs'!$F$91+'Core Loads'!O$168*'Core Inputs'!$F$96</f>
        <v>98847111.308928564</v>
      </c>
      <c r="Q72" s="21">
        <f>'Core Loads'!P$108*'Core Inputs'!$F$105+'Core Loads'!P$128*'Core Inputs'!$F$100+'Core Loads'!P$148*'Core Inputs'!$F$91+'Core Loads'!P$168*'Core Inputs'!$F$96</f>
        <v>98571924.289036393</v>
      </c>
      <c r="R72" s="21">
        <f>'Core Loads'!Q$108*'Core Inputs'!$F$105+'Core Loads'!Q$128*'Core Inputs'!$F$100+'Core Loads'!Q$148*'Core Inputs'!$F$91+'Core Loads'!Q$168*'Core Inputs'!$F$96</f>
        <v>154330388.86176631</v>
      </c>
      <c r="S72" s="21">
        <f>'Core Loads'!R$108*'Core Inputs'!$F$105+'Core Loads'!R$128*'Core Inputs'!$F$100+'Core Loads'!R$148*'Core Inputs'!$F$91+'Core Loads'!R$168*'Core Inputs'!$F$96</f>
        <v>159323159.63805088</v>
      </c>
      <c r="T72" s="21">
        <f>'Core Loads'!S$108*'Core Inputs'!$F$105+'Core Loads'!S$128*'Core Inputs'!$F$100+'Core Loads'!S$148*'Core Inputs'!$F$91+'Core Loads'!S$168*'Core Inputs'!$F$96</f>
        <v>159323159.63805088</v>
      </c>
      <c r="U72" s="21">
        <f>'Core Loads'!T$108*'Core Inputs'!$F$105+'Core Loads'!T$128*'Core Inputs'!$F$100+'Core Loads'!T$148*'Core Inputs'!$F$91+'Core Loads'!T$168*'Core Inputs'!$F$96</f>
        <v>159323159.63805088</v>
      </c>
      <c r="V72" s="21">
        <f>'Core Loads'!U$108*'Core Inputs'!$F$105+'Core Loads'!U$128*'Core Inputs'!$F$100+'Core Loads'!U$148*'Core Inputs'!$F$91+'Core Loads'!U$168*'Core Inputs'!$F$96</f>
        <v>159323159.63805088</v>
      </c>
      <c r="W72" s="21">
        <f>'Core Loads'!V$108*'Core Inputs'!$F$105+'Core Loads'!V$128*'Core Inputs'!$F$100+'Core Loads'!V$148*'Core Inputs'!$F$91+'Core Loads'!V$168*'Core Inputs'!$F$96</f>
        <v>158292827.42940292</v>
      </c>
      <c r="X72" s="21">
        <f>'Core Loads'!W$108*'Core Inputs'!$F$105+'Core Loads'!W$128*'Core Inputs'!$F$100+'Core Loads'!W$148*'Core Inputs'!$F$91+'Core Loads'!W$168*'Core Inputs'!$F$96</f>
        <v>158292827.42940292</v>
      </c>
      <c r="Y72" s="21">
        <f>'Core Loads'!X$108*'Core Inputs'!$F$105+'Core Loads'!X$128*'Core Inputs'!$F$100+'Core Loads'!X$148*'Core Inputs'!$F$91+'Core Loads'!X$168*'Core Inputs'!$F$96</f>
        <v>158292827.42940292</v>
      </c>
      <c r="Z72" s="21">
        <f>'Core Loads'!Y$108*'Core Inputs'!$F$105+'Core Loads'!Y$128*'Core Inputs'!$F$100+'Core Loads'!Y$148*'Core Inputs'!$F$91+'Core Loads'!Y$168*'Core Inputs'!$F$96</f>
        <v>158292827.42940292</v>
      </c>
      <c r="AA72" s="21">
        <f>'Core Loads'!Z$108*'Core Inputs'!$F$105+'Core Loads'!Z$128*'Core Inputs'!$F$100+'Core Loads'!Z$148*'Core Inputs'!$F$91+'Core Loads'!Z$168*'Core Inputs'!$F$96</f>
        <v>158292827.42940292</v>
      </c>
      <c r="AB72" s="21">
        <f>'Core Loads'!AA$108*'Core Inputs'!$F$105+'Core Loads'!AA$128*'Core Inputs'!$F$100+'Core Loads'!AA$148*'Core Inputs'!$F$91+'Core Loads'!AA$168*'Core Inputs'!$F$96</f>
        <v>158292827.42940292</v>
      </c>
      <c r="AC72" s="21">
        <f>'Core Loads'!AB$108*'Core Inputs'!$F$105+'Core Loads'!AB$128*'Core Inputs'!$F$100+'Core Loads'!AB$148*'Core Inputs'!$F$91+'Core Loads'!AB$168*'Core Inputs'!$F$96</f>
        <v>158292827.42940292</v>
      </c>
      <c r="AD72" s="21">
        <f>'Core Loads'!AC$108*'Core Inputs'!$F$105+'Core Loads'!AC$128*'Core Inputs'!$F$100+'Core Loads'!AC$148*'Core Inputs'!$F$91+'Core Loads'!AC$168*'Core Inputs'!$F$96</f>
        <v>158292827.42940292</v>
      </c>
      <c r="AE72" s="21">
        <f>'Core Loads'!AD$108*'Core Inputs'!$F$105+'Core Loads'!AD$128*'Core Inputs'!$F$100+'Core Loads'!AD$148*'Core Inputs'!$F$91+'Core Loads'!AD$168*'Core Inputs'!$F$96</f>
        <v>158292827.42940292</v>
      </c>
      <c r="AF72" s="21">
        <f>'Core Loads'!AE$108*'Core Inputs'!$F$105+'Core Loads'!AE$128*'Core Inputs'!$F$100+'Core Loads'!AE$148*'Core Inputs'!$F$91+'Core Loads'!AE$168*'Core Inputs'!$F$96</f>
        <v>158292827.42940292</v>
      </c>
      <c r="AG72" s="21">
        <f>'Core Loads'!AF$108*'Core Inputs'!$F$105+'Core Loads'!AF$128*'Core Inputs'!$F$100+'Core Loads'!AF$148*'Core Inputs'!$F$91+'Core Loads'!AF$168*'Core Inputs'!$F$96</f>
        <v>158292827.42940292</v>
      </c>
      <c r="AH72"/>
      <c r="AI72" s="23" t="s">
        <v>293</v>
      </c>
    </row>
    <row r="73" spans="2:35" s="1" customFormat="1" hidden="1" outlineLevel="1" x14ac:dyDescent="0.25">
      <c r="C73" s="31" t="s">
        <v>147</v>
      </c>
      <c r="D73" s="21">
        <f>'Core Loads'!C$109*'Core Inputs'!$G$105+'Core Loads'!C$129*'Core Inputs'!$G$100+'Core Loads'!C$149*'Core Inputs'!$G$91+'Core Loads'!C$169*'Core Inputs'!$G$96</f>
        <v>0</v>
      </c>
      <c r="E73" s="69">
        <f>'Core Loads'!D$109*'Core Inputs'!$G$105+'Core Loads'!D$129*'Core Inputs'!$G$100+'Core Loads'!D$149*'Core Inputs'!$G$91+'Core Loads'!D$169*'Core Inputs'!$G$96</f>
        <v>0</v>
      </c>
      <c r="F73" s="21">
        <f>'Core Loads'!E$109*'Core Inputs'!$G$105+'Core Loads'!E$129*'Core Inputs'!$G$100+'Core Loads'!E$149*'Core Inputs'!$G$91+'Core Loads'!E$169*'Core Inputs'!$G$96</f>
        <v>0</v>
      </c>
      <c r="G73" s="21">
        <f>'Core Loads'!F$109*'Core Inputs'!$G$105+'Core Loads'!F$129*'Core Inputs'!$G$100+'Core Loads'!F$149*'Core Inputs'!$G$91+'Core Loads'!F$169*'Core Inputs'!$G$96</f>
        <v>0</v>
      </c>
      <c r="H73" s="21">
        <f>'Core Loads'!G$109*'Core Inputs'!$G$105+'Core Loads'!G$129*'Core Inputs'!$G$100+'Core Loads'!G$149*'Core Inputs'!$G$91+'Core Loads'!G$169*'Core Inputs'!$G$96</f>
        <v>0</v>
      </c>
      <c r="I73" s="21">
        <f>'Core Loads'!H$109*'Core Inputs'!$G$105+'Core Loads'!H$129*'Core Inputs'!$G$100+'Core Loads'!H$149*'Core Inputs'!$G$91+'Core Loads'!H$169*'Core Inputs'!$G$96</f>
        <v>0</v>
      </c>
      <c r="J73" s="21">
        <f>'Core Loads'!I$109*'Core Inputs'!$G$105+'Core Loads'!I$129*'Core Inputs'!$G$100+'Core Loads'!I$149*'Core Inputs'!$G$91+'Core Loads'!I$169*'Core Inputs'!$G$96</f>
        <v>0</v>
      </c>
      <c r="K73" s="21">
        <f>'Core Loads'!J$109*'Core Inputs'!$G$105+'Core Loads'!J$129*'Core Inputs'!$G$100+'Core Loads'!J$149*'Core Inputs'!$G$91+'Core Loads'!J$169*'Core Inputs'!$G$96</f>
        <v>0</v>
      </c>
      <c r="L73" s="21">
        <f>'Core Loads'!K$109*'Core Inputs'!$G$105+'Core Loads'!K$129*'Core Inputs'!$G$100+'Core Loads'!K$149*'Core Inputs'!$G$91+'Core Loads'!K$169*'Core Inputs'!$G$96</f>
        <v>0</v>
      </c>
      <c r="M73" s="21">
        <f>'Core Loads'!L$109*'Core Inputs'!$G$105+'Core Loads'!L$129*'Core Inputs'!$G$100+'Core Loads'!L$149*'Core Inputs'!$G$91+'Core Loads'!L$169*'Core Inputs'!$G$96</f>
        <v>0</v>
      </c>
      <c r="N73" s="21">
        <f>'Core Loads'!M$109*'Core Inputs'!$G$105+'Core Loads'!M$129*'Core Inputs'!$G$100+'Core Loads'!M$149*'Core Inputs'!$G$91+'Core Loads'!M$169*'Core Inputs'!$G$96</f>
        <v>0</v>
      </c>
      <c r="O73" s="21">
        <f>'Core Loads'!N$109*'Core Inputs'!$G$105+'Core Loads'!N$129*'Core Inputs'!$G$100+'Core Loads'!N$149*'Core Inputs'!$G$91+'Core Loads'!N$169*'Core Inputs'!$G$96</f>
        <v>0</v>
      </c>
      <c r="P73" s="21">
        <f>'Core Loads'!O$109*'Core Inputs'!$G$105+'Core Loads'!O$129*'Core Inputs'!$G$100+'Core Loads'!O$149*'Core Inputs'!$G$91+'Core Loads'!O$169*'Core Inputs'!$G$96</f>
        <v>0</v>
      </c>
      <c r="Q73" s="21">
        <f>'Core Loads'!P$109*'Core Inputs'!$G$105+'Core Loads'!P$129*'Core Inputs'!$G$100+'Core Loads'!P$149*'Core Inputs'!$G$91+'Core Loads'!P$169*'Core Inputs'!$G$96</f>
        <v>0</v>
      </c>
      <c r="R73" s="21">
        <f>'Core Loads'!Q$109*'Core Inputs'!$G$105+'Core Loads'!Q$129*'Core Inputs'!$G$100+'Core Loads'!Q$149*'Core Inputs'!$G$91+'Core Loads'!Q$169*'Core Inputs'!$G$96</f>
        <v>0</v>
      </c>
      <c r="S73" s="21">
        <f>'Core Loads'!R$109*'Core Inputs'!$G$105+'Core Loads'!R$129*'Core Inputs'!$G$100+'Core Loads'!R$149*'Core Inputs'!$G$91+'Core Loads'!R$169*'Core Inputs'!$G$96</f>
        <v>0</v>
      </c>
      <c r="T73" s="21">
        <f>'Core Loads'!S$109*'Core Inputs'!$G$105+'Core Loads'!S$129*'Core Inputs'!$G$100+'Core Loads'!S$149*'Core Inputs'!$G$91+'Core Loads'!S$169*'Core Inputs'!$G$96</f>
        <v>0</v>
      </c>
      <c r="U73" s="21">
        <f>'Core Loads'!T$109*'Core Inputs'!$G$105+'Core Loads'!T$129*'Core Inputs'!$G$100+'Core Loads'!T$149*'Core Inputs'!$G$91+'Core Loads'!T$169*'Core Inputs'!$G$96</f>
        <v>0</v>
      </c>
      <c r="V73" s="21">
        <f>'Core Loads'!U$109*'Core Inputs'!$G$105+'Core Loads'!U$129*'Core Inputs'!$G$100+'Core Loads'!U$149*'Core Inputs'!$G$91+'Core Loads'!U$169*'Core Inputs'!$G$96</f>
        <v>0</v>
      </c>
      <c r="W73" s="21">
        <f>'Core Loads'!V$109*'Core Inputs'!$G$105+'Core Loads'!V$129*'Core Inputs'!$G$100+'Core Loads'!V$149*'Core Inputs'!$G$91+'Core Loads'!V$169*'Core Inputs'!$G$96</f>
        <v>0</v>
      </c>
      <c r="X73" s="21">
        <f>'Core Loads'!W$109*'Core Inputs'!$G$105+'Core Loads'!W$129*'Core Inputs'!$G$100+'Core Loads'!W$149*'Core Inputs'!$G$91+'Core Loads'!W$169*'Core Inputs'!$G$96</f>
        <v>0</v>
      </c>
      <c r="Y73" s="21">
        <f>'Core Loads'!X$109*'Core Inputs'!$G$105+'Core Loads'!X$129*'Core Inputs'!$G$100+'Core Loads'!X$149*'Core Inputs'!$G$91+'Core Loads'!X$169*'Core Inputs'!$G$96</f>
        <v>0</v>
      </c>
      <c r="Z73" s="21">
        <f>'Core Loads'!Y$109*'Core Inputs'!$G$105+'Core Loads'!Y$129*'Core Inputs'!$G$100+'Core Loads'!Y$149*'Core Inputs'!$G$91+'Core Loads'!Y$169*'Core Inputs'!$G$96</f>
        <v>0</v>
      </c>
      <c r="AA73" s="21">
        <f>'Core Loads'!Z$109*'Core Inputs'!$G$105+'Core Loads'!Z$129*'Core Inputs'!$G$100+'Core Loads'!Z$149*'Core Inputs'!$G$91+'Core Loads'!Z$169*'Core Inputs'!$G$96</f>
        <v>0</v>
      </c>
      <c r="AB73" s="21">
        <f>'Core Loads'!AA$109*'Core Inputs'!$G$105+'Core Loads'!AA$129*'Core Inputs'!$G$100+'Core Loads'!AA$149*'Core Inputs'!$G$91+'Core Loads'!AA$169*'Core Inputs'!$G$96</f>
        <v>0</v>
      </c>
      <c r="AC73" s="21">
        <f>'Core Loads'!AB$109*'Core Inputs'!$G$105+'Core Loads'!AB$129*'Core Inputs'!$G$100+'Core Loads'!AB$149*'Core Inputs'!$G$91+'Core Loads'!AB$169*'Core Inputs'!$G$96</f>
        <v>0</v>
      </c>
      <c r="AD73" s="21">
        <f>'Core Loads'!AC$109*'Core Inputs'!$G$105+'Core Loads'!AC$129*'Core Inputs'!$G$100+'Core Loads'!AC$149*'Core Inputs'!$G$91+'Core Loads'!AC$169*'Core Inputs'!$G$96</f>
        <v>0</v>
      </c>
      <c r="AE73" s="21">
        <f>'Core Loads'!AD$109*'Core Inputs'!$G$105+'Core Loads'!AD$129*'Core Inputs'!$G$100+'Core Loads'!AD$149*'Core Inputs'!$G$91+'Core Loads'!AD$169*'Core Inputs'!$G$96</f>
        <v>0</v>
      </c>
      <c r="AF73" s="21">
        <f>'Core Loads'!AE$109*'Core Inputs'!$G$105+'Core Loads'!AE$129*'Core Inputs'!$G$100+'Core Loads'!AE$149*'Core Inputs'!$G$91+'Core Loads'!AE$169*'Core Inputs'!$G$96</f>
        <v>0</v>
      </c>
      <c r="AG73" s="21">
        <f>'Core Loads'!AF$109*'Core Inputs'!$G$105+'Core Loads'!AF$129*'Core Inputs'!$G$100+'Core Loads'!AF$149*'Core Inputs'!$G$91+'Core Loads'!AF$169*'Core Inputs'!$G$96</f>
        <v>0</v>
      </c>
      <c r="AH73"/>
      <c r="AI73" s="23" t="s">
        <v>293</v>
      </c>
    </row>
    <row r="74" spans="2:35" s="1" customFormat="1" hidden="1" outlineLevel="1" x14ac:dyDescent="0.25">
      <c r="C74" s="31" t="s">
        <v>245</v>
      </c>
      <c r="D74" s="21">
        <f>'Core Loads'!C$110*'Core Inputs'!$H$105+'Core Loads'!C$130*'Core Inputs'!$H$100+'Core Loads'!C$150*'Core Inputs'!$H$91+'Core Loads'!C$170*'Core Inputs'!$H$96</f>
        <v>0</v>
      </c>
      <c r="E74" s="69">
        <f>'Core Loads'!D$110*'Core Inputs'!$H$105+'Core Loads'!D$130*'Core Inputs'!$H$75+'Core Loads'!D$150*'Core Inputs'!$H$91+'Core Loads'!D$170*'Core Inputs'!$H$96</f>
        <v>0</v>
      </c>
      <c r="F74" s="21">
        <f>'Core Loads'!E$110*'Core Inputs'!$H$105+'Core Loads'!E$130*'Core Inputs'!$H$75+'Core Loads'!E$150*'Core Inputs'!$H$91+'Core Loads'!E$170*'Core Inputs'!$H$96</f>
        <v>0</v>
      </c>
      <c r="G74" s="21">
        <f>'Core Loads'!F$110*'Core Inputs'!$H$105+'Core Loads'!F$130*'Core Inputs'!$H$75+'Core Loads'!F$150*'Core Inputs'!$H$91+'Core Loads'!F$170*'Core Inputs'!$H$96</f>
        <v>0</v>
      </c>
      <c r="H74" s="21">
        <f>'Core Loads'!G$110*'Core Inputs'!$H$105+'Core Loads'!G$130*'Core Inputs'!$H$75+'Core Loads'!G$150*'Core Inputs'!$H$91+'Core Loads'!G$170*'Core Inputs'!$H$96</f>
        <v>0</v>
      </c>
      <c r="I74" s="21">
        <f>'Core Loads'!H$110*'Core Inputs'!$H$105+'Core Loads'!H$130*'Core Inputs'!$H$75+'Core Loads'!H$150*'Core Inputs'!$H$91+'Core Loads'!H$170*'Core Inputs'!$H$96</f>
        <v>0</v>
      </c>
      <c r="J74" s="21">
        <f>'Core Loads'!I$110*'Core Inputs'!$H$105+'Core Loads'!I$130*'Core Inputs'!$H$75+'Core Loads'!I$150*'Core Inputs'!$H$91+'Core Loads'!I$170*'Core Inputs'!$H$96</f>
        <v>0</v>
      </c>
      <c r="K74" s="21">
        <f>'Core Loads'!J$110*'Core Inputs'!$H$105+'Core Loads'!J$130*'Core Inputs'!$H$75+'Core Loads'!J$150*'Core Inputs'!$H$91+'Core Loads'!J$170*'Core Inputs'!$H$96</f>
        <v>0</v>
      </c>
      <c r="L74" s="21">
        <f>'Core Loads'!K$110*'Core Inputs'!$H$105+'Core Loads'!K$130*'Core Inputs'!$H$75+'Core Loads'!K$150*'Core Inputs'!$H$91+'Core Loads'!K$170*'Core Inputs'!$H$96</f>
        <v>0</v>
      </c>
      <c r="M74" s="21">
        <f>'Core Loads'!L$110*'Core Inputs'!$H$105+'Core Loads'!L$130*'Core Inputs'!$H$75+'Core Loads'!L$150*'Core Inputs'!$H$91+'Core Loads'!L$170*'Core Inputs'!$H$96</f>
        <v>0</v>
      </c>
      <c r="N74" s="21">
        <f>'Core Loads'!M$110*'Core Inputs'!$H$105+'Core Loads'!M$130*'Core Inputs'!$H$75+'Core Loads'!M$150*'Core Inputs'!$H$91+'Core Loads'!M$170*'Core Inputs'!$H$96</f>
        <v>0</v>
      </c>
      <c r="O74" s="21">
        <f>'Core Loads'!N$110*'Core Inputs'!$H$105+'Core Loads'!N$130*'Core Inputs'!$H$75+'Core Loads'!N$150*'Core Inputs'!$H$91+'Core Loads'!N$170*'Core Inputs'!$H$96</f>
        <v>0</v>
      </c>
      <c r="P74" s="21">
        <f>'Core Loads'!O$110*'Core Inputs'!$H$105+'Core Loads'!O$130*'Core Inputs'!$H$75+'Core Loads'!O$150*'Core Inputs'!$H$91+'Core Loads'!O$170*'Core Inputs'!$H$96</f>
        <v>0</v>
      </c>
      <c r="Q74" s="21">
        <f>'Core Loads'!P$110*'Core Inputs'!$H$105+'Core Loads'!P$130*'Core Inputs'!$H$75+'Core Loads'!P$150*'Core Inputs'!$H$91+'Core Loads'!P$170*'Core Inputs'!$H$96</f>
        <v>0</v>
      </c>
      <c r="R74" s="21">
        <f>'Core Loads'!Q$110*'Core Inputs'!$H$105+'Core Loads'!Q$130*'Core Inputs'!$H$75+'Core Loads'!Q$150*'Core Inputs'!$H$91+'Core Loads'!Q$170*'Core Inputs'!$H$96</f>
        <v>11787493.001089223</v>
      </c>
      <c r="S74" s="21">
        <f>'Core Loads'!R$110*'Core Inputs'!$H$105+'Core Loads'!R$130*'Core Inputs'!$H$75+'Core Loads'!R$150*'Core Inputs'!$H$91+'Core Loads'!R$170*'Core Inputs'!$H$96</f>
        <v>55377348.589065939</v>
      </c>
      <c r="T74" s="21">
        <f>'Core Loads'!S$110*'Core Inputs'!$H$105+'Core Loads'!S$130*'Core Inputs'!$H$75+'Core Loads'!S$150*'Core Inputs'!$H$91+'Core Loads'!S$170*'Core Inputs'!$H$96</f>
        <v>55377348.589065939</v>
      </c>
      <c r="U74" s="21">
        <f>'Core Loads'!T$110*'Core Inputs'!$H$105+'Core Loads'!T$130*'Core Inputs'!$H$75+'Core Loads'!T$150*'Core Inputs'!$H$91+'Core Loads'!T$170*'Core Inputs'!$H$96</f>
        <v>55377348.589065939</v>
      </c>
      <c r="V74" s="21">
        <f>'Core Loads'!U$110*'Core Inputs'!$H$105+'Core Loads'!U$130*'Core Inputs'!$H$75+'Core Loads'!U$150*'Core Inputs'!$H$91+'Core Loads'!U$170*'Core Inputs'!$H$96</f>
        <v>55377348.589065939</v>
      </c>
      <c r="W74" s="21">
        <f>'Core Loads'!V$110*'Core Inputs'!$H$105+'Core Loads'!V$130*'Core Inputs'!$H$75+'Core Loads'!V$150*'Core Inputs'!$H$91+'Core Loads'!V$170*'Core Inputs'!$H$96</f>
        <v>55377348.589065939</v>
      </c>
      <c r="X74" s="21">
        <f>'Core Loads'!W$110*'Core Inputs'!$H$105+'Core Loads'!W$130*'Core Inputs'!$H$75+'Core Loads'!W$150*'Core Inputs'!$H$91+'Core Loads'!W$170*'Core Inputs'!$H$96</f>
        <v>55377348.589065939</v>
      </c>
      <c r="Y74" s="21">
        <f>'Core Loads'!X$110*'Core Inputs'!$H$105+'Core Loads'!X$130*'Core Inputs'!$H$75+'Core Loads'!X$150*'Core Inputs'!$H$91+'Core Loads'!X$170*'Core Inputs'!$H$96</f>
        <v>55377348.589065939</v>
      </c>
      <c r="Z74" s="21">
        <f>'Core Loads'!Y$110*'Core Inputs'!$H$105+'Core Loads'!Y$130*'Core Inputs'!$H$75+'Core Loads'!Y$150*'Core Inputs'!$H$91+'Core Loads'!Y$170*'Core Inputs'!$H$96</f>
        <v>55377348.589065939</v>
      </c>
      <c r="AA74" s="21">
        <f>'Core Loads'!Z$110*'Core Inputs'!$H$105+'Core Loads'!Z$130*'Core Inputs'!$H$75+'Core Loads'!Z$150*'Core Inputs'!$H$91+'Core Loads'!Z$170*'Core Inputs'!$H$96</f>
        <v>55377348.589065939</v>
      </c>
      <c r="AB74" s="21">
        <f>'Core Loads'!AA$110*'Core Inputs'!$H$105+'Core Loads'!AA$130*'Core Inputs'!$H$75+'Core Loads'!AA$150*'Core Inputs'!$H$91+'Core Loads'!AA$170*'Core Inputs'!$H$96</f>
        <v>55377348.589065939</v>
      </c>
      <c r="AC74" s="21">
        <f>'Core Loads'!AB$110*'Core Inputs'!$H$105+'Core Loads'!AB$130*'Core Inputs'!$H$75+'Core Loads'!AB$150*'Core Inputs'!$H$91+'Core Loads'!AB$170*'Core Inputs'!$H$96</f>
        <v>55377348.589065939</v>
      </c>
      <c r="AD74" s="21">
        <f>'Core Loads'!AC$110*'Core Inputs'!$H$105+'Core Loads'!AC$130*'Core Inputs'!$H$75+'Core Loads'!AC$150*'Core Inputs'!$H$91+'Core Loads'!AC$170*'Core Inputs'!$H$96</f>
        <v>55377348.589065939</v>
      </c>
      <c r="AE74" s="21">
        <f>'Core Loads'!AD$110*'Core Inputs'!$H$105+'Core Loads'!AD$130*'Core Inputs'!$H$75+'Core Loads'!AD$150*'Core Inputs'!$H$91+'Core Loads'!AD$170*'Core Inputs'!$H$96</f>
        <v>55377348.589065939</v>
      </c>
      <c r="AF74" s="21">
        <f>'Core Loads'!AE$110*'Core Inputs'!$H$105+'Core Loads'!AE$130*'Core Inputs'!$H$75+'Core Loads'!AE$150*'Core Inputs'!$H$91+'Core Loads'!AE$170*'Core Inputs'!$H$96</f>
        <v>55377348.589065939</v>
      </c>
      <c r="AG74" s="21">
        <f>'Core Loads'!AF$110*'Core Inputs'!$H$105+'Core Loads'!AF$130*'Core Inputs'!$H$75+'Core Loads'!AF$150*'Core Inputs'!$H$91+'Core Loads'!AF$170*'Core Inputs'!$H$96</f>
        <v>55377348.589065939</v>
      </c>
      <c r="AH74"/>
      <c r="AI74" s="23" t="s">
        <v>293</v>
      </c>
    </row>
    <row r="75" spans="2:35" s="1" customFormat="1" hidden="1" outlineLevel="1" x14ac:dyDescent="0.25">
      <c r="B75" t="s">
        <v>136</v>
      </c>
      <c r="C75" t="s">
        <v>169</v>
      </c>
      <c r="D75" s="21">
        <f>SUM(D76:D80)</f>
        <v>0</v>
      </c>
      <c r="E75" s="69">
        <f t="shared" ref="E75:AG75" si="4">SUM(E76:E80)</f>
        <v>0</v>
      </c>
      <c r="F75" s="21">
        <f t="shared" si="4"/>
        <v>0</v>
      </c>
      <c r="G75" s="21">
        <f t="shared" si="4"/>
        <v>0</v>
      </c>
      <c r="H75" s="21">
        <f t="shared" si="4"/>
        <v>0</v>
      </c>
      <c r="I75" s="21">
        <f t="shared" si="4"/>
        <v>0</v>
      </c>
      <c r="J75" s="21">
        <f t="shared" si="4"/>
        <v>0</v>
      </c>
      <c r="K75" s="21">
        <f t="shared" si="4"/>
        <v>0</v>
      </c>
      <c r="L75" s="21">
        <f t="shared" si="4"/>
        <v>0</v>
      </c>
      <c r="M75" s="21">
        <f t="shared" si="4"/>
        <v>0</v>
      </c>
      <c r="N75" s="21">
        <f t="shared" si="4"/>
        <v>0</v>
      </c>
      <c r="O75" s="21">
        <f t="shared" si="4"/>
        <v>0</v>
      </c>
      <c r="P75" s="21">
        <f t="shared" si="4"/>
        <v>0</v>
      </c>
      <c r="Q75" s="21">
        <f t="shared" si="4"/>
        <v>0</v>
      </c>
      <c r="R75" s="21">
        <f t="shared" si="4"/>
        <v>0</v>
      </c>
      <c r="S75" s="21">
        <f t="shared" si="4"/>
        <v>0</v>
      </c>
      <c r="T75" s="21">
        <f t="shared" si="4"/>
        <v>0</v>
      </c>
      <c r="U75" s="21">
        <f t="shared" si="4"/>
        <v>0</v>
      </c>
      <c r="V75" s="21">
        <f t="shared" si="4"/>
        <v>0</v>
      </c>
      <c r="W75" s="21">
        <f t="shared" si="4"/>
        <v>0</v>
      </c>
      <c r="X75" s="21">
        <f t="shared" si="4"/>
        <v>0</v>
      </c>
      <c r="Y75" s="21">
        <f t="shared" si="4"/>
        <v>0</v>
      </c>
      <c r="Z75" s="21">
        <f t="shared" si="4"/>
        <v>0</v>
      </c>
      <c r="AA75" s="21">
        <f t="shared" si="4"/>
        <v>0</v>
      </c>
      <c r="AB75" s="21">
        <f t="shared" si="4"/>
        <v>0</v>
      </c>
      <c r="AC75" s="21">
        <f t="shared" si="4"/>
        <v>0</v>
      </c>
      <c r="AD75" s="21">
        <f t="shared" si="4"/>
        <v>0</v>
      </c>
      <c r="AE75" s="21">
        <f t="shared" si="4"/>
        <v>0</v>
      </c>
      <c r="AF75" s="21">
        <f t="shared" si="4"/>
        <v>0</v>
      </c>
      <c r="AG75" s="21">
        <f t="shared" si="4"/>
        <v>0</v>
      </c>
      <c r="AH75"/>
      <c r="AI75" s="23" t="s">
        <v>295</v>
      </c>
    </row>
    <row r="76" spans="2:35" s="1" customFormat="1" hidden="1" outlineLevel="1" x14ac:dyDescent="0.25">
      <c r="C76" s="31" t="s">
        <v>144</v>
      </c>
      <c r="D76" s="21">
        <f>'Core Loads'!C$126*'Core Inputs'!$D$101+'Core Loads'!C$146*'Core Inputs'!$D$92</f>
        <v>0</v>
      </c>
      <c r="E76" s="69">
        <f>'Core Loads'!D$126*'Core Inputs'!$D$101+'Core Loads'!D$146*'Core Inputs'!$D$92</f>
        <v>0</v>
      </c>
      <c r="F76" s="21">
        <f>'Core Loads'!E$126*'Core Inputs'!$D$101+'Core Loads'!E$146*'Core Inputs'!$D$92</f>
        <v>0</v>
      </c>
      <c r="G76" s="21">
        <f>'Core Loads'!F$126*'Core Inputs'!$D$101+'Core Loads'!F$146*'Core Inputs'!$D$92</f>
        <v>0</v>
      </c>
      <c r="H76" s="21">
        <f>'Core Loads'!G$126*'Core Inputs'!$D$101+'Core Loads'!G$146*'Core Inputs'!$D$92</f>
        <v>0</v>
      </c>
      <c r="I76" s="21">
        <f>'Core Loads'!H$126*'Core Inputs'!$D$101+'Core Loads'!H$146*'Core Inputs'!$D$92</f>
        <v>0</v>
      </c>
      <c r="J76" s="21">
        <f>'Core Loads'!I$126*'Core Inputs'!$D$101+'Core Loads'!I$146*'Core Inputs'!$D$92</f>
        <v>0</v>
      </c>
      <c r="K76" s="21">
        <f>'Core Loads'!J$126*'Core Inputs'!$D$101+'Core Loads'!J$146*'Core Inputs'!$D$92</f>
        <v>0</v>
      </c>
      <c r="L76" s="21">
        <f>'Core Loads'!K$126*'Core Inputs'!$D$101+'Core Loads'!K$146*'Core Inputs'!$D$92</f>
        <v>0</v>
      </c>
      <c r="M76" s="21">
        <f>'Core Loads'!L$126*'Core Inputs'!$D$101+'Core Loads'!L$146*'Core Inputs'!$D$92</f>
        <v>0</v>
      </c>
      <c r="N76" s="21">
        <f>'Core Loads'!M$126*'Core Inputs'!$D$101+'Core Loads'!M$146*'Core Inputs'!$D$92</f>
        <v>0</v>
      </c>
      <c r="O76" s="21">
        <f>'Core Loads'!N$126*'Core Inputs'!$D$101+'Core Loads'!N$146*'Core Inputs'!$D$92</f>
        <v>0</v>
      </c>
      <c r="P76" s="21">
        <f>'Core Loads'!O$126*'Core Inputs'!$D$101+'Core Loads'!O$146*'Core Inputs'!$D$92</f>
        <v>0</v>
      </c>
      <c r="Q76" s="21">
        <f>'Core Loads'!P$126*'Core Inputs'!$D$101+'Core Loads'!P$146*'Core Inputs'!$D$92</f>
        <v>0</v>
      </c>
      <c r="R76" s="21">
        <f>'Core Loads'!Q$126*'Core Inputs'!$D$101+'Core Loads'!Q$146*'Core Inputs'!$D$92</f>
        <v>0</v>
      </c>
      <c r="S76" s="21">
        <f>'Core Loads'!R$126*'Core Inputs'!$D$101+'Core Loads'!R$146*'Core Inputs'!$D$92</f>
        <v>0</v>
      </c>
      <c r="T76" s="21">
        <f>'Core Loads'!S$126*'Core Inputs'!$D$101+'Core Loads'!S$146*'Core Inputs'!$D$92</f>
        <v>0</v>
      </c>
      <c r="U76" s="21">
        <f>'Core Loads'!T$126*'Core Inputs'!$D$101+'Core Loads'!T$146*'Core Inputs'!$D$92</f>
        <v>0</v>
      </c>
      <c r="V76" s="21">
        <f>'Core Loads'!U$126*'Core Inputs'!$D$101+'Core Loads'!U$146*'Core Inputs'!$D$92</f>
        <v>0</v>
      </c>
      <c r="W76" s="21">
        <f>'Core Loads'!V$126*'Core Inputs'!$D$101+'Core Loads'!V$146*'Core Inputs'!$D$92</f>
        <v>0</v>
      </c>
      <c r="X76" s="21">
        <f>'Core Loads'!W$126*'Core Inputs'!$D$101+'Core Loads'!W$146*'Core Inputs'!$D$92</f>
        <v>0</v>
      </c>
      <c r="Y76" s="21">
        <f>'Core Loads'!X$126*'Core Inputs'!$D$101+'Core Loads'!X$146*'Core Inputs'!$D$92</f>
        <v>0</v>
      </c>
      <c r="Z76" s="21">
        <f>'Core Loads'!Y$126*'Core Inputs'!$D$101+'Core Loads'!Y$146*'Core Inputs'!$D$92</f>
        <v>0</v>
      </c>
      <c r="AA76" s="21">
        <f>'Core Loads'!Z$126*'Core Inputs'!$D$101+'Core Loads'!Z$146*'Core Inputs'!$D$92</f>
        <v>0</v>
      </c>
      <c r="AB76" s="21">
        <f>'Core Loads'!AA$126*'Core Inputs'!$D$101+'Core Loads'!AA$146*'Core Inputs'!$D$92</f>
        <v>0</v>
      </c>
      <c r="AC76" s="21">
        <f>'Core Loads'!AB$126*'Core Inputs'!$D$101+'Core Loads'!AB$146*'Core Inputs'!$D$92</f>
        <v>0</v>
      </c>
      <c r="AD76" s="21">
        <f>'Core Loads'!AC$126*'Core Inputs'!$D$101+'Core Loads'!AC$146*'Core Inputs'!$D$92</f>
        <v>0</v>
      </c>
      <c r="AE76" s="21">
        <f>'Core Loads'!AD$126*'Core Inputs'!$D$101+'Core Loads'!AD$146*'Core Inputs'!$D$92</f>
        <v>0</v>
      </c>
      <c r="AF76" s="21">
        <f>'Core Loads'!AE$126*'Core Inputs'!$D$101+'Core Loads'!AE$146*'Core Inputs'!$D$92</f>
        <v>0</v>
      </c>
      <c r="AG76" s="21">
        <f>'Core Loads'!AF$126*'Core Inputs'!$D$101+'Core Loads'!AF$146*'Core Inputs'!$D$92</f>
        <v>0</v>
      </c>
      <c r="AH76"/>
      <c r="AI76" s="23" t="s">
        <v>293</v>
      </c>
    </row>
    <row r="77" spans="2:35" s="1" customFormat="1" hidden="1" outlineLevel="1" x14ac:dyDescent="0.25">
      <c r="C77" s="31" t="s">
        <v>145</v>
      </c>
      <c r="D77" s="21">
        <f>'Core Loads'!C$127*'Core Inputs'!$E$101+'Core Loads'!C$147*'Core Inputs'!$E$92</f>
        <v>0</v>
      </c>
      <c r="E77" s="69">
        <f>'Core Loads'!D$127*'Core Inputs'!$E$101+'Core Loads'!D$147*'Core Inputs'!$E$92</f>
        <v>0</v>
      </c>
      <c r="F77" s="21">
        <f>'Core Loads'!E$127*'Core Inputs'!$E$101+'Core Loads'!E$147*'Core Inputs'!$E$92</f>
        <v>0</v>
      </c>
      <c r="G77" s="21">
        <f>'Core Loads'!F$127*'Core Inputs'!$E$101+'Core Loads'!F$147*'Core Inputs'!$E$92</f>
        <v>0</v>
      </c>
      <c r="H77" s="21">
        <f>'Core Loads'!G$127*'Core Inputs'!$E$101+'Core Loads'!G$147*'Core Inputs'!$E$92</f>
        <v>0</v>
      </c>
      <c r="I77" s="21">
        <f>'Core Loads'!H$127*'Core Inputs'!$E$101+'Core Loads'!H$147*'Core Inputs'!$E$92</f>
        <v>0</v>
      </c>
      <c r="J77" s="21">
        <f>'Core Loads'!I$127*'Core Inputs'!$E$101+'Core Loads'!I$147*'Core Inputs'!$E$92</f>
        <v>0</v>
      </c>
      <c r="K77" s="21">
        <f>'Core Loads'!J$127*'Core Inputs'!$E$101+'Core Loads'!J$147*'Core Inputs'!$E$92</f>
        <v>0</v>
      </c>
      <c r="L77" s="21">
        <f>'Core Loads'!K$127*'Core Inputs'!$E$101+'Core Loads'!K$147*'Core Inputs'!$E$92</f>
        <v>0</v>
      </c>
      <c r="M77" s="21">
        <f>'Core Loads'!L$127*'Core Inputs'!$E$101+'Core Loads'!L$147*'Core Inputs'!$E$92</f>
        <v>0</v>
      </c>
      <c r="N77" s="21">
        <f>'Core Loads'!M$127*'Core Inputs'!$E$101+'Core Loads'!M$147*'Core Inputs'!$E$92</f>
        <v>0</v>
      </c>
      <c r="O77" s="21">
        <f>'Core Loads'!N$127*'Core Inputs'!$E$101+'Core Loads'!N$147*'Core Inputs'!$E$92</f>
        <v>0</v>
      </c>
      <c r="P77" s="21">
        <f>'Core Loads'!O$127*'Core Inputs'!$E$101+'Core Loads'!O$147*'Core Inputs'!$E$92</f>
        <v>0</v>
      </c>
      <c r="Q77" s="21">
        <f>'Core Loads'!P$127*'Core Inputs'!$E$101+'Core Loads'!P$147*'Core Inputs'!$E$92</f>
        <v>0</v>
      </c>
      <c r="R77" s="21">
        <f>'Core Loads'!Q$127*'Core Inputs'!$E$101+'Core Loads'!Q$147*'Core Inputs'!$E$92</f>
        <v>0</v>
      </c>
      <c r="S77" s="21">
        <f>'Core Loads'!R$127*'Core Inputs'!$E$101+'Core Loads'!R$147*'Core Inputs'!$E$92</f>
        <v>0</v>
      </c>
      <c r="T77" s="21">
        <f>'Core Loads'!S$127*'Core Inputs'!$E$101+'Core Loads'!S$147*'Core Inputs'!$E$92</f>
        <v>0</v>
      </c>
      <c r="U77" s="21">
        <f>'Core Loads'!T$127*'Core Inputs'!$E$101+'Core Loads'!T$147*'Core Inputs'!$E$92</f>
        <v>0</v>
      </c>
      <c r="V77" s="21">
        <f>'Core Loads'!U$127*'Core Inputs'!$E$101+'Core Loads'!U$147*'Core Inputs'!$E$92</f>
        <v>0</v>
      </c>
      <c r="W77" s="21">
        <f>'Core Loads'!V$127*'Core Inputs'!$E$101+'Core Loads'!V$147*'Core Inputs'!$E$92</f>
        <v>0</v>
      </c>
      <c r="X77" s="21">
        <f>'Core Loads'!W$127*'Core Inputs'!$E$101+'Core Loads'!W$147*'Core Inputs'!$E$92</f>
        <v>0</v>
      </c>
      <c r="Y77" s="21">
        <f>'Core Loads'!X$127*'Core Inputs'!$E$101+'Core Loads'!X$147*'Core Inputs'!$E$92</f>
        <v>0</v>
      </c>
      <c r="Z77" s="21">
        <f>'Core Loads'!Y$127*'Core Inputs'!$E$101+'Core Loads'!Y$147*'Core Inputs'!$E$92</f>
        <v>0</v>
      </c>
      <c r="AA77" s="21">
        <f>'Core Loads'!Z$127*'Core Inputs'!$E$101+'Core Loads'!Z$147*'Core Inputs'!$E$92</f>
        <v>0</v>
      </c>
      <c r="AB77" s="21">
        <f>'Core Loads'!AA$127*'Core Inputs'!$E$101+'Core Loads'!AA$147*'Core Inputs'!$E$92</f>
        <v>0</v>
      </c>
      <c r="AC77" s="21">
        <f>'Core Loads'!AB$127*'Core Inputs'!$E$101+'Core Loads'!AB$147*'Core Inputs'!$E$92</f>
        <v>0</v>
      </c>
      <c r="AD77" s="21">
        <f>'Core Loads'!AC$127*'Core Inputs'!$E$101+'Core Loads'!AC$147*'Core Inputs'!$E$92</f>
        <v>0</v>
      </c>
      <c r="AE77" s="21">
        <f>'Core Loads'!AD$127*'Core Inputs'!$E$101+'Core Loads'!AD$147*'Core Inputs'!$E$92</f>
        <v>0</v>
      </c>
      <c r="AF77" s="21">
        <f>'Core Loads'!AE$127*'Core Inputs'!$E$101+'Core Loads'!AE$147*'Core Inputs'!$E$92</f>
        <v>0</v>
      </c>
      <c r="AG77" s="21">
        <f>'Core Loads'!AF$127*'Core Inputs'!$E$101+'Core Loads'!AF$147*'Core Inputs'!$E$92</f>
        <v>0</v>
      </c>
      <c r="AH77"/>
      <c r="AI77" s="23" t="s">
        <v>293</v>
      </c>
    </row>
    <row r="78" spans="2:35" s="1" customFormat="1" hidden="1" outlineLevel="1" x14ac:dyDescent="0.25">
      <c r="C78" s="31" t="s">
        <v>244</v>
      </c>
      <c r="D78" s="21">
        <f>'Core Loads'!C$128*'Core Inputs'!$F$101+'Core Loads'!C$148*'Core Inputs'!$F$92</f>
        <v>0</v>
      </c>
      <c r="E78" s="69">
        <f>'Core Loads'!D$128*'Core Inputs'!$F$101+'Core Loads'!D$148*'Core Inputs'!$F$92</f>
        <v>0</v>
      </c>
      <c r="F78" s="21">
        <f>'Core Loads'!E$128*'Core Inputs'!$F$101+'Core Loads'!E$148*'Core Inputs'!$F$92</f>
        <v>0</v>
      </c>
      <c r="G78" s="21">
        <f>'Core Loads'!F$128*'Core Inputs'!$F$101+'Core Loads'!F$148*'Core Inputs'!$F$92</f>
        <v>0</v>
      </c>
      <c r="H78" s="21">
        <f>'Core Loads'!G$128*'Core Inputs'!$F$101+'Core Loads'!G$148*'Core Inputs'!$F$92</f>
        <v>0</v>
      </c>
      <c r="I78" s="21">
        <f>'Core Loads'!H$128*'Core Inputs'!$F$101+'Core Loads'!H$148*'Core Inputs'!$F$92</f>
        <v>0</v>
      </c>
      <c r="J78" s="21">
        <f>'Core Loads'!I$128*'Core Inputs'!$F$101+'Core Loads'!I$148*'Core Inputs'!$F$92</f>
        <v>0</v>
      </c>
      <c r="K78" s="21">
        <f>'Core Loads'!J$128*'Core Inputs'!$F$101+'Core Loads'!J$148*'Core Inputs'!$F$92</f>
        <v>0</v>
      </c>
      <c r="L78" s="21">
        <f>'Core Loads'!K$128*'Core Inputs'!$F$101+'Core Loads'!K$148*'Core Inputs'!$F$92</f>
        <v>0</v>
      </c>
      <c r="M78" s="21">
        <f>'Core Loads'!L$128*'Core Inputs'!$F$101+'Core Loads'!L$148*'Core Inputs'!$F$92</f>
        <v>0</v>
      </c>
      <c r="N78" s="21">
        <f>'Core Loads'!M$128*'Core Inputs'!$F$101+'Core Loads'!M$148*'Core Inputs'!$F$92</f>
        <v>0</v>
      </c>
      <c r="O78" s="21">
        <f>'Core Loads'!N$128*'Core Inputs'!$F$101+'Core Loads'!N$148*'Core Inputs'!$F$92</f>
        <v>0</v>
      </c>
      <c r="P78" s="21">
        <f>'Core Loads'!O$128*'Core Inputs'!$F$101+'Core Loads'!O$148*'Core Inputs'!$F$92</f>
        <v>0</v>
      </c>
      <c r="Q78" s="21">
        <f>'Core Loads'!P$128*'Core Inputs'!$F$101+'Core Loads'!P$148*'Core Inputs'!$F$92</f>
        <v>0</v>
      </c>
      <c r="R78" s="21">
        <f>'Core Loads'!Q$128*'Core Inputs'!$F$101+'Core Loads'!Q$148*'Core Inputs'!$F$92</f>
        <v>0</v>
      </c>
      <c r="S78" s="21">
        <f>'Core Loads'!R$128*'Core Inputs'!$F$101+'Core Loads'!R$148*'Core Inputs'!$F$92</f>
        <v>0</v>
      </c>
      <c r="T78" s="21">
        <f>'Core Loads'!S$128*'Core Inputs'!$F$101+'Core Loads'!S$148*'Core Inputs'!$F$92</f>
        <v>0</v>
      </c>
      <c r="U78" s="21">
        <f>'Core Loads'!T$128*'Core Inputs'!$F$101+'Core Loads'!T$148*'Core Inputs'!$F$92</f>
        <v>0</v>
      </c>
      <c r="V78" s="21">
        <f>'Core Loads'!U$128*'Core Inputs'!$F$101+'Core Loads'!U$148*'Core Inputs'!$F$92</f>
        <v>0</v>
      </c>
      <c r="W78" s="21">
        <f>'Core Loads'!V$128*'Core Inputs'!$F$101+'Core Loads'!V$148*'Core Inputs'!$F$92</f>
        <v>0</v>
      </c>
      <c r="X78" s="21">
        <f>'Core Loads'!W$128*'Core Inputs'!$F$101+'Core Loads'!W$148*'Core Inputs'!$F$92</f>
        <v>0</v>
      </c>
      <c r="Y78" s="21">
        <f>'Core Loads'!X$128*'Core Inputs'!$F$101+'Core Loads'!X$148*'Core Inputs'!$F$92</f>
        <v>0</v>
      </c>
      <c r="Z78" s="21">
        <f>'Core Loads'!Y$128*'Core Inputs'!$F$101+'Core Loads'!Y$148*'Core Inputs'!$F$92</f>
        <v>0</v>
      </c>
      <c r="AA78" s="21">
        <f>'Core Loads'!Z$128*'Core Inputs'!$F$101+'Core Loads'!Z$148*'Core Inputs'!$F$92</f>
        <v>0</v>
      </c>
      <c r="AB78" s="21">
        <f>'Core Loads'!AA$128*'Core Inputs'!$F$101+'Core Loads'!AA$148*'Core Inputs'!$F$92</f>
        <v>0</v>
      </c>
      <c r="AC78" s="21">
        <f>'Core Loads'!AB$128*'Core Inputs'!$F$101+'Core Loads'!AB$148*'Core Inputs'!$F$92</f>
        <v>0</v>
      </c>
      <c r="AD78" s="21">
        <f>'Core Loads'!AC$128*'Core Inputs'!$F$101+'Core Loads'!AC$148*'Core Inputs'!$F$92</f>
        <v>0</v>
      </c>
      <c r="AE78" s="21">
        <f>'Core Loads'!AD$128*'Core Inputs'!$F$101+'Core Loads'!AD$148*'Core Inputs'!$F$92</f>
        <v>0</v>
      </c>
      <c r="AF78" s="21">
        <f>'Core Loads'!AE$128*'Core Inputs'!$F$101+'Core Loads'!AE$148*'Core Inputs'!$F$92</f>
        <v>0</v>
      </c>
      <c r="AG78" s="21">
        <f>'Core Loads'!AF$128*'Core Inputs'!$F$101+'Core Loads'!AF$148*'Core Inputs'!$F$92</f>
        <v>0</v>
      </c>
      <c r="AH78"/>
      <c r="AI78" s="23" t="s">
        <v>293</v>
      </c>
    </row>
    <row r="79" spans="2:35" s="1" customFormat="1" hidden="1" outlineLevel="1" x14ac:dyDescent="0.25">
      <c r="C79" s="31" t="s">
        <v>147</v>
      </c>
      <c r="D79" s="21">
        <f>'Core Loads'!C$129*'Core Inputs'!$G$101+'Core Loads'!C$149*'Core Inputs'!$G$92</f>
        <v>0</v>
      </c>
      <c r="E79" s="69">
        <f>'Core Loads'!D$129*'Core Inputs'!$G$101+'Core Loads'!D$149*'Core Inputs'!$G$92</f>
        <v>0</v>
      </c>
      <c r="F79" s="21">
        <f>'Core Loads'!E$129*'Core Inputs'!$G$101+'Core Loads'!E$149*'Core Inputs'!$G$92</f>
        <v>0</v>
      </c>
      <c r="G79" s="21">
        <f>'Core Loads'!F$129*'Core Inputs'!$G$101+'Core Loads'!F$149*'Core Inputs'!$G$92</f>
        <v>0</v>
      </c>
      <c r="H79" s="21">
        <f>'Core Loads'!G$129*'Core Inputs'!$G$101+'Core Loads'!G$149*'Core Inputs'!$G$92</f>
        <v>0</v>
      </c>
      <c r="I79" s="21">
        <f>'Core Loads'!H$129*'Core Inputs'!$G$101+'Core Loads'!H$149*'Core Inputs'!$G$92</f>
        <v>0</v>
      </c>
      <c r="J79" s="21">
        <f>'Core Loads'!I$129*'Core Inputs'!$G$101+'Core Loads'!I$149*'Core Inputs'!$G$92</f>
        <v>0</v>
      </c>
      <c r="K79" s="21">
        <f>'Core Loads'!J$129*'Core Inputs'!$G$101+'Core Loads'!J$149*'Core Inputs'!$G$92</f>
        <v>0</v>
      </c>
      <c r="L79" s="21">
        <f>'Core Loads'!K$129*'Core Inputs'!$G$101+'Core Loads'!K$149*'Core Inputs'!$G$92</f>
        <v>0</v>
      </c>
      <c r="M79" s="21">
        <f>'Core Loads'!L$129*'Core Inputs'!$G$101+'Core Loads'!L$149*'Core Inputs'!$G$92</f>
        <v>0</v>
      </c>
      <c r="N79" s="21">
        <f>'Core Loads'!M$129*'Core Inputs'!$G$101+'Core Loads'!M$149*'Core Inputs'!$G$92</f>
        <v>0</v>
      </c>
      <c r="O79" s="21">
        <f>'Core Loads'!N$129*'Core Inputs'!$G$101+'Core Loads'!N$149*'Core Inputs'!$G$92</f>
        <v>0</v>
      </c>
      <c r="P79" s="21">
        <f>'Core Loads'!O$129*'Core Inputs'!$G$101+'Core Loads'!O$149*'Core Inputs'!$G$92</f>
        <v>0</v>
      </c>
      <c r="Q79" s="21">
        <f>'Core Loads'!P$129*'Core Inputs'!$G$101+'Core Loads'!P$149*'Core Inputs'!$G$92</f>
        <v>0</v>
      </c>
      <c r="R79" s="21">
        <f>'Core Loads'!Q$129*'Core Inputs'!$G$101+'Core Loads'!Q$149*'Core Inputs'!$G$92</f>
        <v>0</v>
      </c>
      <c r="S79" s="21">
        <f>'Core Loads'!R$129*'Core Inputs'!$G$101+'Core Loads'!R$149*'Core Inputs'!$G$92</f>
        <v>0</v>
      </c>
      <c r="T79" s="21">
        <f>'Core Loads'!S$129*'Core Inputs'!$G$101+'Core Loads'!S$149*'Core Inputs'!$G$92</f>
        <v>0</v>
      </c>
      <c r="U79" s="21">
        <f>'Core Loads'!T$129*'Core Inputs'!$G$101+'Core Loads'!T$149*'Core Inputs'!$G$92</f>
        <v>0</v>
      </c>
      <c r="V79" s="21">
        <f>'Core Loads'!U$129*'Core Inputs'!$G$101+'Core Loads'!U$149*'Core Inputs'!$G$92</f>
        <v>0</v>
      </c>
      <c r="W79" s="21">
        <f>'Core Loads'!V$129*'Core Inputs'!$G$101+'Core Loads'!V$149*'Core Inputs'!$G$92</f>
        <v>0</v>
      </c>
      <c r="X79" s="21">
        <f>'Core Loads'!W$129*'Core Inputs'!$G$101+'Core Loads'!W$149*'Core Inputs'!$G$92</f>
        <v>0</v>
      </c>
      <c r="Y79" s="21">
        <f>'Core Loads'!X$129*'Core Inputs'!$G$101+'Core Loads'!X$149*'Core Inputs'!$G$92</f>
        <v>0</v>
      </c>
      <c r="Z79" s="21">
        <f>'Core Loads'!Y$129*'Core Inputs'!$G$101+'Core Loads'!Y$149*'Core Inputs'!$G$92</f>
        <v>0</v>
      </c>
      <c r="AA79" s="21">
        <f>'Core Loads'!Z$129*'Core Inputs'!$G$101+'Core Loads'!Z$149*'Core Inputs'!$G$92</f>
        <v>0</v>
      </c>
      <c r="AB79" s="21">
        <f>'Core Loads'!AA$129*'Core Inputs'!$G$101+'Core Loads'!AA$149*'Core Inputs'!$G$92</f>
        <v>0</v>
      </c>
      <c r="AC79" s="21">
        <f>'Core Loads'!AB$129*'Core Inputs'!$G$101+'Core Loads'!AB$149*'Core Inputs'!$G$92</f>
        <v>0</v>
      </c>
      <c r="AD79" s="21">
        <f>'Core Loads'!AC$129*'Core Inputs'!$G$101+'Core Loads'!AC$149*'Core Inputs'!$G$92</f>
        <v>0</v>
      </c>
      <c r="AE79" s="21">
        <f>'Core Loads'!AD$129*'Core Inputs'!$G$101+'Core Loads'!AD$149*'Core Inputs'!$G$92</f>
        <v>0</v>
      </c>
      <c r="AF79" s="21">
        <f>'Core Loads'!AE$129*'Core Inputs'!$G$101+'Core Loads'!AE$149*'Core Inputs'!$G$92</f>
        <v>0</v>
      </c>
      <c r="AG79" s="21">
        <f>'Core Loads'!AF$129*'Core Inputs'!$G$101+'Core Loads'!AF$149*'Core Inputs'!$G$92</f>
        <v>0</v>
      </c>
      <c r="AH79"/>
      <c r="AI79" s="23" t="s">
        <v>293</v>
      </c>
    </row>
    <row r="80" spans="2:35" s="1" customFormat="1" hidden="1" outlineLevel="1" x14ac:dyDescent="0.25">
      <c r="C80" s="31" t="s">
        <v>245</v>
      </c>
      <c r="D80" s="21">
        <f>'Core Loads'!C$130*'Core Inputs'!$H$101+'Core Loads'!C$150*'Core Inputs'!$H$92</f>
        <v>0</v>
      </c>
      <c r="E80" s="69">
        <f>'Core Loads'!D$130*'Core Inputs'!$H$101+'Core Loads'!D$150*'Core Inputs'!$H$92</f>
        <v>0</v>
      </c>
      <c r="F80" s="21">
        <f>'Core Loads'!E$130*'Core Inputs'!$H$101+'Core Loads'!E$150*'Core Inputs'!$H$92</f>
        <v>0</v>
      </c>
      <c r="G80" s="21">
        <f>'Core Loads'!F$130*'Core Inputs'!$H$101+'Core Loads'!F$150*'Core Inputs'!$H$92</f>
        <v>0</v>
      </c>
      <c r="H80" s="21">
        <f>'Core Loads'!G$130*'Core Inputs'!$H$101+'Core Loads'!G$150*'Core Inputs'!$H$92</f>
        <v>0</v>
      </c>
      <c r="I80" s="21">
        <f>'Core Loads'!H$130*'Core Inputs'!$H$101+'Core Loads'!H$150*'Core Inputs'!$H$92</f>
        <v>0</v>
      </c>
      <c r="J80" s="21">
        <f>'Core Loads'!I$130*'Core Inputs'!$H$101+'Core Loads'!I$150*'Core Inputs'!$H$92</f>
        <v>0</v>
      </c>
      <c r="K80" s="21">
        <f>'Core Loads'!J$130*'Core Inputs'!$H$101+'Core Loads'!J$150*'Core Inputs'!$H$92</f>
        <v>0</v>
      </c>
      <c r="L80" s="21">
        <f>'Core Loads'!K$130*'Core Inputs'!$H$101+'Core Loads'!K$150*'Core Inputs'!$H$92</f>
        <v>0</v>
      </c>
      <c r="M80" s="21">
        <f>'Core Loads'!L$130*'Core Inputs'!$H$101+'Core Loads'!L$150*'Core Inputs'!$H$92</f>
        <v>0</v>
      </c>
      <c r="N80" s="21">
        <f>'Core Loads'!M$130*'Core Inputs'!$H$101+'Core Loads'!M$150*'Core Inputs'!$H$92</f>
        <v>0</v>
      </c>
      <c r="O80" s="21">
        <f>'Core Loads'!N$130*'Core Inputs'!$H$101+'Core Loads'!N$150*'Core Inputs'!$H$92</f>
        <v>0</v>
      </c>
      <c r="P80" s="21">
        <f>'Core Loads'!O$130*'Core Inputs'!$H$101+'Core Loads'!O$150*'Core Inputs'!$H$92</f>
        <v>0</v>
      </c>
      <c r="Q80" s="21">
        <f>'Core Loads'!P$130*'Core Inputs'!$H$101+'Core Loads'!P$150*'Core Inputs'!$H$92</f>
        <v>0</v>
      </c>
      <c r="R80" s="21">
        <f>'Core Loads'!Q$130*'Core Inputs'!$H$101+'Core Loads'!Q$150*'Core Inputs'!$H$92</f>
        <v>0</v>
      </c>
      <c r="S80" s="21">
        <f>'Core Loads'!R$130*'Core Inputs'!$H$101+'Core Loads'!R$150*'Core Inputs'!$H$92</f>
        <v>0</v>
      </c>
      <c r="T80" s="21">
        <f>'Core Loads'!S$130*'Core Inputs'!$H$101+'Core Loads'!S$150*'Core Inputs'!$H$92</f>
        <v>0</v>
      </c>
      <c r="U80" s="21">
        <f>'Core Loads'!T$130*'Core Inputs'!$H$101+'Core Loads'!T$150*'Core Inputs'!$H$92</f>
        <v>0</v>
      </c>
      <c r="V80" s="21">
        <f>'Core Loads'!U$130*'Core Inputs'!$H$101+'Core Loads'!U$150*'Core Inputs'!$H$92</f>
        <v>0</v>
      </c>
      <c r="W80" s="21">
        <f>'Core Loads'!V$130*'Core Inputs'!$H$101+'Core Loads'!V$150*'Core Inputs'!$H$92</f>
        <v>0</v>
      </c>
      <c r="X80" s="21">
        <f>'Core Loads'!W$130*'Core Inputs'!$H$101+'Core Loads'!W$150*'Core Inputs'!$H$92</f>
        <v>0</v>
      </c>
      <c r="Y80" s="21">
        <f>'Core Loads'!X$130*'Core Inputs'!$H$101+'Core Loads'!X$150*'Core Inputs'!$H$92</f>
        <v>0</v>
      </c>
      <c r="Z80" s="21">
        <f>'Core Loads'!Y$130*'Core Inputs'!$H$101+'Core Loads'!Y$150*'Core Inputs'!$H$92</f>
        <v>0</v>
      </c>
      <c r="AA80" s="21">
        <f>'Core Loads'!Z$130*'Core Inputs'!$H$101+'Core Loads'!Z$150*'Core Inputs'!$H$92</f>
        <v>0</v>
      </c>
      <c r="AB80" s="21">
        <f>'Core Loads'!AA$130*'Core Inputs'!$H$101+'Core Loads'!AA$150*'Core Inputs'!$H$92</f>
        <v>0</v>
      </c>
      <c r="AC80" s="21">
        <f>'Core Loads'!AB$130*'Core Inputs'!$H$101+'Core Loads'!AB$150*'Core Inputs'!$H$92</f>
        <v>0</v>
      </c>
      <c r="AD80" s="21">
        <f>'Core Loads'!AC$130*'Core Inputs'!$H$101+'Core Loads'!AC$150*'Core Inputs'!$H$92</f>
        <v>0</v>
      </c>
      <c r="AE80" s="21">
        <f>'Core Loads'!AD$130*'Core Inputs'!$H$101+'Core Loads'!AD$150*'Core Inputs'!$H$92</f>
        <v>0</v>
      </c>
      <c r="AF80" s="21">
        <f>'Core Loads'!AE$130*'Core Inputs'!$H$101+'Core Loads'!AE$150*'Core Inputs'!$H$92</f>
        <v>0</v>
      </c>
      <c r="AG80" s="21">
        <f>'Core Loads'!AF$130*'Core Inputs'!$H$101+'Core Loads'!AF$150*'Core Inputs'!$H$92</f>
        <v>0</v>
      </c>
      <c r="AH80"/>
      <c r="AI80" s="23" t="s">
        <v>293</v>
      </c>
    </row>
    <row r="81" spans="2:35" s="1" customFormat="1" hidden="1" outlineLevel="1" x14ac:dyDescent="0.25">
      <c r="B81" t="s">
        <v>154</v>
      </c>
      <c r="C81" t="s">
        <v>170</v>
      </c>
      <c r="D81" s="21">
        <f>SUM(D82:D86)</f>
        <v>12625.782580688316</v>
      </c>
      <c r="E81" s="69">
        <f t="shared" ref="E81:AG81" si="5">SUM(E82:E86)</f>
        <v>12625.782580688316</v>
      </c>
      <c r="F81" s="21">
        <f t="shared" si="5"/>
        <v>12625.782580688316</v>
      </c>
      <c r="G81" s="21">
        <f t="shared" si="5"/>
        <v>12130.814033766277</v>
      </c>
      <c r="H81" s="21">
        <f t="shared" si="5"/>
        <v>12130.814033766277</v>
      </c>
      <c r="I81" s="21">
        <f t="shared" si="5"/>
        <v>48964.800741048501</v>
      </c>
      <c r="J81" s="21">
        <f t="shared" si="5"/>
        <v>48964.800741048501</v>
      </c>
      <c r="K81" s="21">
        <f t="shared" si="5"/>
        <v>47515.2358352476</v>
      </c>
      <c r="L81" s="21">
        <f t="shared" si="5"/>
        <v>47515.2358352476</v>
      </c>
      <c r="M81" s="21">
        <f t="shared" si="5"/>
        <v>49695.98926384643</v>
      </c>
      <c r="N81" s="21">
        <f t="shared" si="5"/>
        <v>82660.460874429031</v>
      </c>
      <c r="O81" s="21">
        <f t="shared" si="5"/>
        <v>82305.537266675296</v>
      </c>
      <c r="P81" s="21">
        <f t="shared" si="5"/>
        <v>82305.537266675296</v>
      </c>
      <c r="Q81" s="21">
        <f t="shared" si="5"/>
        <v>82235.083202671434</v>
      </c>
      <c r="R81" s="21">
        <f t="shared" si="5"/>
        <v>144483.601555553</v>
      </c>
      <c r="S81" s="21">
        <f t="shared" si="5"/>
        <v>165316.17341266482</v>
      </c>
      <c r="T81" s="21">
        <f t="shared" si="5"/>
        <v>165316.17341266482</v>
      </c>
      <c r="U81" s="21">
        <f t="shared" si="5"/>
        <v>165249.68529523592</v>
      </c>
      <c r="V81" s="21">
        <f t="shared" si="5"/>
        <v>165249.68529523592</v>
      </c>
      <c r="W81" s="21">
        <f t="shared" si="5"/>
        <v>164877.54257590559</v>
      </c>
      <c r="X81" s="21">
        <f t="shared" si="5"/>
        <v>164877.54257590559</v>
      </c>
      <c r="Y81" s="21">
        <f t="shared" si="5"/>
        <v>164877.54257590559</v>
      </c>
      <c r="Z81" s="21">
        <f t="shared" si="5"/>
        <v>164877.54257590559</v>
      </c>
      <c r="AA81" s="21">
        <f t="shared" si="5"/>
        <v>164877.54257590559</v>
      </c>
      <c r="AB81" s="21">
        <f t="shared" si="5"/>
        <v>164877.54257590559</v>
      </c>
      <c r="AC81" s="21">
        <f t="shared" si="5"/>
        <v>164385.26105735954</v>
      </c>
      <c r="AD81" s="21">
        <f t="shared" si="5"/>
        <v>164385.26105735954</v>
      </c>
      <c r="AE81" s="21">
        <f t="shared" si="5"/>
        <v>164385.26105735954</v>
      </c>
      <c r="AF81" s="21">
        <f t="shared" si="5"/>
        <v>164385.26105735954</v>
      </c>
      <c r="AG81" s="21">
        <f t="shared" si="5"/>
        <v>164385.26105735954</v>
      </c>
      <c r="AH81"/>
      <c r="AI81" s="23" t="s">
        <v>295</v>
      </c>
    </row>
    <row r="82" spans="2:35" s="1" customFormat="1" hidden="1" outlineLevel="1" x14ac:dyDescent="0.25">
      <c r="C82" s="31" t="s">
        <v>144</v>
      </c>
      <c r="D82" s="21">
        <f>'Core Loads'!C$126*'Core Inputs'!$D$102+'Core Loads'!C$146*'Core Inputs'!$D$93+'Core Loads'!C$166*'Core Inputs'!$D$97</f>
        <v>12625.782580688316</v>
      </c>
      <c r="E82" s="69">
        <f>'Core Loads'!D$126*'Core Inputs'!$D$102+'Core Loads'!D$146*'Core Inputs'!$D$93+'Core Loads'!D$166*'Core Inputs'!$D$97</f>
        <v>12625.782580688316</v>
      </c>
      <c r="F82" s="21">
        <f>'Core Loads'!E$126*'Core Inputs'!$D$102+'Core Loads'!E$146*'Core Inputs'!$D$93+'Core Loads'!E$166*'Core Inputs'!$D$97</f>
        <v>12625.782580688316</v>
      </c>
      <c r="G82" s="21">
        <f>'Core Loads'!F$126*'Core Inputs'!$D$102+'Core Loads'!F$146*'Core Inputs'!$D$93+'Core Loads'!F$166*'Core Inputs'!$D$97</f>
        <v>12130.814033766277</v>
      </c>
      <c r="H82" s="21">
        <f>'Core Loads'!G$126*'Core Inputs'!$D$102+'Core Loads'!G$146*'Core Inputs'!$D$93+'Core Loads'!G$166*'Core Inputs'!$D$97</f>
        <v>12130.814033766277</v>
      </c>
      <c r="I82" s="21">
        <f>'Core Loads'!H$126*'Core Inputs'!$D$102+'Core Loads'!H$146*'Core Inputs'!$D$93+'Core Loads'!H$166*'Core Inputs'!$D$97</f>
        <v>30483.518646637684</v>
      </c>
      <c r="J82" s="21">
        <f>'Core Loads'!I$126*'Core Inputs'!$D$102+'Core Loads'!I$146*'Core Inputs'!$D$93+'Core Loads'!I$166*'Core Inputs'!$D$97</f>
        <v>30483.518646637684</v>
      </c>
      <c r="K82" s="21">
        <f>'Core Loads'!J$126*'Core Inputs'!$D$102+'Core Loads'!J$146*'Core Inputs'!$D$93+'Core Loads'!J$166*'Core Inputs'!$D$97</f>
        <v>30030.021078065736</v>
      </c>
      <c r="L82" s="21">
        <f>'Core Loads'!K$126*'Core Inputs'!$D$102+'Core Loads'!K$146*'Core Inputs'!$D$93+'Core Loads'!K$166*'Core Inputs'!$D$97</f>
        <v>30030.021078065736</v>
      </c>
      <c r="M82" s="21">
        <f>'Core Loads'!L$126*'Core Inputs'!$D$102+'Core Loads'!L$146*'Core Inputs'!$D$93+'Core Loads'!L$166*'Core Inputs'!$D$97</f>
        <v>32210.774506664566</v>
      </c>
      <c r="N82" s="21">
        <f>'Core Loads'!M$126*'Core Inputs'!$D$102+'Core Loads'!M$146*'Core Inputs'!$D$93+'Core Loads'!M$166*'Core Inputs'!$D$97</f>
        <v>32210.774506664566</v>
      </c>
      <c r="O82" s="21">
        <f>'Core Loads'!N$126*'Core Inputs'!$D$102+'Core Loads'!N$146*'Core Inputs'!$D$93+'Core Loads'!N$166*'Core Inputs'!$D$97</f>
        <v>32210.774506664566</v>
      </c>
      <c r="P82" s="21">
        <f>'Core Loads'!O$126*'Core Inputs'!$D$102+'Core Loads'!O$146*'Core Inputs'!$D$93+'Core Loads'!O$166*'Core Inputs'!$D$97</f>
        <v>32210.774506664566</v>
      </c>
      <c r="Q82" s="21">
        <f>'Core Loads'!P$126*'Core Inputs'!$D$102+'Core Loads'!P$146*'Core Inputs'!$D$93+'Core Loads'!P$166*'Core Inputs'!$D$97</f>
        <v>32210.774506664566</v>
      </c>
      <c r="R82" s="21">
        <f>'Core Loads'!Q$126*'Core Inputs'!$D$102+'Core Loads'!Q$146*'Core Inputs'!$D$93+'Core Loads'!Q$166*'Core Inputs'!$D$97</f>
        <v>48029.307110531103</v>
      </c>
      <c r="S82" s="21">
        <f>'Core Loads'!R$126*'Core Inputs'!$D$102+'Core Loads'!R$146*'Core Inputs'!$D$93+'Core Loads'!R$166*'Core Inputs'!$D$97</f>
        <v>48029.307110531103</v>
      </c>
      <c r="T82" s="21">
        <f>'Core Loads'!S$126*'Core Inputs'!$D$102+'Core Loads'!S$146*'Core Inputs'!$D$93+'Core Loads'!S$166*'Core Inputs'!$D$97</f>
        <v>48029.307110531103</v>
      </c>
      <c r="U82" s="21">
        <f>'Core Loads'!T$126*'Core Inputs'!$D$102+'Core Loads'!T$146*'Core Inputs'!$D$93+'Core Loads'!T$166*'Core Inputs'!$D$97</f>
        <v>48029.307110531103</v>
      </c>
      <c r="V82" s="21">
        <f>'Core Loads'!U$126*'Core Inputs'!$D$102+'Core Loads'!U$146*'Core Inputs'!$D$93+'Core Loads'!U$166*'Core Inputs'!$D$97</f>
        <v>48029.307110531103</v>
      </c>
      <c r="W82" s="21">
        <f>'Core Loads'!V$126*'Core Inputs'!$D$102+'Core Loads'!V$146*'Core Inputs'!$D$93+'Core Loads'!V$166*'Core Inputs'!$D$97</f>
        <v>48029.307110531103</v>
      </c>
      <c r="X82" s="21">
        <f>'Core Loads'!W$126*'Core Inputs'!$D$102+'Core Loads'!W$146*'Core Inputs'!$D$93+'Core Loads'!W$166*'Core Inputs'!$D$97</f>
        <v>48029.307110531103</v>
      </c>
      <c r="Y82" s="21">
        <f>'Core Loads'!X$126*'Core Inputs'!$D$102+'Core Loads'!X$146*'Core Inputs'!$D$93+'Core Loads'!X$166*'Core Inputs'!$D$97</f>
        <v>48029.307110531103</v>
      </c>
      <c r="Z82" s="21">
        <f>'Core Loads'!Y$126*'Core Inputs'!$D$102+'Core Loads'!Y$146*'Core Inputs'!$D$93+'Core Loads'!Y$166*'Core Inputs'!$D$97</f>
        <v>48029.307110531103</v>
      </c>
      <c r="AA82" s="21">
        <f>'Core Loads'!Z$126*'Core Inputs'!$D$102+'Core Loads'!Z$146*'Core Inputs'!$D$93+'Core Loads'!Z$166*'Core Inputs'!$D$97</f>
        <v>48029.307110531103</v>
      </c>
      <c r="AB82" s="21">
        <f>'Core Loads'!AA$126*'Core Inputs'!$D$102+'Core Loads'!AA$146*'Core Inputs'!$D$93+'Core Loads'!AA$166*'Core Inputs'!$D$97</f>
        <v>48029.307110531103</v>
      </c>
      <c r="AC82" s="21">
        <f>'Core Loads'!AB$126*'Core Inputs'!$D$102+'Core Loads'!AB$146*'Core Inputs'!$D$93+'Core Loads'!AB$166*'Core Inputs'!$D$97</f>
        <v>48029.307110531103</v>
      </c>
      <c r="AD82" s="21">
        <f>'Core Loads'!AC$126*'Core Inputs'!$D$102+'Core Loads'!AC$146*'Core Inputs'!$D$93+'Core Loads'!AC$166*'Core Inputs'!$D$97</f>
        <v>48029.307110531103</v>
      </c>
      <c r="AE82" s="21">
        <f>'Core Loads'!AD$126*'Core Inputs'!$D$102+'Core Loads'!AD$146*'Core Inputs'!$D$93+'Core Loads'!AD$166*'Core Inputs'!$D$97</f>
        <v>48029.307110531103</v>
      </c>
      <c r="AF82" s="21">
        <f>'Core Loads'!AE$126*'Core Inputs'!$D$102+'Core Loads'!AE$146*'Core Inputs'!$D$93+'Core Loads'!AE$166*'Core Inputs'!$D$97</f>
        <v>48029.307110531103</v>
      </c>
      <c r="AG82" s="21">
        <f>'Core Loads'!AF$126*'Core Inputs'!$D$102+'Core Loads'!AF$146*'Core Inputs'!$D$93+'Core Loads'!AF$166*'Core Inputs'!$D$97</f>
        <v>48029.307110531103</v>
      </c>
      <c r="AH82"/>
      <c r="AI82" s="23" t="s">
        <v>293</v>
      </c>
    </row>
    <row r="83" spans="2:35" s="1" customFormat="1" hidden="1" outlineLevel="1" x14ac:dyDescent="0.25">
      <c r="C83" s="31" t="s">
        <v>145</v>
      </c>
      <c r="D83" s="21">
        <f>'Core Loads'!C$127*'Core Inputs'!$E$102+'Core Loads'!C$147*'Core Inputs'!$E$93+'Core Loads'!C$167*'Core Inputs'!$E$97</f>
        <v>0</v>
      </c>
      <c r="E83" s="69">
        <f>'Core Loads'!D$127*'Core Inputs'!$E$102+'Core Loads'!D$147*'Core Inputs'!$E$93+'Core Loads'!D$167*'Core Inputs'!$E$97</f>
        <v>0</v>
      </c>
      <c r="F83" s="21">
        <f>'Core Loads'!E$127*'Core Inputs'!$E$102+'Core Loads'!E$147*'Core Inputs'!$E$93+'Core Loads'!E$167*'Core Inputs'!$E$97</f>
        <v>0</v>
      </c>
      <c r="G83" s="21">
        <f>'Core Loads'!F$127*'Core Inputs'!$E$102+'Core Loads'!F$147*'Core Inputs'!$E$93+'Core Loads'!F$167*'Core Inputs'!$E$97</f>
        <v>0</v>
      </c>
      <c r="H83" s="21">
        <f>'Core Loads'!G$127*'Core Inputs'!$E$102+'Core Loads'!G$147*'Core Inputs'!$E$93+'Core Loads'!G$167*'Core Inputs'!$E$97</f>
        <v>0</v>
      </c>
      <c r="I83" s="21">
        <f>'Core Loads'!H$127*'Core Inputs'!$E$102+'Core Loads'!H$147*'Core Inputs'!$E$93+'Core Loads'!H$167*'Core Inputs'!$E$97</f>
        <v>0</v>
      </c>
      <c r="J83" s="21">
        <f>'Core Loads'!I$127*'Core Inputs'!$E$102+'Core Loads'!I$147*'Core Inputs'!$E$93+'Core Loads'!I$167*'Core Inputs'!$E$97</f>
        <v>0</v>
      </c>
      <c r="K83" s="21">
        <f>'Core Loads'!J$127*'Core Inputs'!$E$102+'Core Loads'!J$147*'Core Inputs'!$E$93+'Core Loads'!J$167*'Core Inputs'!$E$97</f>
        <v>0</v>
      </c>
      <c r="L83" s="21">
        <f>'Core Loads'!K$127*'Core Inputs'!$E$102+'Core Loads'!K$147*'Core Inputs'!$E$93+'Core Loads'!K$167*'Core Inputs'!$E$97</f>
        <v>0</v>
      </c>
      <c r="M83" s="21">
        <f>'Core Loads'!L$127*'Core Inputs'!$E$102+'Core Loads'!L$147*'Core Inputs'!$E$93+'Core Loads'!L$167*'Core Inputs'!$E$97</f>
        <v>0</v>
      </c>
      <c r="N83" s="21">
        <f>'Core Loads'!M$127*'Core Inputs'!$E$102+'Core Loads'!M$147*'Core Inputs'!$E$93+'Core Loads'!M$167*'Core Inputs'!$E$97</f>
        <v>15620.246056914164</v>
      </c>
      <c r="O83" s="21">
        <f>'Core Loads'!N$127*'Core Inputs'!$E$102+'Core Loads'!N$147*'Core Inputs'!$E$93+'Core Loads'!N$167*'Core Inputs'!$E$97</f>
        <v>15620.246056914164</v>
      </c>
      <c r="P83" s="21">
        <f>'Core Loads'!O$127*'Core Inputs'!$E$102+'Core Loads'!O$147*'Core Inputs'!$E$93+'Core Loads'!O$167*'Core Inputs'!$E$97</f>
        <v>15620.246056914164</v>
      </c>
      <c r="Q83" s="21">
        <f>'Core Loads'!P$127*'Core Inputs'!$E$102+'Core Loads'!P$147*'Core Inputs'!$E$93+'Core Loads'!P$167*'Core Inputs'!$E$97</f>
        <v>15580.989828606009</v>
      </c>
      <c r="R83" s="21">
        <f>'Core Loads'!Q$127*'Core Inputs'!$E$102+'Core Loads'!Q$147*'Core Inputs'!$E$93+'Core Loads'!Q$167*'Core Inputs'!$E$97</f>
        <v>26868.570068124569</v>
      </c>
      <c r="S83" s="21">
        <f>'Core Loads'!R$127*'Core Inputs'!$E$102+'Core Loads'!R$147*'Core Inputs'!$E$93+'Core Loads'!R$167*'Core Inputs'!$E$97</f>
        <v>28060.327786925038</v>
      </c>
      <c r="T83" s="21">
        <f>'Core Loads'!S$127*'Core Inputs'!$E$102+'Core Loads'!S$147*'Core Inputs'!$E$93+'Core Loads'!S$167*'Core Inputs'!$E$97</f>
        <v>28060.327786925038</v>
      </c>
      <c r="U83" s="21">
        <f>'Core Loads'!T$127*'Core Inputs'!$E$102+'Core Loads'!T$147*'Core Inputs'!$E$93+'Core Loads'!T$167*'Core Inputs'!$E$97</f>
        <v>27993.839669496156</v>
      </c>
      <c r="V83" s="21">
        <f>'Core Loads'!U$127*'Core Inputs'!$E$102+'Core Loads'!U$147*'Core Inputs'!$E$93+'Core Loads'!U$167*'Core Inputs'!$E$97</f>
        <v>27993.839669496156</v>
      </c>
      <c r="W83" s="21">
        <f>'Core Loads'!V$127*'Core Inputs'!$E$102+'Core Loads'!V$147*'Core Inputs'!$E$93+'Core Loads'!V$167*'Core Inputs'!$E$97</f>
        <v>27993.839669496156</v>
      </c>
      <c r="X83" s="21">
        <f>'Core Loads'!W$127*'Core Inputs'!$E$102+'Core Loads'!W$147*'Core Inputs'!$E$93+'Core Loads'!W$167*'Core Inputs'!$E$97</f>
        <v>27993.839669496156</v>
      </c>
      <c r="Y83" s="21">
        <f>'Core Loads'!X$127*'Core Inputs'!$E$102+'Core Loads'!X$147*'Core Inputs'!$E$93+'Core Loads'!X$167*'Core Inputs'!$E$97</f>
        <v>27993.839669496156</v>
      </c>
      <c r="Z83" s="21">
        <f>'Core Loads'!Y$127*'Core Inputs'!$E$102+'Core Loads'!Y$147*'Core Inputs'!$E$93+'Core Loads'!Y$167*'Core Inputs'!$E$97</f>
        <v>27993.839669496156</v>
      </c>
      <c r="AA83" s="21">
        <f>'Core Loads'!Z$127*'Core Inputs'!$E$102+'Core Loads'!Z$147*'Core Inputs'!$E$93+'Core Loads'!Z$167*'Core Inputs'!$E$97</f>
        <v>27993.839669496156</v>
      </c>
      <c r="AB83" s="21">
        <f>'Core Loads'!AA$127*'Core Inputs'!$E$102+'Core Loads'!AA$147*'Core Inputs'!$E$93+'Core Loads'!AA$167*'Core Inputs'!$E$97</f>
        <v>27993.839669496156</v>
      </c>
      <c r="AC83" s="21">
        <f>'Core Loads'!AB$127*'Core Inputs'!$E$102+'Core Loads'!AB$147*'Core Inputs'!$E$93+'Core Loads'!AB$167*'Core Inputs'!$E$97</f>
        <v>27501.558150950099</v>
      </c>
      <c r="AD83" s="21">
        <f>'Core Loads'!AC$127*'Core Inputs'!$E$102+'Core Loads'!AC$147*'Core Inputs'!$E$93+'Core Loads'!AC$167*'Core Inputs'!$E$97</f>
        <v>27501.558150950099</v>
      </c>
      <c r="AE83" s="21">
        <f>'Core Loads'!AD$127*'Core Inputs'!$E$102+'Core Loads'!AD$147*'Core Inputs'!$E$93+'Core Loads'!AD$167*'Core Inputs'!$E$97</f>
        <v>27501.558150950099</v>
      </c>
      <c r="AF83" s="21">
        <f>'Core Loads'!AE$127*'Core Inputs'!$E$102+'Core Loads'!AE$147*'Core Inputs'!$E$93+'Core Loads'!AE$167*'Core Inputs'!$E$97</f>
        <v>27501.558150950099</v>
      </c>
      <c r="AG83" s="21">
        <f>'Core Loads'!AF$127*'Core Inputs'!$E$102+'Core Loads'!AF$147*'Core Inputs'!$E$93+'Core Loads'!AF$167*'Core Inputs'!$E$97</f>
        <v>27501.558150950099</v>
      </c>
      <c r="AH83"/>
      <c r="AI83" s="23" t="s">
        <v>293</v>
      </c>
    </row>
    <row r="84" spans="2:35" s="1" customFormat="1" hidden="1" outlineLevel="1" x14ac:dyDescent="0.25">
      <c r="C84" s="31" t="s">
        <v>244</v>
      </c>
      <c r="D84" s="21">
        <f>'Core Loads'!C$128*'Core Inputs'!$F$102+'Core Loads'!C$148*'Core Inputs'!$F$93+'Core Loads'!C$168*'Core Inputs'!$F$97</f>
        <v>0</v>
      </c>
      <c r="E84" s="69">
        <f>'Core Loads'!D$128*'Core Inputs'!$F$102+'Core Loads'!D$148*'Core Inputs'!$F$93+'Core Loads'!D$168*'Core Inputs'!$F$97</f>
        <v>0</v>
      </c>
      <c r="F84" s="21">
        <f>'Core Loads'!E$128*'Core Inputs'!$F$102+'Core Loads'!E$148*'Core Inputs'!$F$93+'Core Loads'!E$168*'Core Inputs'!$F$97</f>
        <v>0</v>
      </c>
      <c r="G84" s="21">
        <f>'Core Loads'!F$128*'Core Inputs'!$F$102+'Core Loads'!F$148*'Core Inputs'!$F$93+'Core Loads'!F$168*'Core Inputs'!$F$97</f>
        <v>0</v>
      </c>
      <c r="H84" s="21">
        <f>'Core Loads'!G$128*'Core Inputs'!$F$102+'Core Loads'!G$148*'Core Inputs'!$F$93+'Core Loads'!G$168*'Core Inputs'!$F$97</f>
        <v>0</v>
      </c>
      <c r="I84" s="21">
        <f>'Core Loads'!H$128*'Core Inputs'!$F$102+'Core Loads'!H$148*'Core Inputs'!$F$93+'Core Loads'!H$168*'Core Inputs'!$F$97</f>
        <v>18481.282094410813</v>
      </c>
      <c r="J84" s="21">
        <f>'Core Loads'!I$128*'Core Inputs'!$F$102+'Core Loads'!I$148*'Core Inputs'!$F$93+'Core Loads'!I$168*'Core Inputs'!$F$97</f>
        <v>18481.282094410813</v>
      </c>
      <c r="K84" s="21">
        <f>'Core Loads'!J$128*'Core Inputs'!$F$102+'Core Loads'!J$148*'Core Inputs'!$F$93+'Core Loads'!J$168*'Core Inputs'!$F$97</f>
        <v>17485.214757181864</v>
      </c>
      <c r="L84" s="21">
        <f>'Core Loads'!K$128*'Core Inputs'!$F$102+'Core Loads'!K$148*'Core Inputs'!$F$93+'Core Loads'!K$168*'Core Inputs'!$F$97</f>
        <v>17485.214757181864</v>
      </c>
      <c r="M84" s="21">
        <f>'Core Loads'!L$128*'Core Inputs'!$F$102+'Core Loads'!L$148*'Core Inputs'!$F$93+'Core Loads'!L$168*'Core Inputs'!$F$97</f>
        <v>17485.214757181864</v>
      </c>
      <c r="N84" s="21">
        <f>'Core Loads'!M$128*'Core Inputs'!$F$102+'Core Loads'!M$148*'Core Inputs'!$F$93+'Core Loads'!M$168*'Core Inputs'!$F$97</f>
        <v>34829.44031085031</v>
      </c>
      <c r="O84" s="21">
        <f>'Core Loads'!N$128*'Core Inputs'!$F$102+'Core Loads'!N$148*'Core Inputs'!$F$93+'Core Loads'!N$168*'Core Inputs'!$F$97</f>
        <v>34474.51670309656</v>
      </c>
      <c r="P84" s="21">
        <f>'Core Loads'!O$128*'Core Inputs'!$F$102+'Core Loads'!O$148*'Core Inputs'!$F$93+'Core Loads'!O$168*'Core Inputs'!$F$97</f>
        <v>34474.51670309656</v>
      </c>
      <c r="Q84" s="21">
        <f>'Core Loads'!P$128*'Core Inputs'!$F$102+'Core Loads'!P$148*'Core Inputs'!$F$93+'Core Loads'!P$168*'Core Inputs'!$F$97</f>
        <v>34443.318867400863</v>
      </c>
      <c r="R84" s="21">
        <f>'Core Loads'!Q$128*'Core Inputs'!$F$102+'Core Loads'!Q$148*'Core Inputs'!$F$93+'Core Loads'!Q$168*'Core Inputs'!$F$97</f>
        <v>57747.862203816447</v>
      </c>
      <c r="S84" s="21">
        <f>'Core Loads'!R$128*'Core Inputs'!$F$102+'Core Loads'!R$148*'Core Inputs'!$F$93+'Core Loads'!R$168*'Core Inputs'!$F$97</f>
        <v>60442.689102032258</v>
      </c>
      <c r="T84" s="21">
        <f>'Core Loads'!S$128*'Core Inputs'!$F$102+'Core Loads'!S$148*'Core Inputs'!$F$93+'Core Loads'!S$168*'Core Inputs'!$F$97</f>
        <v>60442.689102032258</v>
      </c>
      <c r="U84" s="21">
        <f>'Core Loads'!T$128*'Core Inputs'!$F$102+'Core Loads'!T$148*'Core Inputs'!$F$93+'Core Loads'!T$168*'Core Inputs'!$F$97</f>
        <v>60442.689102032258</v>
      </c>
      <c r="V84" s="21">
        <f>'Core Loads'!U$128*'Core Inputs'!$F$102+'Core Loads'!U$148*'Core Inputs'!$F$93+'Core Loads'!U$168*'Core Inputs'!$F$97</f>
        <v>60442.689102032258</v>
      </c>
      <c r="W84" s="21">
        <f>'Core Loads'!V$128*'Core Inputs'!$F$102+'Core Loads'!V$148*'Core Inputs'!$F$93+'Core Loads'!V$168*'Core Inputs'!$F$97</f>
        <v>60070.546382701934</v>
      </c>
      <c r="X84" s="21">
        <f>'Core Loads'!W$128*'Core Inputs'!$F$102+'Core Loads'!W$148*'Core Inputs'!$F$93+'Core Loads'!W$168*'Core Inputs'!$F$97</f>
        <v>60070.546382701934</v>
      </c>
      <c r="Y84" s="21">
        <f>'Core Loads'!X$128*'Core Inputs'!$F$102+'Core Loads'!X$148*'Core Inputs'!$F$93+'Core Loads'!X$168*'Core Inputs'!$F$97</f>
        <v>60070.546382701934</v>
      </c>
      <c r="Z84" s="21">
        <f>'Core Loads'!Y$128*'Core Inputs'!$F$102+'Core Loads'!Y$148*'Core Inputs'!$F$93+'Core Loads'!Y$168*'Core Inputs'!$F$97</f>
        <v>60070.546382701934</v>
      </c>
      <c r="AA84" s="21">
        <f>'Core Loads'!Z$128*'Core Inputs'!$F$102+'Core Loads'!Z$148*'Core Inputs'!$F$93+'Core Loads'!Z$168*'Core Inputs'!$F$97</f>
        <v>60070.546382701934</v>
      </c>
      <c r="AB84" s="21">
        <f>'Core Loads'!AA$128*'Core Inputs'!$F$102+'Core Loads'!AA$148*'Core Inputs'!$F$93+'Core Loads'!AA$168*'Core Inputs'!$F$97</f>
        <v>60070.546382701934</v>
      </c>
      <c r="AC84" s="21">
        <f>'Core Loads'!AB$128*'Core Inputs'!$F$102+'Core Loads'!AB$148*'Core Inputs'!$F$93+'Core Loads'!AB$168*'Core Inputs'!$F$97</f>
        <v>60070.546382701934</v>
      </c>
      <c r="AD84" s="21">
        <f>'Core Loads'!AC$128*'Core Inputs'!$F$102+'Core Loads'!AC$148*'Core Inputs'!$F$93+'Core Loads'!AC$168*'Core Inputs'!$F$97</f>
        <v>60070.546382701934</v>
      </c>
      <c r="AE84" s="21">
        <f>'Core Loads'!AD$128*'Core Inputs'!$F$102+'Core Loads'!AD$148*'Core Inputs'!$F$93+'Core Loads'!AD$168*'Core Inputs'!$F$97</f>
        <v>60070.546382701934</v>
      </c>
      <c r="AF84" s="21">
        <f>'Core Loads'!AE$128*'Core Inputs'!$F$102+'Core Loads'!AE$148*'Core Inputs'!$F$93+'Core Loads'!AE$168*'Core Inputs'!$F$97</f>
        <v>60070.546382701934</v>
      </c>
      <c r="AG84" s="21">
        <f>'Core Loads'!AF$128*'Core Inputs'!$F$102+'Core Loads'!AF$148*'Core Inputs'!$F$93+'Core Loads'!AF$168*'Core Inputs'!$F$97</f>
        <v>60070.546382701934</v>
      </c>
      <c r="AH84"/>
      <c r="AI84" s="23" t="s">
        <v>293</v>
      </c>
    </row>
    <row r="85" spans="2:35" s="1" customFormat="1" hidden="1" outlineLevel="1" x14ac:dyDescent="0.25">
      <c r="C85" s="31" t="s">
        <v>147</v>
      </c>
      <c r="D85" s="21">
        <f>'Core Loads'!C$129*'Core Inputs'!$G$102+'Core Loads'!C$149*'Core Inputs'!$G$93+'Core Loads'!C$169*'Core Inputs'!$G$97</f>
        <v>0</v>
      </c>
      <c r="E85" s="69">
        <f>'Core Loads'!D$129*'Core Inputs'!$G$102+'Core Loads'!D$149*'Core Inputs'!$G$93+'Core Loads'!D$169*'Core Inputs'!$G$97</f>
        <v>0</v>
      </c>
      <c r="F85" s="21">
        <f>'Core Loads'!E$129*'Core Inputs'!$G$102+'Core Loads'!E$149*'Core Inputs'!$G$93+'Core Loads'!E$169*'Core Inputs'!$G$97</f>
        <v>0</v>
      </c>
      <c r="G85" s="21">
        <f>'Core Loads'!F$129*'Core Inputs'!$G$102+'Core Loads'!F$149*'Core Inputs'!$G$93+'Core Loads'!F$169*'Core Inputs'!$G$97</f>
        <v>0</v>
      </c>
      <c r="H85" s="21">
        <f>'Core Loads'!G$129*'Core Inputs'!$G$102+'Core Loads'!G$149*'Core Inputs'!$G$93+'Core Loads'!G$169*'Core Inputs'!$G$97</f>
        <v>0</v>
      </c>
      <c r="I85" s="21">
        <f>'Core Loads'!H$129*'Core Inputs'!$G$102+'Core Loads'!H$149*'Core Inputs'!$G$93+'Core Loads'!H$169*'Core Inputs'!$G$97</f>
        <v>0</v>
      </c>
      <c r="J85" s="21">
        <f>'Core Loads'!I$129*'Core Inputs'!$G$102+'Core Loads'!I$149*'Core Inputs'!$G$93+'Core Loads'!I$169*'Core Inputs'!$G$97</f>
        <v>0</v>
      </c>
      <c r="K85" s="21">
        <f>'Core Loads'!J$129*'Core Inputs'!$G$102+'Core Loads'!J$149*'Core Inputs'!$G$93+'Core Loads'!J$169*'Core Inputs'!$G$97</f>
        <v>0</v>
      </c>
      <c r="L85" s="21">
        <f>'Core Loads'!K$129*'Core Inputs'!$G$102+'Core Loads'!K$149*'Core Inputs'!$G$93+'Core Loads'!K$169*'Core Inputs'!$G$97</f>
        <v>0</v>
      </c>
      <c r="M85" s="21">
        <f>'Core Loads'!L$129*'Core Inputs'!$G$102+'Core Loads'!L$149*'Core Inputs'!$G$93+'Core Loads'!L$169*'Core Inputs'!$G$97</f>
        <v>0</v>
      </c>
      <c r="N85" s="21">
        <f>'Core Loads'!M$129*'Core Inputs'!$G$102+'Core Loads'!M$149*'Core Inputs'!$G$93+'Core Loads'!M$169*'Core Inputs'!$G$97</f>
        <v>0</v>
      </c>
      <c r="O85" s="21">
        <f>'Core Loads'!N$129*'Core Inputs'!$G$102+'Core Loads'!N$149*'Core Inputs'!$G$93+'Core Loads'!N$169*'Core Inputs'!$G$97</f>
        <v>0</v>
      </c>
      <c r="P85" s="21">
        <f>'Core Loads'!O$129*'Core Inputs'!$G$102+'Core Loads'!O$149*'Core Inputs'!$G$93+'Core Loads'!O$169*'Core Inputs'!$G$97</f>
        <v>0</v>
      </c>
      <c r="Q85" s="21">
        <f>'Core Loads'!P$129*'Core Inputs'!$G$102+'Core Loads'!P$149*'Core Inputs'!$G$93+'Core Loads'!P$169*'Core Inputs'!$G$97</f>
        <v>0</v>
      </c>
      <c r="R85" s="21">
        <f>'Core Loads'!Q$129*'Core Inputs'!$G$102+'Core Loads'!Q$149*'Core Inputs'!$G$93+'Core Loads'!Q$169*'Core Inputs'!$G$97</f>
        <v>0</v>
      </c>
      <c r="S85" s="21">
        <f>'Core Loads'!R$129*'Core Inputs'!$G$102+'Core Loads'!R$149*'Core Inputs'!$G$93+'Core Loads'!R$169*'Core Inputs'!$G$97</f>
        <v>0</v>
      </c>
      <c r="T85" s="21">
        <f>'Core Loads'!S$129*'Core Inputs'!$G$102+'Core Loads'!S$149*'Core Inputs'!$G$93+'Core Loads'!S$169*'Core Inputs'!$G$97</f>
        <v>0</v>
      </c>
      <c r="U85" s="21">
        <f>'Core Loads'!T$129*'Core Inputs'!$G$102+'Core Loads'!T$149*'Core Inputs'!$G$93+'Core Loads'!T$169*'Core Inputs'!$G$97</f>
        <v>0</v>
      </c>
      <c r="V85" s="21">
        <f>'Core Loads'!U$129*'Core Inputs'!$G$102+'Core Loads'!U$149*'Core Inputs'!$G$93+'Core Loads'!U$169*'Core Inputs'!$G$97</f>
        <v>0</v>
      </c>
      <c r="W85" s="21">
        <f>'Core Loads'!V$129*'Core Inputs'!$G$102+'Core Loads'!V$149*'Core Inputs'!$G$93+'Core Loads'!V$169*'Core Inputs'!$G$97</f>
        <v>0</v>
      </c>
      <c r="X85" s="21">
        <f>'Core Loads'!W$129*'Core Inputs'!$G$102+'Core Loads'!W$149*'Core Inputs'!$G$93+'Core Loads'!W$169*'Core Inputs'!$G$97</f>
        <v>0</v>
      </c>
      <c r="Y85" s="21">
        <f>'Core Loads'!X$129*'Core Inputs'!$G$102+'Core Loads'!X$149*'Core Inputs'!$G$93+'Core Loads'!X$169*'Core Inputs'!$G$97</f>
        <v>0</v>
      </c>
      <c r="Z85" s="21">
        <f>'Core Loads'!Y$129*'Core Inputs'!$G$102+'Core Loads'!Y$149*'Core Inputs'!$G$93+'Core Loads'!Y$169*'Core Inputs'!$G$97</f>
        <v>0</v>
      </c>
      <c r="AA85" s="21">
        <f>'Core Loads'!Z$129*'Core Inputs'!$G$102+'Core Loads'!Z$149*'Core Inputs'!$G$93+'Core Loads'!Z$169*'Core Inputs'!$G$97</f>
        <v>0</v>
      </c>
      <c r="AB85" s="21">
        <f>'Core Loads'!AA$129*'Core Inputs'!$G$102+'Core Loads'!AA$149*'Core Inputs'!$G$93+'Core Loads'!AA$169*'Core Inputs'!$G$97</f>
        <v>0</v>
      </c>
      <c r="AC85" s="21">
        <f>'Core Loads'!AB$129*'Core Inputs'!$G$102+'Core Loads'!AB$149*'Core Inputs'!$G$93+'Core Loads'!AB$169*'Core Inputs'!$G$97</f>
        <v>0</v>
      </c>
      <c r="AD85" s="21">
        <f>'Core Loads'!AC$129*'Core Inputs'!$G$102+'Core Loads'!AC$149*'Core Inputs'!$G$93+'Core Loads'!AC$169*'Core Inputs'!$G$97</f>
        <v>0</v>
      </c>
      <c r="AE85" s="21">
        <f>'Core Loads'!AD$129*'Core Inputs'!$G$102+'Core Loads'!AD$149*'Core Inputs'!$G$93+'Core Loads'!AD$169*'Core Inputs'!$G$97</f>
        <v>0</v>
      </c>
      <c r="AF85" s="21">
        <f>'Core Loads'!AE$129*'Core Inputs'!$G$102+'Core Loads'!AE$149*'Core Inputs'!$G$93+'Core Loads'!AE$169*'Core Inputs'!$G$97</f>
        <v>0</v>
      </c>
      <c r="AG85" s="21">
        <f>'Core Loads'!AF$129*'Core Inputs'!$G$102+'Core Loads'!AF$149*'Core Inputs'!$G$93+'Core Loads'!AF$169*'Core Inputs'!$G$97</f>
        <v>0</v>
      </c>
      <c r="AH85"/>
      <c r="AI85" s="23" t="s">
        <v>293</v>
      </c>
    </row>
    <row r="86" spans="2:35" s="1" customFormat="1" hidden="1" outlineLevel="1" x14ac:dyDescent="0.25">
      <c r="C86" s="31" t="s">
        <v>245</v>
      </c>
      <c r="D86" s="21">
        <f>'Core Loads'!C$130*'Core Inputs'!$H$102+'Core Loads'!C$150*'Core Inputs'!$H$93+'Core Loads'!C$170*'Core Inputs'!$H$97</f>
        <v>0</v>
      </c>
      <c r="E86" s="69">
        <f>'Core Loads'!D$130*'Core Inputs'!$H$102+'Core Loads'!D$150*'Core Inputs'!$H$93+'Core Loads'!D$170*'Core Inputs'!$H$97</f>
        <v>0</v>
      </c>
      <c r="F86" s="21">
        <f>'Core Loads'!E$130*'Core Inputs'!$H$102+'Core Loads'!E$150*'Core Inputs'!$H$93+'Core Loads'!E$170*'Core Inputs'!$H$97</f>
        <v>0</v>
      </c>
      <c r="G86" s="21">
        <f>'Core Loads'!F$130*'Core Inputs'!$H$102+'Core Loads'!F$150*'Core Inputs'!$H$93+'Core Loads'!F$170*'Core Inputs'!$H$97</f>
        <v>0</v>
      </c>
      <c r="H86" s="21">
        <f>'Core Loads'!G$130*'Core Inputs'!$H$102+'Core Loads'!G$150*'Core Inputs'!$H$93+'Core Loads'!G$170*'Core Inputs'!$H$97</f>
        <v>0</v>
      </c>
      <c r="I86" s="21">
        <f>'Core Loads'!H$130*'Core Inputs'!$H$102+'Core Loads'!H$150*'Core Inputs'!$H$93+'Core Loads'!H$170*'Core Inputs'!$H$97</f>
        <v>0</v>
      </c>
      <c r="J86" s="21">
        <f>'Core Loads'!I$130*'Core Inputs'!$H$102+'Core Loads'!I$150*'Core Inputs'!$H$93+'Core Loads'!I$170*'Core Inputs'!$H$97</f>
        <v>0</v>
      </c>
      <c r="K86" s="21">
        <f>'Core Loads'!J$130*'Core Inputs'!$H$102+'Core Loads'!J$150*'Core Inputs'!$H$93+'Core Loads'!J$170*'Core Inputs'!$H$97</f>
        <v>0</v>
      </c>
      <c r="L86" s="21">
        <f>'Core Loads'!K$130*'Core Inputs'!$H$102+'Core Loads'!K$150*'Core Inputs'!$H$93+'Core Loads'!K$170*'Core Inputs'!$H$97</f>
        <v>0</v>
      </c>
      <c r="M86" s="21">
        <f>'Core Loads'!L$130*'Core Inputs'!$H$102+'Core Loads'!L$150*'Core Inputs'!$H$93+'Core Loads'!L$170*'Core Inputs'!$H$97</f>
        <v>0</v>
      </c>
      <c r="N86" s="21">
        <f>'Core Loads'!M$130*'Core Inputs'!$H$102+'Core Loads'!M$150*'Core Inputs'!$H$93+'Core Loads'!M$170*'Core Inputs'!$H$97</f>
        <v>0</v>
      </c>
      <c r="O86" s="21">
        <f>'Core Loads'!N$130*'Core Inputs'!$H$102+'Core Loads'!N$150*'Core Inputs'!$H$93+'Core Loads'!N$170*'Core Inputs'!$H$97</f>
        <v>0</v>
      </c>
      <c r="P86" s="21">
        <f>'Core Loads'!O$130*'Core Inputs'!$H$102+'Core Loads'!O$150*'Core Inputs'!$H$93+'Core Loads'!O$170*'Core Inputs'!$H$97</f>
        <v>0</v>
      </c>
      <c r="Q86" s="21">
        <f>'Core Loads'!P$130*'Core Inputs'!$H$102+'Core Loads'!P$150*'Core Inputs'!$H$93+'Core Loads'!P$170*'Core Inputs'!$H$97</f>
        <v>0</v>
      </c>
      <c r="R86" s="21">
        <f>'Core Loads'!Q$130*'Core Inputs'!$H$102+'Core Loads'!Q$150*'Core Inputs'!$H$93+'Core Loads'!Q$170*'Core Inputs'!$H$97</f>
        <v>11837.862173080874</v>
      </c>
      <c r="S86" s="21">
        <f>'Core Loads'!R$130*'Core Inputs'!$H$102+'Core Loads'!R$150*'Core Inputs'!$H$93+'Core Loads'!R$170*'Core Inputs'!$H$97</f>
        <v>28783.849413176406</v>
      </c>
      <c r="T86" s="21">
        <f>'Core Loads'!S$130*'Core Inputs'!$H$102+'Core Loads'!S$150*'Core Inputs'!$H$93+'Core Loads'!S$170*'Core Inputs'!$H$97</f>
        <v>28783.849413176406</v>
      </c>
      <c r="U86" s="21">
        <f>'Core Loads'!T$130*'Core Inputs'!$H$102+'Core Loads'!T$150*'Core Inputs'!$H$93+'Core Loads'!T$170*'Core Inputs'!$H$97</f>
        <v>28783.849413176406</v>
      </c>
      <c r="V86" s="21">
        <f>'Core Loads'!U$130*'Core Inputs'!$H$102+'Core Loads'!U$150*'Core Inputs'!$H$93+'Core Loads'!U$170*'Core Inputs'!$H$97</f>
        <v>28783.849413176406</v>
      </c>
      <c r="W86" s="21">
        <f>'Core Loads'!V$130*'Core Inputs'!$H$102+'Core Loads'!V$150*'Core Inputs'!$H$93+'Core Loads'!V$170*'Core Inputs'!$H$97</f>
        <v>28783.849413176406</v>
      </c>
      <c r="X86" s="21">
        <f>'Core Loads'!W$130*'Core Inputs'!$H$102+'Core Loads'!W$150*'Core Inputs'!$H$93+'Core Loads'!W$170*'Core Inputs'!$H$97</f>
        <v>28783.849413176406</v>
      </c>
      <c r="Y86" s="21">
        <f>'Core Loads'!X$130*'Core Inputs'!$H$102+'Core Loads'!X$150*'Core Inputs'!$H$93+'Core Loads'!X$170*'Core Inputs'!$H$97</f>
        <v>28783.849413176406</v>
      </c>
      <c r="Z86" s="21">
        <f>'Core Loads'!Y$130*'Core Inputs'!$H$102+'Core Loads'!Y$150*'Core Inputs'!$H$93+'Core Loads'!Y$170*'Core Inputs'!$H$97</f>
        <v>28783.849413176406</v>
      </c>
      <c r="AA86" s="21">
        <f>'Core Loads'!Z$130*'Core Inputs'!$H$102+'Core Loads'!Z$150*'Core Inputs'!$H$93+'Core Loads'!Z$170*'Core Inputs'!$H$97</f>
        <v>28783.849413176406</v>
      </c>
      <c r="AB86" s="21">
        <f>'Core Loads'!AA$130*'Core Inputs'!$H$102+'Core Loads'!AA$150*'Core Inputs'!$H$93+'Core Loads'!AA$170*'Core Inputs'!$H$97</f>
        <v>28783.849413176406</v>
      </c>
      <c r="AC86" s="21">
        <f>'Core Loads'!AB$130*'Core Inputs'!$H$102+'Core Loads'!AB$150*'Core Inputs'!$H$93+'Core Loads'!AB$170*'Core Inputs'!$H$97</f>
        <v>28783.849413176406</v>
      </c>
      <c r="AD86" s="21">
        <f>'Core Loads'!AC$130*'Core Inputs'!$H$102+'Core Loads'!AC$150*'Core Inputs'!$H$93+'Core Loads'!AC$170*'Core Inputs'!$H$97</f>
        <v>28783.849413176406</v>
      </c>
      <c r="AE86" s="21">
        <f>'Core Loads'!AD$130*'Core Inputs'!$H$102+'Core Loads'!AD$150*'Core Inputs'!$H$93+'Core Loads'!AD$170*'Core Inputs'!$H$97</f>
        <v>28783.849413176406</v>
      </c>
      <c r="AF86" s="21">
        <f>'Core Loads'!AE$130*'Core Inputs'!$H$102+'Core Loads'!AE$150*'Core Inputs'!$H$93+'Core Loads'!AE$170*'Core Inputs'!$H$97</f>
        <v>28783.849413176406</v>
      </c>
      <c r="AG86" s="21">
        <f>'Core Loads'!AF$130*'Core Inputs'!$H$102+'Core Loads'!AF$150*'Core Inputs'!$H$93+'Core Loads'!AF$170*'Core Inputs'!$H$97</f>
        <v>28783.849413176406</v>
      </c>
      <c r="AH86"/>
      <c r="AI86" s="23" t="s">
        <v>293</v>
      </c>
    </row>
    <row r="87" spans="2:35" ht="15.75" collapsed="1" thickTop="1" x14ac:dyDescent="0.25"/>
    <row r="89" spans="2:35" s="1" customFormat="1" ht="20.25" thickBot="1" x14ac:dyDescent="0.35">
      <c r="B89" s="18" t="s">
        <v>297</v>
      </c>
      <c r="C89" s="18"/>
      <c r="D89" s="18"/>
      <c r="E89" s="25"/>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row>
    <row r="90" spans="2:35" s="1" customFormat="1" ht="18" outlineLevel="1" thickTop="1" thickBot="1" x14ac:dyDescent="0.3">
      <c r="B90" s="19" t="s">
        <v>278</v>
      </c>
      <c r="C90" s="19"/>
      <c r="D90" s="19"/>
      <c r="E90" s="67"/>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row>
    <row r="91" spans="2:35" s="1" customFormat="1" ht="16.5" outlineLevel="1" thickTop="1" thickBot="1" x14ac:dyDescent="0.3">
      <c r="B91" s="20" t="s">
        <v>292</v>
      </c>
      <c r="C91" s="20" t="s">
        <v>13</v>
      </c>
      <c r="D91" s="20" t="s">
        <v>17</v>
      </c>
      <c r="E91" s="68"/>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t="s">
        <v>15</v>
      </c>
    </row>
    <row r="92" spans="2:35" outlineLevel="1" x14ac:dyDescent="0.25">
      <c r="D92" s="8">
        <f>'Core Loads'!$C$14</f>
        <v>2025</v>
      </c>
      <c r="E92" s="62">
        <f>'Core Loads'!$D$14</f>
        <v>2026</v>
      </c>
      <c r="F92" s="8">
        <f>'Core Loads'!$E$14</f>
        <v>2027</v>
      </c>
      <c r="G92" s="8">
        <f>'Core Loads'!$F$14</f>
        <v>2028</v>
      </c>
      <c r="H92" s="8">
        <f>'Core Loads'!$G$14</f>
        <v>2029</v>
      </c>
      <c r="I92" s="8">
        <f>'Core Loads'!$H$14</f>
        <v>2030</v>
      </c>
      <c r="J92" s="8">
        <f>'Core Loads'!$I$14</f>
        <v>2031</v>
      </c>
      <c r="K92" s="8">
        <f>'Core Loads'!$J$14</f>
        <v>2032</v>
      </c>
      <c r="L92" s="8">
        <f>'Core Loads'!$K$14</f>
        <v>2033</v>
      </c>
      <c r="M92" s="8">
        <f>'Core Loads'!$L$14</f>
        <v>2034</v>
      </c>
      <c r="N92" s="8">
        <f>'Core Loads'!$M$14</f>
        <v>2035</v>
      </c>
      <c r="O92" s="8">
        <f>'Core Loads'!$N$14</f>
        <v>2036</v>
      </c>
      <c r="P92" s="8">
        <f>'Core Loads'!$O$14</f>
        <v>2037</v>
      </c>
      <c r="Q92" s="8">
        <f>'Core Loads'!$P$14</f>
        <v>2038</v>
      </c>
      <c r="R92" s="8">
        <f>'Core Loads'!$Q$14</f>
        <v>2039</v>
      </c>
      <c r="S92" s="8">
        <f>'Core Loads'!$R$14</f>
        <v>2040</v>
      </c>
      <c r="T92" s="8">
        <f>'Core Loads'!$S$14</f>
        <v>2041</v>
      </c>
      <c r="U92" s="8">
        <f>'Core Loads'!$T$14</f>
        <v>2042</v>
      </c>
      <c r="V92" s="8">
        <f>'Core Loads'!$U$14</f>
        <v>2043</v>
      </c>
      <c r="W92" s="8">
        <f>'Core Loads'!$V$14</f>
        <v>2044</v>
      </c>
      <c r="X92" s="8">
        <f>'Core Loads'!$W$14</f>
        <v>2045</v>
      </c>
      <c r="Y92" s="8">
        <f>'Core Loads'!$X$14</f>
        <v>2046</v>
      </c>
      <c r="Z92" s="8">
        <f>'Core Loads'!$Y$14</f>
        <v>2047</v>
      </c>
      <c r="AA92" s="8">
        <f>'Core Loads'!$Z$14</f>
        <v>2048</v>
      </c>
      <c r="AB92" s="8">
        <f>'Core Loads'!$AA$14</f>
        <v>2049</v>
      </c>
      <c r="AC92" s="8">
        <f>'Core Loads'!$AB$14</f>
        <v>2050</v>
      </c>
      <c r="AD92" s="8">
        <f>'Core Loads'!$AC$14</f>
        <v>2051</v>
      </c>
      <c r="AE92" s="8">
        <f>'Core Loads'!$AD$14</f>
        <v>2052</v>
      </c>
      <c r="AF92" s="8">
        <f>'Core Loads'!$AE$14</f>
        <v>2053</v>
      </c>
      <c r="AG92" s="8">
        <f>'Core Loads'!$AF$14</f>
        <v>2054</v>
      </c>
    </row>
    <row r="93" spans="2:35" s="1" customFormat="1" outlineLevel="1" x14ac:dyDescent="0.25">
      <c r="B93" t="s">
        <v>141</v>
      </c>
      <c r="C93" t="s">
        <v>109</v>
      </c>
      <c r="D93" s="21">
        <f>MAX('Core Loads'!C$102*Elec_exstg_kWh_per_kWh_campus+'Core Loads'!C$122*Process_exstg_kWh_per_lb_campus+'Core Loads'!C$142*Htg_exstg_kWh_per_MMBtu_campus+MAX('Core Loads'!C$162-AbsChillerLoad,0)*Clg_exstg_kWh_per_ton_campus-CogenElecOutputExstg,0)</f>
        <v>0</v>
      </c>
      <c r="E93" s="69">
        <f>MAX('Core Loads'!D$102*Elec_exstg_kWh_per_kWh_campus+'Core Loads'!D$122*Process_exstg_kWh_per_lb_campus+'Core Loads'!D$142*Htg_exstg_kWh_per_MMBtu_campus+MAX('Core Loads'!D$162-AbsChillerLoad,0)*Clg_exstg_kWh_per_ton_campus-CogenElecOutputExstg,0)</f>
        <v>0</v>
      </c>
      <c r="F93" s="21">
        <f>MAX('Core Loads'!E$102*Elec_exstg_kWh_per_kWh_campus+'Core Loads'!E$122*Process_exstg_kWh_per_lb_campus+'Core Loads'!E$142*Htg_exstg_kWh_per_MMBtu_campus+MAX('Core Loads'!E$162-AbsChillerLoad,0)*Clg_exstg_kWh_per_ton_campus-CogenElecOutputExstg,0)</f>
        <v>0</v>
      </c>
      <c r="G93" s="21">
        <f>MAX('Core Loads'!F$102*Elec_exstg_kWh_per_kWh_campus+'Core Loads'!F$122*Process_exstg_kWh_per_lb_campus+'Core Loads'!F$142*Htg_exstg_kWh_per_MMBtu_campus+MAX('Core Loads'!F$162-AbsChillerLoad,0)*Clg_exstg_kWh_per_ton_campus-CogenElecOutputExstg,0)</f>
        <v>0</v>
      </c>
      <c r="H93" s="21">
        <f>MAX('Core Loads'!G$102*Elec_exstg_kWh_per_kWh_campus+'Core Loads'!G$122*Process_exstg_kWh_per_lb_campus+'Core Loads'!G$142*Htg_exstg_kWh_per_MMBtu_campus+MAX('Core Loads'!G$162-AbsChillerLoad,0)*Clg_exstg_kWh_per_ton_campus-CogenElecOutputExstg,0)</f>
        <v>0</v>
      </c>
      <c r="I93" s="21">
        <f>MAX('Core Loads'!H$102*Elec_exstg_kWh_per_kWh_campus+'Core Loads'!H$122*Process_exstg_kWh_per_lb_campus+'Core Loads'!H$142*Htg_exstg_kWh_per_MMBtu_campus+MAX('Core Loads'!H$162-AbsChillerLoad,0)*Clg_exstg_kWh_per_ton_campus-CogenElecOutputExstg,0)</f>
        <v>0</v>
      </c>
      <c r="J93" s="21">
        <f>MAX('Core Loads'!I$102*Elec_exstg_kWh_per_kWh_campus+'Core Loads'!I$122*Process_exstg_kWh_per_lb_campus+'Core Loads'!I$142*Htg_exstg_kWh_per_MMBtu_campus+MAX('Core Loads'!I$162-AbsChillerLoad,0)*Clg_exstg_kWh_per_ton_campus-CogenElecOutputExstg,0)</f>
        <v>0</v>
      </c>
      <c r="K93" s="21">
        <f>MAX('Core Loads'!J$102*Elec_exstg_kWh_per_kWh_campus+'Core Loads'!J$122*Process_exstg_kWh_per_lb_campus+'Core Loads'!J$142*Htg_exstg_kWh_per_MMBtu_campus+MAX('Core Loads'!J$162-AbsChillerLoad,0)*Clg_exstg_kWh_per_ton_campus-CogenElecOutputExstg,0)</f>
        <v>0</v>
      </c>
      <c r="L93" s="21">
        <f>MAX('Core Loads'!K$102*Elec_exstg_kWh_per_kWh_campus+'Core Loads'!K$122*Process_exstg_kWh_per_lb_campus+'Core Loads'!K$142*Htg_exstg_kWh_per_MMBtu_campus+MAX('Core Loads'!K$162-AbsChillerLoad,0)*Clg_exstg_kWh_per_ton_campus-CogenElecOutputExstg,0)</f>
        <v>0</v>
      </c>
      <c r="M93" s="21">
        <f>MAX('Core Loads'!L$102*Elec_exstg_kWh_per_kWh_campus+'Core Loads'!L$122*Process_exstg_kWh_per_lb_campus+'Core Loads'!L$142*Htg_exstg_kWh_per_MMBtu_campus+MAX('Core Loads'!L$162-AbsChillerLoad,0)*Clg_exstg_kWh_per_ton_campus-CogenElecOutputExstg,0)</f>
        <v>0</v>
      </c>
      <c r="N93" s="21">
        <f>MAX('Core Loads'!M$102*Elec_exstg_kWh_per_kWh_campus+'Core Loads'!M$122*Process_exstg_kWh_per_lb_campus+'Core Loads'!M$142*Htg_exstg_kWh_per_MMBtu_campus+MAX('Core Loads'!M$162-AbsChillerLoad,0)*Clg_exstg_kWh_per_ton_campus-CogenElecOutputExstg,0)</f>
        <v>0</v>
      </c>
      <c r="O93" s="21">
        <f>MAX('Core Loads'!N$102*Elec_exstg_kWh_per_kWh_campus+'Core Loads'!N$122*Process_exstg_kWh_per_lb_campus+'Core Loads'!N$142*Htg_exstg_kWh_per_MMBtu_campus+MAX('Core Loads'!N$162-AbsChillerLoad,0)*Clg_exstg_kWh_per_ton_campus-CogenElecOutputExstg,0)</f>
        <v>0</v>
      </c>
      <c r="P93" s="21">
        <f>MAX('Core Loads'!O$102*Elec_exstg_kWh_per_kWh_campus+'Core Loads'!O$122*Process_exstg_kWh_per_lb_campus+'Core Loads'!O$142*Htg_exstg_kWh_per_MMBtu_campus+MAX('Core Loads'!O$162-AbsChillerLoad,0)*Clg_exstg_kWh_per_ton_campus-CogenElecOutputExstg,0)</f>
        <v>0</v>
      </c>
      <c r="Q93" s="21">
        <f>MAX('Core Loads'!P$102*Elec_exstg_kWh_per_kWh_campus+'Core Loads'!P$122*Process_exstg_kWh_per_lb_campus+'Core Loads'!P$142*Htg_exstg_kWh_per_MMBtu_campus+MAX('Core Loads'!P$162-AbsChillerLoad,0)*Clg_exstg_kWh_per_ton_campus-CogenElecOutputExstg,0)</f>
        <v>0</v>
      </c>
      <c r="R93" s="21">
        <f>MAX('Core Loads'!Q$102*Elec_exstg_kWh_per_kWh_campus+'Core Loads'!Q$122*Process_exstg_kWh_per_lb_campus+'Core Loads'!Q$142*Htg_exstg_kWh_per_MMBtu_campus+MAX('Core Loads'!Q$162-AbsChillerLoad,0)*Clg_exstg_kWh_per_ton_campus-CogenElecOutputExstg,0)</f>
        <v>0</v>
      </c>
      <c r="S93" s="21">
        <f>MAX('Core Loads'!R$102*Elec_exstg_kWh_per_kWh_campus+'Core Loads'!R$122*Process_exstg_kWh_per_lb_campus+'Core Loads'!R$142*Htg_exstg_kWh_per_MMBtu_campus+MAX('Core Loads'!R$162-AbsChillerLoad,0)*Clg_exstg_kWh_per_ton_campus-CogenElecOutputExstg,0)</f>
        <v>0</v>
      </c>
      <c r="T93" s="21">
        <f>MAX('Core Loads'!S$102*Elec_exstg_kWh_per_kWh_campus+'Core Loads'!S$122*Process_exstg_kWh_per_lb_campus+'Core Loads'!S$142*Htg_exstg_kWh_per_MMBtu_campus+MAX('Core Loads'!S$162-AbsChillerLoad,0)*Clg_exstg_kWh_per_ton_campus-CogenElecOutputExstg,0)</f>
        <v>0</v>
      </c>
      <c r="U93" s="21">
        <f>MAX('Core Loads'!T$102*Elec_exstg_kWh_per_kWh_campus+'Core Loads'!T$122*Process_exstg_kWh_per_lb_campus+'Core Loads'!T$142*Htg_exstg_kWh_per_MMBtu_campus+MAX('Core Loads'!T$162-AbsChillerLoad,0)*Clg_exstg_kWh_per_ton_campus-CogenElecOutputExstg,0)</f>
        <v>0</v>
      </c>
      <c r="V93" s="21">
        <f>MAX('Core Loads'!U$102*Elec_exstg_kWh_per_kWh_campus+'Core Loads'!U$122*Process_exstg_kWh_per_lb_campus+'Core Loads'!U$142*Htg_exstg_kWh_per_MMBtu_campus+MAX('Core Loads'!U$162-AbsChillerLoad,0)*Clg_exstg_kWh_per_ton_campus-CogenElecOutputExstg,0)</f>
        <v>0</v>
      </c>
      <c r="W93" s="21">
        <f>MAX('Core Loads'!V$102*Elec_exstg_kWh_per_kWh_campus+'Core Loads'!V$122*Process_exstg_kWh_per_lb_campus+'Core Loads'!V$142*Htg_exstg_kWh_per_MMBtu_campus+MAX('Core Loads'!V$162-AbsChillerLoad,0)*Clg_exstg_kWh_per_ton_campus-CogenElecOutputExstg,0)</f>
        <v>0</v>
      </c>
      <c r="X93" s="21">
        <f>MAX('Core Loads'!W$102*Elec_exstg_kWh_per_kWh_campus+'Core Loads'!W$122*Process_exstg_kWh_per_lb_campus+'Core Loads'!W$142*Htg_exstg_kWh_per_MMBtu_campus+MAX('Core Loads'!W$162-AbsChillerLoad,0)*Clg_exstg_kWh_per_ton_campus-CogenElecOutputExstg,0)</f>
        <v>0</v>
      </c>
      <c r="Y93" s="21">
        <f>MAX('Core Loads'!X$102*Elec_exstg_kWh_per_kWh_campus+'Core Loads'!X$122*Process_exstg_kWh_per_lb_campus+'Core Loads'!X$142*Htg_exstg_kWh_per_MMBtu_campus+MAX('Core Loads'!X$162-AbsChillerLoad,0)*Clg_exstg_kWh_per_ton_campus-CogenElecOutputExstg,0)</f>
        <v>0</v>
      </c>
      <c r="Z93" s="21">
        <f>MAX('Core Loads'!Y$102*Elec_exstg_kWh_per_kWh_campus+'Core Loads'!Y$122*Process_exstg_kWh_per_lb_campus+'Core Loads'!Y$142*Htg_exstg_kWh_per_MMBtu_campus+MAX('Core Loads'!Y$162-AbsChillerLoad,0)*Clg_exstg_kWh_per_ton_campus-CogenElecOutputExstg,0)</f>
        <v>0</v>
      </c>
      <c r="AA93" s="21">
        <f>MAX('Core Loads'!Z$102*Elec_exstg_kWh_per_kWh_campus+'Core Loads'!Z$122*Process_exstg_kWh_per_lb_campus+'Core Loads'!Z$142*Htg_exstg_kWh_per_MMBtu_campus+MAX('Core Loads'!Z$162-AbsChillerLoad,0)*Clg_exstg_kWh_per_ton_campus-CogenElecOutputExstg,0)</f>
        <v>0</v>
      </c>
      <c r="AB93" s="21">
        <f>MAX('Core Loads'!AA$102*Elec_exstg_kWh_per_kWh_campus+'Core Loads'!AA$122*Process_exstg_kWh_per_lb_campus+'Core Loads'!AA$142*Htg_exstg_kWh_per_MMBtu_campus+MAX('Core Loads'!AA$162-AbsChillerLoad,0)*Clg_exstg_kWh_per_ton_campus-CogenElecOutputExstg,0)</f>
        <v>0</v>
      </c>
      <c r="AC93" s="21">
        <f>MAX('Core Loads'!AB$102*Elec_exstg_kWh_per_kWh_campus+'Core Loads'!AB$122*Process_exstg_kWh_per_lb_campus+'Core Loads'!AB$142*Htg_exstg_kWh_per_MMBtu_campus+MAX('Core Loads'!AB$162-AbsChillerLoad,0)*Clg_exstg_kWh_per_ton_campus-CogenElecOutputExstg,0)</f>
        <v>0</v>
      </c>
      <c r="AD93" s="21">
        <f>MAX('Core Loads'!AC$102*Elec_exstg_kWh_per_kWh_campus+'Core Loads'!AC$122*Process_exstg_kWh_per_lb_campus+'Core Loads'!AC$142*Htg_exstg_kWh_per_MMBtu_campus+MAX('Core Loads'!AC$162-AbsChillerLoad,0)*Clg_exstg_kWh_per_ton_campus-CogenElecOutputExstg,0)</f>
        <v>0</v>
      </c>
      <c r="AE93" s="21">
        <f>MAX('Core Loads'!AD$102*Elec_exstg_kWh_per_kWh_campus+'Core Loads'!AD$122*Process_exstg_kWh_per_lb_campus+'Core Loads'!AD$142*Htg_exstg_kWh_per_MMBtu_campus+MAX('Core Loads'!AD$162-AbsChillerLoad,0)*Clg_exstg_kWh_per_ton_campus-CogenElecOutputExstg,0)</f>
        <v>0</v>
      </c>
      <c r="AF93" s="21">
        <f>MAX('Core Loads'!AE$102*Elec_exstg_kWh_per_kWh_campus+'Core Loads'!AE$122*Process_exstg_kWh_per_lb_campus+'Core Loads'!AE$142*Htg_exstg_kWh_per_MMBtu_campus+MAX('Core Loads'!AE$162-AbsChillerLoad,0)*Clg_exstg_kWh_per_ton_campus-CogenElecOutputExstg,0)</f>
        <v>0</v>
      </c>
      <c r="AG93" s="21">
        <f>MAX('Core Loads'!AF$102*Elec_exstg_kWh_per_kWh_campus+'Core Loads'!AF$122*Process_exstg_kWh_per_lb_campus+'Core Loads'!AF$142*Htg_exstg_kWh_per_MMBtu_campus+MAX('Core Loads'!AF$162-AbsChillerLoad,0)*Clg_exstg_kWh_per_ton_campus-CogenElecOutputExstg,0)</f>
        <v>0</v>
      </c>
      <c r="AH93"/>
      <c r="AI93" s="23" t="s">
        <v>293</v>
      </c>
    </row>
    <row r="94" spans="2:35" s="1" customFormat="1" outlineLevel="1" x14ac:dyDescent="0.25">
      <c r="B94" t="s">
        <v>136</v>
      </c>
      <c r="C94" t="s">
        <v>169</v>
      </c>
      <c r="D94" s="21">
        <f>'Core Loads'!C$122*Process_exstg_therm_per_lb_campus+'Core Loads'!C$142*Htg_exstg_therm_per_MMBtu_campus+MIN('Core Loads'!C$162,AbsChillerLoad)*Clg_exstg_therm_per_ton_campus</f>
        <v>28820560.60629487</v>
      </c>
      <c r="E94" s="69">
        <f>'Core Loads'!D$122*Process_exstg_therm_per_lb_campus+'Core Loads'!D$142*Htg_exstg_therm_per_MMBtu_campus+MIN('Core Loads'!D$162,AbsChillerLoad)*Clg_exstg_therm_per_ton_campus</f>
        <v>28820560.60629487</v>
      </c>
      <c r="F94" s="21">
        <f>'Core Loads'!E$122*Process_exstg_therm_per_lb_campus+'Core Loads'!E$142*Htg_exstg_therm_per_MMBtu_campus+MIN('Core Loads'!E$162,AbsChillerLoad)*Clg_exstg_therm_per_ton_campus</f>
        <v>28820560.60629487</v>
      </c>
      <c r="G94" s="21">
        <f>'Core Loads'!F$122*Process_exstg_therm_per_lb_campus+'Core Loads'!F$142*Htg_exstg_therm_per_MMBtu_campus+MIN('Core Loads'!F$162,AbsChillerLoad)*Clg_exstg_therm_per_ton_campus</f>
        <v>28545341.288089495</v>
      </c>
      <c r="H94" s="21">
        <f>'Core Loads'!G$122*Process_exstg_therm_per_lb_campus+'Core Loads'!G$142*Htg_exstg_therm_per_MMBtu_campus+MIN('Core Loads'!G$162,AbsChillerLoad)*Clg_exstg_therm_per_ton_campus</f>
        <v>28545341.288089495</v>
      </c>
      <c r="I94" s="21">
        <f>'Core Loads'!H$122*Process_exstg_therm_per_lb_campus+'Core Loads'!H$142*Htg_exstg_therm_per_MMBtu_campus+MIN('Core Loads'!H$162,AbsChillerLoad)*Clg_exstg_therm_per_ton_campus</f>
        <v>21374251.397505261</v>
      </c>
      <c r="J94" s="21">
        <f>'Core Loads'!I$122*Process_exstg_therm_per_lb_campus+'Core Loads'!I$142*Htg_exstg_therm_per_MMBtu_campus+MIN('Core Loads'!I$162,AbsChillerLoad)*Clg_exstg_therm_per_ton_campus</f>
        <v>21374251.397505261</v>
      </c>
      <c r="K94" s="21">
        <f>'Core Loads'!J$122*Process_exstg_therm_per_lb_campus+'Core Loads'!J$142*Htg_exstg_therm_per_MMBtu_campus+MIN('Core Loads'!J$162,AbsChillerLoad)*Clg_exstg_therm_per_ton_campus</f>
        <v>20706876.478281714</v>
      </c>
      <c r="L94" s="21">
        <f>'Core Loads'!K$122*Process_exstg_therm_per_lb_campus+'Core Loads'!K$142*Htg_exstg_therm_per_MMBtu_campus+MIN('Core Loads'!K$162,AbsChillerLoad)*Clg_exstg_therm_per_ton_campus</f>
        <v>20706876.478281714</v>
      </c>
      <c r="M94" s="21">
        <f>'Core Loads'!L$122*Process_exstg_therm_per_lb_campus+'Core Loads'!L$142*Htg_exstg_therm_per_MMBtu_campus+MIN('Core Loads'!L$162,AbsChillerLoad)*Clg_exstg_therm_per_ton_campus</f>
        <v>20396339.270965789</v>
      </c>
      <c r="N94" s="21">
        <f>'Core Loads'!M$122*Process_exstg_therm_per_lb_campus+'Core Loads'!M$142*Htg_exstg_therm_per_MMBtu_campus+MIN('Core Loads'!M$162,AbsChillerLoad)*Clg_exstg_therm_per_ton_campus</f>
        <v>16670601.866040172</v>
      </c>
      <c r="O94" s="21">
        <f>'Core Loads'!N$122*Process_exstg_therm_per_lb_campus+'Core Loads'!N$142*Htg_exstg_therm_per_MMBtu_campus+MIN('Core Loads'!N$162,AbsChillerLoad)*Clg_exstg_therm_per_ton_campus</f>
        <v>16331380.62114461</v>
      </c>
      <c r="P94" s="21">
        <f>'Core Loads'!O$122*Process_exstg_therm_per_lb_campus+'Core Loads'!O$142*Htg_exstg_therm_per_MMBtu_campus+MIN('Core Loads'!O$162,AbsChillerLoad)*Clg_exstg_therm_per_ton_campus</f>
        <v>16331380.62114461</v>
      </c>
      <c r="Q94" s="21">
        <f>'Core Loads'!P$122*Process_exstg_therm_per_lb_campus+'Core Loads'!P$142*Htg_exstg_therm_per_MMBtu_campus+MIN('Core Loads'!P$162,AbsChillerLoad)*Clg_exstg_therm_per_ton_campus</f>
        <v>16248856.769805884</v>
      </c>
      <c r="R94" s="21">
        <f>'Core Loads'!Q$122*Process_exstg_therm_per_lb_campus+'Core Loads'!Q$142*Htg_exstg_therm_per_MMBtu_campus+MIN('Core Loads'!Q$162,AbsChillerLoad)*Clg_exstg_therm_per_ton_campus</f>
        <v>0</v>
      </c>
      <c r="S94" s="21">
        <f>'Core Loads'!R$122*Process_exstg_therm_per_lb_campus+'Core Loads'!R$142*Htg_exstg_therm_per_MMBtu_campus+MIN('Core Loads'!R$162,AbsChillerLoad)*Clg_exstg_therm_per_ton_campus</f>
        <v>0</v>
      </c>
      <c r="T94" s="21">
        <f>'Core Loads'!S$122*Process_exstg_therm_per_lb_campus+'Core Loads'!S$142*Htg_exstg_therm_per_MMBtu_campus+MIN('Core Loads'!S$162,AbsChillerLoad)*Clg_exstg_therm_per_ton_campus</f>
        <v>0</v>
      </c>
      <c r="U94" s="21">
        <f>'Core Loads'!T$122*Process_exstg_therm_per_lb_campus+'Core Loads'!T$142*Htg_exstg_therm_per_MMBtu_campus+MIN('Core Loads'!T$162,AbsChillerLoad)*Clg_exstg_therm_per_ton_campus</f>
        <v>0</v>
      </c>
      <c r="V94" s="21">
        <f>'Core Loads'!U$122*Process_exstg_therm_per_lb_campus+'Core Loads'!U$142*Htg_exstg_therm_per_MMBtu_campus+MIN('Core Loads'!U$162,AbsChillerLoad)*Clg_exstg_therm_per_ton_campus</f>
        <v>0</v>
      </c>
      <c r="W94" s="21">
        <f>'Core Loads'!V$122*Process_exstg_therm_per_lb_campus+'Core Loads'!V$142*Htg_exstg_therm_per_MMBtu_campus+MIN('Core Loads'!V$162,AbsChillerLoad)*Clg_exstg_therm_per_ton_campus</f>
        <v>0</v>
      </c>
      <c r="X94" s="21">
        <f>'Core Loads'!W$122*Process_exstg_therm_per_lb_campus+'Core Loads'!W$142*Htg_exstg_therm_per_MMBtu_campus+MIN('Core Loads'!W$162,AbsChillerLoad)*Clg_exstg_therm_per_ton_campus</f>
        <v>0</v>
      </c>
      <c r="Y94" s="21">
        <f>'Core Loads'!X$122*Process_exstg_therm_per_lb_campus+'Core Loads'!X$142*Htg_exstg_therm_per_MMBtu_campus+MIN('Core Loads'!X$162,AbsChillerLoad)*Clg_exstg_therm_per_ton_campus</f>
        <v>0</v>
      </c>
      <c r="Z94" s="21">
        <f>'Core Loads'!Y$122*Process_exstg_therm_per_lb_campus+'Core Loads'!Y$142*Htg_exstg_therm_per_MMBtu_campus+MIN('Core Loads'!Y$162,AbsChillerLoad)*Clg_exstg_therm_per_ton_campus</f>
        <v>0</v>
      </c>
      <c r="AA94" s="21">
        <f>'Core Loads'!Z$122*Process_exstg_therm_per_lb_campus+'Core Loads'!Z$142*Htg_exstg_therm_per_MMBtu_campus+MIN('Core Loads'!Z$162,AbsChillerLoad)*Clg_exstg_therm_per_ton_campus</f>
        <v>0</v>
      </c>
      <c r="AB94" s="21">
        <f>'Core Loads'!AA$122*Process_exstg_therm_per_lb_campus+'Core Loads'!AA$142*Htg_exstg_therm_per_MMBtu_campus+MIN('Core Loads'!AA$162,AbsChillerLoad)*Clg_exstg_therm_per_ton_campus</f>
        <v>0</v>
      </c>
      <c r="AC94" s="21">
        <f>'Core Loads'!AB$122*Process_exstg_therm_per_lb_campus+'Core Loads'!AB$142*Htg_exstg_therm_per_MMBtu_campus+MIN('Core Loads'!AB$162,AbsChillerLoad)*Clg_exstg_therm_per_ton_campus</f>
        <v>0</v>
      </c>
      <c r="AD94" s="21">
        <f>'Core Loads'!AC$122*Process_exstg_therm_per_lb_campus+'Core Loads'!AC$142*Htg_exstg_therm_per_MMBtu_campus+MIN('Core Loads'!AC$162,AbsChillerLoad)*Clg_exstg_therm_per_ton_campus</f>
        <v>0</v>
      </c>
      <c r="AE94" s="21">
        <f>'Core Loads'!AD$122*Process_exstg_therm_per_lb_campus+'Core Loads'!AD$142*Htg_exstg_therm_per_MMBtu_campus+MIN('Core Loads'!AD$162,AbsChillerLoad)*Clg_exstg_therm_per_ton_campus</f>
        <v>0</v>
      </c>
      <c r="AF94" s="21">
        <f>'Core Loads'!AE$122*Process_exstg_therm_per_lb_campus+'Core Loads'!AE$142*Htg_exstg_therm_per_MMBtu_campus+MIN('Core Loads'!AE$162,AbsChillerLoad)*Clg_exstg_therm_per_ton_campus</f>
        <v>0</v>
      </c>
      <c r="AG94" s="21">
        <f>'Core Loads'!AF$122*Process_exstg_therm_per_lb_campus+'Core Loads'!AF$142*Htg_exstg_therm_per_MMBtu_campus+MIN('Core Loads'!AF$162,AbsChillerLoad)*Clg_exstg_therm_per_ton_campus</f>
        <v>0</v>
      </c>
      <c r="AH94"/>
      <c r="AI94" s="23" t="s">
        <v>293</v>
      </c>
    </row>
    <row r="95" spans="2:35" s="1" customFormat="1" outlineLevel="1" x14ac:dyDescent="0.25">
      <c r="B95" t="s">
        <v>154</v>
      </c>
      <c r="C95" t="s">
        <v>170</v>
      </c>
      <c r="D95" s="21">
        <f>'Core Loads'!C$122*Process_exstg_CCF_per_lb_campus+'Core Loads'!C$142*Htg_exstg_CCF_per_MMBtu_campus+'Core Loads'!C$162*Clg_exstg_CCF_per_ton_campus</f>
        <v>248660.27462218847</v>
      </c>
      <c r="E95" s="69">
        <f>'Core Loads'!D$122*Process_exstg_CCF_per_lb_campus+'Core Loads'!D$142*Htg_exstg_CCF_per_MMBtu_campus+'Core Loads'!D$162*Clg_exstg_CCF_per_ton_campus</f>
        <v>267428.09854582173</v>
      </c>
      <c r="F95" s="21">
        <f>'Core Loads'!E$122*Process_exstg_CCF_per_lb_campus+'Core Loads'!E$142*Htg_exstg_CCF_per_MMBtu_campus+'Core Loads'!E$162*Clg_exstg_CCF_per_ton_campus</f>
        <v>267428.09854582173</v>
      </c>
      <c r="G95" s="21">
        <f>'Core Loads'!F$122*Process_exstg_CCF_per_lb_campus+'Core Loads'!F$142*Htg_exstg_CCF_per_MMBtu_campus+'Core Loads'!F$162*Clg_exstg_CCF_per_ton_campus</f>
        <v>287568.1842294758</v>
      </c>
      <c r="H95" s="21">
        <f>'Core Loads'!G$122*Process_exstg_CCF_per_lb_campus+'Core Loads'!G$142*Htg_exstg_CCF_per_MMBtu_campus+'Core Loads'!G$162*Clg_exstg_CCF_per_ton_campus</f>
        <v>287568.1842294758</v>
      </c>
      <c r="I95" s="21">
        <f>'Core Loads'!H$122*Process_exstg_CCF_per_lb_campus+'Core Loads'!H$142*Htg_exstg_CCF_per_MMBtu_campus+'Core Loads'!H$162*Clg_exstg_CCF_per_ton_campus</f>
        <v>219650.48006682508</v>
      </c>
      <c r="J95" s="21">
        <f>'Core Loads'!I$122*Process_exstg_CCF_per_lb_campus+'Core Loads'!I$142*Htg_exstg_CCF_per_MMBtu_campus+'Core Loads'!I$162*Clg_exstg_CCF_per_ton_campus</f>
        <v>219650.48006682508</v>
      </c>
      <c r="K95" s="21">
        <f>'Core Loads'!J$122*Process_exstg_CCF_per_lb_campus+'Core Loads'!J$142*Htg_exstg_CCF_per_MMBtu_campus+'Core Loads'!J$162*Clg_exstg_CCF_per_ton_campus</f>
        <v>211497.25937933</v>
      </c>
      <c r="L95" s="21">
        <f>'Core Loads'!K$122*Process_exstg_CCF_per_lb_campus+'Core Loads'!K$142*Htg_exstg_CCF_per_MMBtu_campus+'Core Loads'!K$162*Clg_exstg_CCF_per_ton_campus</f>
        <v>211497.25937933</v>
      </c>
      <c r="M95" s="21">
        <f>'Core Loads'!L$122*Process_exstg_CCF_per_lb_campus+'Core Loads'!L$142*Htg_exstg_CCF_per_MMBtu_campus+'Core Loads'!L$162*Clg_exstg_CCF_per_ton_campus</f>
        <v>208869.49718082632</v>
      </c>
      <c r="N95" s="21">
        <f>'Core Loads'!M$122*Process_exstg_CCF_per_lb_campus+'Core Loads'!M$142*Htg_exstg_CCF_per_MMBtu_campus+'Core Loads'!M$162*Clg_exstg_CCF_per_ton_campus</f>
        <v>139746.11848021299</v>
      </c>
      <c r="O95" s="21">
        <f>'Core Loads'!N$122*Process_exstg_CCF_per_lb_campus+'Core Loads'!N$142*Htg_exstg_CCF_per_MMBtu_campus+'Core Loads'!N$162*Clg_exstg_CCF_per_ton_campus</f>
        <v>136609.50905570804</v>
      </c>
      <c r="P95" s="21">
        <f>'Core Loads'!O$122*Process_exstg_CCF_per_lb_campus+'Core Loads'!O$142*Htg_exstg_CCF_per_MMBtu_campus+'Core Loads'!O$162*Clg_exstg_CCF_per_ton_campus</f>
        <v>136609.50905570804</v>
      </c>
      <c r="Q95" s="21">
        <f>'Core Loads'!P$122*Process_exstg_CCF_per_lb_campus+'Core Loads'!P$142*Htg_exstg_CCF_per_MMBtu_campus+'Core Loads'!P$162*Clg_exstg_CCF_per_ton_campus</f>
        <v>135907.33166882879</v>
      </c>
      <c r="R95" s="21">
        <f>'Core Loads'!Q$122*Process_exstg_CCF_per_lb_campus+'Core Loads'!Q$142*Htg_exstg_CCF_per_MMBtu_campus+'Core Loads'!Q$162*Clg_exstg_CCF_per_ton_campus</f>
        <v>0</v>
      </c>
      <c r="S95" s="21">
        <f>'Core Loads'!R$122*Process_exstg_CCF_per_lb_campus+'Core Loads'!R$142*Htg_exstg_CCF_per_MMBtu_campus+'Core Loads'!R$162*Clg_exstg_CCF_per_ton_campus</f>
        <v>0</v>
      </c>
      <c r="T95" s="21">
        <f>'Core Loads'!S$122*Process_exstg_CCF_per_lb_campus+'Core Loads'!S$142*Htg_exstg_CCF_per_MMBtu_campus+'Core Loads'!S$162*Clg_exstg_CCF_per_ton_campus</f>
        <v>0</v>
      </c>
      <c r="U95" s="21">
        <f>'Core Loads'!T$122*Process_exstg_CCF_per_lb_campus+'Core Loads'!T$142*Htg_exstg_CCF_per_MMBtu_campus+'Core Loads'!T$162*Clg_exstg_CCF_per_ton_campus</f>
        <v>0</v>
      </c>
      <c r="V95" s="21">
        <f>'Core Loads'!U$122*Process_exstg_CCF_per_lb_campus+'Core Loads'!U$142*Htg_exstg_CCF_per_MMBtu_campus+'Core Loads'!U$162*Clg_exstg_CCF_per_ton_campus</f>
        <v>0</v>
      </c>
      <c r="W95" s="21">
        <f>'Core Loads'!V$122*Process_exstg_CCF_per_lb_campus+'Core Loads'!V$142*Htg_exstg_CCF_per_MMBtu_campus+'Core Loads'!V$162*Clg_exstg_CCF_per_ton_campus</f>
        <v>0</v>
      </c>
      <c r="X95" s="21">
        <f>'Core Loads'!W$122*Process_exstg_CCF_per_lb_campus+'Core Loads'!W$142*Htg_exstg_CCF_per_MMBtu_campus+'Core Loads'!W$162*Clg_exstg_CCF_per_ton_campus</f>
        <v>0</v>
      </c>
      <c r="Y95" s="21">
        <f>'Core Loads'!X$122*Process_exstg_CCF_per_lb_campus+'Core Loads'!X$142*Htg_exstg_CCF_per_MMBtu_campus+'Core Loads'!X$162*Clg_exstg_CCF_per_ton_campus</f>
        <v>0</v>
      </c>
      <c r="Z95" s="21">
        <f>'Core Loads'!Y$122*Process_exstg_CCF_per_lb_campus+'Core Loads'!Y$142*Htg_exstg_CCF_per_MMBtu_campus+'Core Loads'!Y$162*Clg_exstg_CCF_per_ton_campus</f>
        <v>0</v>
      </c>
      <c r="AA95" s="21">
        <f>'Core Loads'!Z$122*Process_exstg_CCF_per_lb_campus+'Core Loads'!Z$142*Htg_exstg_CCF_per_MMBtu_campus+'Core Loads'!Z$162*Clg_exstg_CCF_per_ton_campus</f>
        <v>0</v>
      </c>
      <c r="AB95" s="21">
        <f>'Core Loads'!AA$122*Process_exstg_CCF_per_lb_campus+'Core Loads'!AA$142*Htg_exstg_CCF_per_MMBtu_campus+'Core Loads'!AA$162*Clg_exstg_CCF_per_ton_campus</f>
        <v>0</v>
      </c>
      <c r="AC95" s="21">
        <f>'Core Loads'!AB$122*Process_exstg_CCF_per_lb_campus+'Core Loads'!AB$142*Htg_exstg_CCF_per_MMBtu_campus+'Core Loads'!AB$162*Clg_exstg_CCF_per_ton_campus</f>
        <v>0</v>
      </c>
      <c r="AD95" s="21">
        <f>'Core Loads'!AC$122*Process_exstg_CCF_per_lb_campus+'Core Loads'!AC$142*Htg_exstg_CCF_per_MMBtu_campus+'Core Loads'!AC$162*Clg_exstg_CCF_per_ton_campus</f>
        <v>0</v>
      </c>
      <c r="AE95" s="21">
        <f>'Core Loads'!AD$122*Process_exstg_CCF_per_lb_campus+'Core Loads'!AD$142*Htg_exstg_CCF_per_MMBtu_campus+'Core Loads'!AD$162*Clg_exstg_CCF_per_ton_campus</f>
        <v>0</v>
      </c>
      <c r="AF95" s="21">
        <f>'Core Loads'!AE$122*Process_exstg_CCF_per_lb_campus+'Core Loads'!AE$142*Htg_exstg_CCF_per_MMBtu_campus+'Core Loads'!AE$162*Clg_exstg_CCF_per_ton_campus</f>
        <v>0</v>
      </c>
      <c r="AG95" s="21">
        <f>'Core Loads'!AF$122*Process_exstg_CCF_per_lb_campus+'Core Loads'!AF$142*Htg_exstg_CCF_per_MMBtu_campus+'Core Loads'!AF$162*Clg_exstg_CCF_per_ton_campus</f>
        <v>0</v>
      </c>
      <c r="AH95"/>
      <c r="AI95" s="23" t="s">
        <v>293</v>
      </c>
    </row>
    <row r="96" spans="2:35" outlineLevel="1" x14ac:dyDescent="0.25"/>
    <row r="97" spans="2:35" s="1" customFormat="1" ht="17.25" outlineLevel="1" thickBot="1" x14ac:dyDescent="0.3">
      <c r="B97" s="19" t="s">
        <v>280</v>
      </c>
      <c r="C97" s="19"/>
      <c r="D97" s="19"/>
      <c r="E97" s="67"/>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row>
    <row r="98" spans="2:35" s="1" customFormat="1" ht="16.5" outlineLevel="1" thickTop="1" thickBot="1" x14ac:dyDescent="0.3">
      <c r="B98" s="20" t="s">
        <v>292</v>
      </c>
      <c r="C98" s="20" t="s">
        <v>13</v>
      </c>
      <c r="D98" s="20" t="s">
        <v>17</v>
      </c>
      <c r="E98" s="68"/>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t="s">
        <v>15</v>
      </c>
    </row>
    <row r="99" spans="2:35" outlineLevel="1" x14ac:dyDescent="0.25">
      <c r="D99" s="8">
        <f>'Core Loads'!$C$14</f>
        <v>2025</v>
      </c>
      <c r="E99" s="62">
        <f>'Core Loads'!$D$14</f>
        <v>2026</v>
      </c>
      <c r="F99" s="8">
        <f>'Core Loads'!$E$14</f>
        <v>2027</v>
      </c>
      <c r="G99" s="8">
        <f>'Core Loads'!$F$14</f>
        <v>2028</v>
      </c>
      <c r="H99" s="8">
        <f>'Core Loads'!$G$14</f>
        <v>2029</v>
      </c>
      <c r="I99" s="8">
        <f>'Core Loads'!$H$14</f>
        <v>2030</v>
      </c>
      <c r="J99" s="8">
        <f>'Core Loads'!$I$14</f>
        <v>2031</v>
      </c>
      <c r="K99" s="8">
        <f>'Core Loads'!$J$14</f>
        <v>2032</v>
      </c>
      <c r="L99" s="8">
        <f>'Core Loads'!$K$14</f>
        <v>2033</v>
      </c>
      <c r="M99" s="8">
        <f>'Core Loads'!$L$14</f>
        <v>2034</v>
      </c>
      <c r="N99" s="8">
        <f>'Core Loads'!$M$14</f>
        <v>2035</v>
      </c>
      <c r="O99" s="8">
        <f>'Core Loads'!$N$14</f>
        <v>2036</v>
      </c>
      <c r="P99" s="8">
        <f>'Core Loads'!$O$14</f>
        <v>2037</v>
      </c>
      <c r="Q99" s="8">
        <f>'Core Loads'!$P$14</f>
        <v>2038</v>
      </c>
      <c r="R99" s="8">
        <f>'Core Loads'!$Q$14</f>
        <v>2039</v>
      </c>
      <c r="S99" s="8">
        <f>'Core Loads'!$R$14</f>
        <v>2040</v>
      </c>
      <c r="T99" s="8">
        <f>'Core Loads'!$S$14</f>
        <v>2041</v>
      </c>
      <c r="U99" s="8">
        <f>'Core Loads'!$T$14</f>
        <v>2042</v>
      </c>
      <c r="V99" s="8">
        <f>'Core Loads'!$U$14</f>
        <v>2043</v>
      </c>
      <c r="W99" s="8">
        <f>'Core Loads'!$V$14</f>
        <v>2044</v>
      </c>
      <c r="X99" s="8">
        <f>'Core Loads'!$W$14</f>
        <v>2045</v>
      </c>
      <c r="Y99" s="8">
        <f>'Core Loads'!$X$14</f>
        <v>2046</v>
      </c>
      <c r="Z99" s="8">
        <f>'Core Loads'!$Y$14</f>
        <v>2047</v>
      </c>
      <c r="AA99" s="8">
        <f>'Core Loads'!$Z$14</f>
        <v>2048</v>
      </c>
      <c r="AB99" s="8">
        <f>'Core Loads'!$AA$14</f>
        <v>2049</v>
      </c>
      <c r="AC99" s="8">
        <f>'Core Loads'!$AB$14</f>
        <v>2050</v>
      </c>
      <c r="AD99" s="8">
        <f>'Core Loads'!$AC$14</f>
        <v>2051</v>
      </c>
      <c r="AE99" s="8">
        <f>'Core Loads'!$AD$14</f>
        <v>2052</v>
      </c>
      <c r="AF99" s="8">
        <f>'Core Loads'!$AE$14</f>
        <v>2053</v>
      </c>
      <c r="AG99" s="8">
        <f>'Core Loads'!$AF$14</f>
        <v>2054</v>
      </c>
    </row>
    <row r="100" spans="2:35" s="1" customFormat="1" outlineLevel="1" x14ac:dyDescent="0.25">
      <c r="B100" t="s">
        <v>141</v>
      </c>
      <c r="C100" t="s">
        <v>109</v>
      </c>
      <c r="D100" s="21">
        <f>SUM(D101:D105)</f>
        <v>30759933.538222048</v>
      </c>
      <c r="E100" s="69">
        <f t="shared" ref="E100:AG100" si="6">SUM(E101:E105)</f>
        <v>30759933.538222048</v>
      </c>
      <c r="F100" s="21">
        <f t="shared" si="6"/>
        <v>30759933.538222048</v>
      </c>
      <c r="G100" s="21">
        <f t="shared" si="6"/>
        <v>29646735.000699997</v>
      </c>
      <c r="H100" s="21">
        <f t="shared" si="6"/>
        <v>29646735.000699997</v>
      </c>
      <c r="I100" s="21">
        <f t="shared" si="6"/>
        <v>106387961.58038113</v>
      </c>
      <c r="J100" s="21">
        <f t="shared" si="6"/>
        <v>106387961.58038113</v>
      </c>
      <c r="K100" s="21">
        <f t="shared" si="6"/>
        <v>102094360.53733748</v>
      </c>
      <c r="L100" s="21">
        <f t="shared" si="6"/>
        <v>102094360.53733748</v>
      </c>
      <c r="M100" s="21">
        <f t="shared" si="6"/>
        <v>102689691.88932908</v>
      </c>
      <c r="N100" s="21">
        <f t="shared" si="6"/>
        <v>166606299.67795473</v>
      </c>
      <c r="O100" s="21">
        <f t="shared" si="6"/>
        <v>165942244.04951635</v>
      </c>
      <c r="P100" s="21">
        <f t="shared" si="6"/>
        <v>165942244.04951635</v>
      </c>
      <c r="Q100" s="21">
        <f t="shared" si="6"/>
        <v>165794496.71247479</v>
      </c>
      <c r="R100" s="21">
        <f t="shared" si="6"/>
        <v>260074297.75379011</v>
      </c>
      <c r="S100" s="21">
        <f t="shared" si="6"/>
        <v>303633784.12180173</v>
      </c>
      <c r="T100" s="21">
        <f t="shared" si="6"/>
        <v>303633784.12180173</v>
      </c>
      <c r="U100" s="21">
        <f t="shared" si="6"/>
        <v>303390755.77581608</v>
      </c>
      <c r="V100" s="21">
        <f t="shared" si="6"/>
        <v>303390755.77581608</v>
      </c>
      <c r="W100" s="21">
        <f t="shared" si="6"/>
        <v>302681496.42961389</v>
      </c>
      <c r="X100" s="21">
        <f t="shared" si="6"/>
        <v>302681496.42961389</v>
      </c>
      <c r="Y100" s="21">
        <f t="shared" si="6"/>
        <v>302681496.42961389</v>
      </c>
      <c r="Z100" s="21">
        <f t="shared" si="6"/>
        <v>302681496.42961389</v>
      </c>
      <c r="AA100" s="21">
        <f t="shared" si="6"/>
        <v>302681496.42961389</v>
      </c>
      <c r="AB100" s="21">
        <f t="shared" si="6"/>
        <v>302681496.42961389</v>
      </c>
      <c r="AC100" s="21">
        <f t="shared" si="6"/>
        <v>301848063.43947595</v>
      </c>
      <c r="AD100" s="21">
        <f t="shared" si="6"/>
        <v>301848063.43947595</v>
      </c>
      <c r="AE100" s="21">
        <f t="shared" si="6"/>
        <v>301848063.43947595</v>
      </c>
      <c r="AF100" s="21">
        <f t="shared" si="6"/>
        <v>301848063.43947595</v>
      </c>
      <c r="AG100" s="21">
        <f t="shared" si="6"/>
        <v>301848063.43947595</v>
      </c>
      <c r="AH100"/>
      <c r="AI100" s="23" t="s">
        <v>295</v>
      </c>
    </row>
    <row r="101" spans="2:35" s="1" customFormat="1" outlineLevel="1" x14ac:dyDescent="0.25">
      <c r="C101" s="31" t="s">
        <v>144</v>
      </c>
      <c r="D101" s="21">
        <f>'Core Loads'!C$106*Elec_1C_kWh_per_kWh_biosciences+'Core Loads'!C$126*Process_1C_kWh_per_lb_biosciences+'Core Loads'!C$146*Htg_1C_kWh_per_MMBtu_biosciences+'Core Loads'!C$166*Clg_1C_kWh_per_ton_biosciences</f>
        <v>30759933.538222048</v>
      </c>
      <c r="E101" s="69">
        <f>'Core Loads'!D$106*Elec_1C_kWh_per_kWh_biosciences+'Core Loads'!D$126*Process_1C_kWh_per_lb_biosciences+'Core Loads'!D$146*Htg_1C_kWh_per_MMBtu_biosciences+'Core Loads'!D$166*Clg_1C_kWh_per_ton_biosciences</f>
        <v>30759933.538222048</v>
      </c>
      <c r="F101" s="21">
        <f>'Core Loads'!E$106*Elec_1C_kWh_per_kWh_biosciences+'Core Loads'!E$126*Process_1C_kWh_per_lb_biosciences+'Core Loads'!E$146*Htg_1C_kWh_per_MMBtu_biosciences+'Core Loads'!E$166*Clg_1C_kWh_per_ton_biosciences</f>
        <v>30759933.538222048</v>
      </c>
      <c r="G101" s="21">
        <f>'Core Loads'!F$106*Elec_1C_kWh_per_kWh_biosciences+'Core Loads'!F$126*Process_1C_kWh_per_lb_biosciences+'Core Loads'!F$146*Htg_1C_kWh_per_MMBtu_biosciences+'Core Loads'!F$166*Clg_1C_kWh_per_ton_biosciences</f>
        <v>29646735.000699997</v>
      </c>
      <c r="H101" s="21">
        <f>'Core Loads'!G$106*Elec_1C_kWh_per_kWh_biosciences+'Core Loads'!G$126*Process_1C_kWh_per_lb_biosciences+'Core Loads'!G$146*Htg_1C_kWh_per_MMBtu_biosciences+'Core Loads'!G$166*Clg_1C_kWh_per_ton_biosciences</f>
        <v>29646735.000699997</v>
      </c>
      <c r="I101" s="21">
        <f>'Core Loads'!H$106*Elec_1C_kWh_per_kWh_biosciences+'Core Loads'!H$126*Process_1C_kWh_per_lb_biosciences+'Core Loads'!H$146*Htg_1C_kWh_per_MMBtu_biosciences+'Core Loads'!H$166*Clg_1C_kWh_per_ton_biosciences</f>
        <v>64227731.704319701</v>
      </c>
      <c r="J101" s="21">
        <f>'Core Loads'!I$106*Elec_1C_kWh_per_kWh_biosciences+'Core Loads'!I$126*Process_1C_kWh_per_lb_biosciences+'Core Loads'!I$146*Htg_1C_kWh_per_MMBtu_biosciences+'Core Loads'!I$166*Clg_1C_kWh_per_ton_biosciences</f>
        <v>64227731.704319701</v>
      </c>
      <c r="K101" s="21">
        <f>'Core Loads'!J$106*Elec_1C_kWh_per_kWh_biosciences+'Core Loads'!J$126*Process_1C_kWh_per_lb_biosciences+'Core Loads'!J$146*Htg_1C_kWh_per_MMBtu_biosciences+'Core Loads'!J$166*Clg_1C_kWh_per_ton_biosciences</f>
        <v>63577881.151639469</v>
      </c>
      <c r="L101" s="21">
        <f>'Core Loads'!K$106*Elec_1C_kWh_per_kWh_biosciences+'Core Loads'!K$126*Process_1C_kWh_per_lb_biosciences+'Core Loads'!K$146*Htg_1C_kWh_per_MMBtu_biosciences+'Core Loads'!K$166*Clg_1C_kWh_per_ton_biosciences</f>
        <v>63577881.151639469</v>
      </c>
      <c r="M101" s="21">
        <f>'Core Loads'!L$106*Elec_1C_kWh_per_kWh_biosciences+'Core Loads'!L$126*Process_1C_kWh_per_lb_biosciences+'Core Loads'!L$146*Htg_1C_kWh_per_MMBtu_biosciences+'Core Loads'!L$166*Clg_1C_kWh_per_ton_biosciences</f>
        <v>64173212.503631055</v>
      </c>
      <c r="N101" s="21">
        <f>'Core Loads'!M$106*Elec_1C_kWh_per_kWh_biosciences+'Core Loads'!M$126*Process_1C_kWh_per_lb_biosciences+'Core Loads'!M$146*Htg_1C_kWh_per_MMBtu_biosciences+'Core Loads'!M$166*Clg_1C_kWh_per_ton_biosciences</f>
        <v>64173212.503631055</v>
      </c>
      <c r="O101" s="21">
        <f>'Core Loads'!N$106*Elec_1C_kWh_per_kWh_biosciences+'Core Loads'!N$126*Process_1C_kWh_per_lb_biosciences+'Core Loads'!N$146*Htg_1C_kWh_per_MMBtu_biosciences+'Core Loads'!N$166*Clg_1C_kWh_per_ton_biosciences</f>
        <v>64173212.503631055</v>
      </c>
      <c r="P101" s="21">
        <f>'Core Loads'!O$106*Elec_1C_kWh_per_kWh_biosciences+'Core Loads'!O$126*Process_1C_kWh_per_lb_biosciences+'Core Loads'!O$146*Htg_1C_kWh_per_MMBtu_biosciences+'Core Loads'!O$166*Clg_1C_kWh_per_ton_biosciences</f>
        <v>64173212.503631055</v>
      </c>
      <c r="Q101" s="21">
        <f>'Core Loads'!P$106*Elec_1C_kWh_per_kWh_biosciences+'Core Loads'!P$126*Process_1C_kWh_per_lb_biosciences+'Core Loads'!P$146*Htg_1C_kWh_per_MMBtu_biosciences+'Core Loads'!P$166*Clg_1C_kWh_per_ton_biosciences</f>
        <v>64173212.503631055</v>
      </c>
      <c r="R101" s="21">
        <f>'Core Loads'!Q$106*Elec_1C_kWh_per_kWh_biosciences+'Core Loads'!Q$126*Process_1C_kWh_per_lb_biosciences+'Core Loads'!Q$146*Htg_1C_kWh_per_MMBtu_biosciences+'Core Loads'!Q$166*Clg_1C_kWh_per_ton_biosciences</f>
        <v>98096646.361740798</v>
      </c>
      <c r="S101" s="21">
        <f>'Core Loads'!R$106*Elec_1C_kWh_per_kWh_biosciences+'Core Loads'!R$126*Process_1C_kWh_per_lb_biosciences+'Core Loads'!R$146*Htg_1C_kWh_per_MMBtu_biosciences+'Core Loads'!R$166*Clg_1C_kWh_per_ton_biosciences</f>
        <v>98096646.361740798</v>
      </c>
      <c r="T101" s="21">
        <f>'Core Loads'!S$106*Elec_1C_kWh_per_kWh_biosciences+'Core Loads'!S$126*Process_1C_kWh_per_lb_biosciences+'Core Loads'!S$146*Htg_1C_kWh_per_MMBtu_biosciences+'Core Loads'!S$166*Clg_1C_kWh_per_ton_biosciences</f>
        <v>98096646.361740798</v>
      </c>
      <c r="U101" s="21">
        <f>'Core Loads'!T$106*Elec_1C_kWh_per_kWh_biosciences+'Core Loads'!T$126*Process_1C_kWh_per_lb_biosciences+'Core Loads'!T$146*Htg_1C_kWh_per_MMBtu_biosciences+'Core Loads'!T$166*Clg_1C_kWh_per_ton_biosciences</f>
        <v>98096646.361740798</v>
      </c>
      <c r="V101" s="21">
        <f>'Core Loads'!U$106*Elec_1C_kWh_per_kWh_biosciences+'Core Loads'!U$126*Process_1C_kWh_per_lb_biosciences+'Core Loads'!U$146*Htg_1C_kWh_per_MMBtu_biosciences+'Core Loads'!U$166*Clg_1C_kWh_per_ton_biosciences</f>
        <v>98096646.361740798</v>
      </c>
      <c r="W101" s="21">
        <f>'Core Loads'!V$106*Elec_1C_kWh_per_kWh_biosciences+'Core Loads'!V$126*Process_1C_kWh_per_lb_biosciences+'Core Loads'!V$146*Htg_1C_kWh_per_MMBtu_biosciences+'Core Loads'!V$166*Clg_1C_kWh_per_ton_biosciences</f>
        <v>98096646.361740798</v>
      </c>
      <c r="X101" s="21">
        <f>'Core Loads'!W$106*Elec_1C_kWh_per_kWh_biosciences+'Core Loads'!W$126*Process_1C_kWh_per_lb_biosciences+'Core Loads'!W$146*Htg_1C_kWh_per_MMBtu_biosciences+'Core Loads'!W$166*Clg_1C_kWh_per_ton_biosciences</f>
        <v>98096646.361740798</v>
      </c>
      <c r="Y101" s="21">
        <f>'Core Loads'!X$106*Elec_1C_kWh_per_kWh_biosciences+'Core Loads'!X$126*Process_1C_kWh_per_lb_biosciences+'Core Loads'!X$146*Htg_1C_kWh_per_MMBtu_biosciences+'Core Loads'!X$166*Clg_1C_kWh_per_ton_biosciences</f>
        <v>98096646.361740798</v>
      </c>
      <c r="Z101" s="21">
        <f>'Core Loads'!Y$106*Elec_1C_kWh_per_kWh_biosciences+'Core Loads'!Y$126*Process_1C_kWh_per_lb_biosciences+'Core Loads'!Y$146*Htg_1C_kWh_per_MMBtu_biosciences+'Core Loads'!Y$166*Clg_1C_kWh_per_ton_biosciences</f>
        <v>98096646.361740798</v>
      </c>
      <c r="AA101" s="21">
        <f>'Core Loads'!Z$106*Elec_1C_kWh_per_kWh_biosciences+'Core Loads'!Z$126*Process_1C_kWh_per_lb_biosciences+'Core Loads'!Z$146*Htg_1C_kWh_per_MMBtu_biosciences+'Core Loads'!Z$166*Clg_1C_kWh_per_ton_biosciences</f>
        <v>98096646.361740798</v>
      </c>
      <c r="AB101" s="21">
        <f>'Core Loads'!AA$106*Elec_1C_kWh_per_kWh_biosciences+'Core Loads'!AA$126*Process_1C_kWh_per_lb_biosciences+'Core Loads'!AA$146*Htg_1C_kWh_per_MMBtu_biosciences+'Core Loads'!AA$166*Clg_1C_kWh_per_ton_biosciences</f>
        <v>98096646.361740798</v>
      </c>
      <c r="AC101" s="21">
        <f>'Core Loads'!AB$106*Elec_1C_kWh_per_kWh_biosciences+'Core Loads'!AB$126*Process_1C_kWh_per_lb_biosciences+'Core Loads'!AB$146*Htg_1C_kWh_per_MMBtu_biosciences+'Core Loads'!AB$166*Clg_1C_kWh_per_ton_biosciences</f>
        <v>98096646.361740798</v>
      </c>
      <c r="AD101" s="21">
        <f>'Core Loads'!AC$106*Elec_1C_kWh_per_kWh_biosciences+'Core Loads'!AC$126*Process_1C_kWh_per_lb_biosciences+'Core Loads'!AC$146*Htg_1C_kWh_per_MMBtu_biosciences+'Core Loads'!AC$166*Clg_1C_kWh_per_ton_biosciences</f>
        <v>98096646.361740798</v>
      </c>
      <c r="AE101" s="21">
        <f>'Core Loads'!AD$106*Elec_1C_kWh_per_kWh_biosciences+'Core Loads'!AD$126*Process_1C_kWh_per_lb_biosciences+'Core Loads'!AD$146*Htg_1C_kWh_per_MMBtu_biosciences+'Core Loads'!AD$166*Clg_1C_kWh_per_ton_biosciences</f>
        <v>98096646.361740798</v>
      </c>
      <c r="AF101" s="21">
        <f>'Core Loads'!AE$106*Elec_1C_kWh_per_kWh_biosciences+'Core Loads'!AE$126*Process_1C_kWh_per_lb_biosciences+'Core Loads'!AE$146*Htg_1C_kWh_per_MMBtu_biosciences+'Core Loads'!AE$166*Clg_1C_kWh_per_ton_biosciences</f>
        <v>98096646.361740798</v>
      </c>
      <c r="AG101" s="21">
        <f>'Core Loads'!AF$106*Elec_1C_kWh_per_kWh_biosciences+'Core Loads'!AF$126*Process_1C_kWh_per_lb_biosciences+'Core Loads'!AF$146*Htg_1C_kWh_per_MMBtu_biosciences+'Core Loads'!AF$166*Clg_1C_kWh_per_ton_biosciences</f>
        <v>98096646.361740798</v>
      </c>
      <c r="AH101"/>
      <c r="AI101" s="23" t="s">
        <v>293</v>
      </c>
    </row>
    <row r="102" spans="2:35" s="1" customFormat="1" outlineLevel="1" x14ac:dyDescent="0.25">
      <c r="C102" s="31" t="s">
        <v>145</v>
      </c>
      <c r="D102" s="21">
        <f>'Core Loads'!C$107*Elec_1C_kWh_per_kWh_businessAndLaw+'Core Loads'!C$127*Process_1C_kWh_per_lb_businessAndLaw+'Core Loads'!C$147*Htg_1C_kWh_per_MMBtu_businessAndLaw+'Core Loads'!C$167*Clg_1C_kWh_per_ton_businessAndLaw</f>
        <v>0</v>
      </c>
      <c r="E102" s="69">
        <f>'Core Loads'!D$107*Elec_1C_kWh_per_kWh_businessAndLaw+'Core Loads'!D$127*Process_1C_kWh_per_lb_businessAndLaw+'Core Loads'!D$147*Htg_1C_kWh_per_MMBtu_businessAndLaw+'Core Loads'!D$167*Clg_1C_kWh_per_ton_businessAndLaw</f>
        <v>0</v>
      </c>
      <c r="F102" s="21">
        <f>'Core Loads'!E$107*Elec_1C_kWh_per_kWh_businessAndLaw+'Core Loads'!E$127*Process_1C_kWh_per_lb_businessAndLaw+'Core Loads'!E$147*Htg_1C_kWh_per_MMBtu_businessAndLaw+'Core Loads'!E$167*Clg_1C_kWh_per_ton_businessAndLaw</f>
        <v>0</v>
      </c>
      <c r="G102" s="21">
        <f>'Core Loads'!F$107*Elec_1C_kWh_per_kWh_businessAndLaw+'Core Loads'!F$127*Process_1C_kWh_per_lb_businessAndLaw+'Core Loads'!F$147*Htg_1C_kWh_per_MMBtu_businessAndLaw+'Core Loads'!F$167*Clg_1C_kWh_per_ton_businessAndLaw</f>
        <v>0</v>
      </c>
      <c r="H102" s="21">
        <f>'Core Loads'!G$107*Elec_1C_kWh_per_kWh_businessAndLaw+'Core Loads'!G$127*Process_1C_kWh_per_lb_businessAndLaw+'Core Loads'!G$147*Htg_1C_kWh_per_MMBtu_businessAndLaw+'Core Loads'!G$167*Clg_1C_kWh_per_ton_businessAndLaw</f>
        <v>0</v>
      </c>
      <c r="I102" s="21">
        <f>'Core Loads'!H$107*Elec_1C_kWh_per_kWh_businessAndLaw+'Core Loads'!H$127*Process_1C_kWh_per_lb_businessAndLaw+'Core Loads'!H$147*Htg_1C_kWh_per_MMBtu_businessAndLaw+'Core Loads'!H$167*Clg_1C_kWh_per_ton_businessAndLaw</f>
        <v>0</v>
      </c>
      <c r="J102" s="21">
        <f>'Core Loads'!I$107*Elec_1C_kWh_per_kWh_businessAndLaw+'Core Loads'!I$127*Process_1C_kWh_per_lb_businessAndLaw+'Core Loads'!I$147*Htg_1C_kWh_per_MMBtu_businessAndLaw+'Core Loads'!I$167*Clg_1C_kWh_per_ton_businessAndLaw</f>
        <v>0</v>
      </c>
      <c r="K102" s="21">
        <f>'Core Loads'!J$107*Elec_1C_kWh_per_kWh_businessAndLaw+'Core Loads'!J$127*Process_1C_kWh_per_lb_businessAndLaw+'Core Loads'!J$147*Htg_1C_kWh_per_MMBtu_businessAndLaw+'Core Loads'!J$167*Clg_1C_kWh_per_ton_businessAndLaw</f>
        <v>0</v>
      </c>
      <c r="L102" s="21">
        <f>'Core Loads'!K$107*Elec_1C_kWh_per_kWh_businessAndLaw+'Core Loads'!K$127*Process_1C_kWh_per_lb_businessAndLaw+'Core Loads'!K$147*Htg_1C_kWh_per_MMBtu_businessAndLaw+'Core Loads'!K$167*Clg_1C_kWh_per_ton_businessAndLaw</f>
        <v>0</v>
      </c>
      <c r="M102" s="21">
        <f>'Core Loads'!L$107*Elec_1C_kWh_per_kWh_businessAndLaw+'Core Loads'!L$127*Process_1C_kWh_per_lb_businessAndLaw+'Core Loads'!L$147*Htg_1C_kWh_per_MMBtu_businessAndLaw+'Core Loads'!L$167*Clg_1C_kWh_per_ton_businessAndLaw</f>
        <v>0</v>
      </c>
      <c r="N102" s="21">
        <f>'Core Loads'!M$107*Elec_1C_kWh_per_kWh_businessAndLaw+'Core Loads'!M$127*Process_1C_kWh_per_lb_businessAndLaw+'Core Loads'!M$147*Htg_1C_kWh_per_MMBtu_businessAndLaw+'Core Loads'!M$167*Clg_1C_kWh_per_ton_businessAndLaw</f>
        <v>21665909.052274138</v>
      </c>
      <c r="O102" s="21">
        <f>'Core Loads'!N$107*Elec_1C_kWh_per_kWh_businessAndLaw+'Core Loads'!N$127*Process_1C_kWh_per_lb_businessAndLaw+'Core Loads'!N$147*Htg_1C_kWh_per_MMBtu_businessAndLaw+'Core Loads'!N$167*Clg_1C_kWh_per_ton_businessAndLaw</f>
        <v>21665909.052274138</v>
      </c>
      <c r="P102" s="21">
        <f>'Core Loads'!O$107*Elec_1C_kWh_per_kWh_businessAndLaw+'Core Loads'!O$127*Process_1C_kWh_per_lb_businessAndLaw+'Core Loads'!O$147*Htg_1C_kWh_per_MMBtu_businessAndLaw+'Core Loads'!O$167*Clg_1C_kWh_per_ton_businessAndLaw</f>
        <v>21665909.052274138</v>
      </c>
      <c r="Q102" s="21">
        <f>'Core Loads'!P$107*Elec_1C_kWh_per_kWh_businessAndLaw+'Core Loads'!P$127*Process_1C_kWh_per_lb_businessAndLaw+'Core Loads'!P$147*Htg_1C_kWh_per_MMBtu_businessAndLaw+'Core Loads'!P$167*Clg_1C_kWh_per_ton_businessAndLaw</f>
        <v>21615435.507389124</v>
      </c>
      <c r="R102" s="21">
        <f>'Core Loads'!Q$107*Elec_1C_kWh_per_kWh_businessAndLaw+'Core Loads'!Q$127*Process_1C_kWh_per_lb_businessAndLaw+'Core Loads'!Q$147*Htg_1C_kWh_per_MMBtu_businessAndLaw+'Core Loads'!Q$167*Clg_1C_kWh_per_ton_businessAndLaw</f>
        <v>32107007.304076597</v>
      </c>
      <c r="S102" s="21">
        <f>'Core Loads'!R$107*Elec_1C_kWh_per_kWh_businessAndLaw+'Core Loads'!R$127*Process_1C_kWh_per_lb_businessAndLaw+'Core Loads'!R$147*Htg_1C_kWh_per_MMBtu_businessAndLaw+'Core Loads'!R$167*Clg_1C_kWh_per_ton_businessAndLaw</f>
        <v>32383220.739610471</v>
      </c>
      <c r="T102" s="21">
        <f>'Core Loads'!S$107*Elec_1C_kWh_per_kWh_businessAndLaw+'Core Loads'!S$127*Process_1C_kWh_per_lb_businessAndLaw+'Core Loads'!S$147*Htg_1C_kWh_per_MMBtu_businessAndLaw+'Core Loads'!S$167*Clg_1C_kWh_per_ton_businessAndLaw</f>
        <v>32383220.739610471</v>
      </c>
      <c r="U102" s="21">
        <f>'Core Loads'!T$107*Elec_1C_kWh_per_kWh_businessAndLaw+'Core Loads'!T$127*Process_1C_kWh_per_lb_businessAndLaw+'Core Loads'!T$147*Htg_1C_kWh_per_MMBtu_businessAndLaw+'Core Loads'!T$167*Clg_1C_kWh_per_ton_businessAndLaw</f>
        <v>32140192.393624786</v>
      </c>
      <c r="V102" s="21">
        <f>'Core Loads'!U$107*Elec_1C_kWh_per_kWh_businessAndLaw+'Core Loads'!U$127*Process_1C_kWh_per_lb_businessAndLaw+'Core Loads'!U$147*Htg_1C_kWh_per_MMBtu_businessAndLaw+'Core Loads'!U$167*Clg_1C_kWh_per_ton_businessAndLaw</f>
        <v>32140192.393624786</v>
      </c>
      <c r="W102" s="21">
        <f>'Core Loads'!V$107*Elec_1C_kWh_per_kWh_businessAndLaw+'Core Loads'!V$127*Process_1C_kWh_per_lb_businessAndLaw+'Core Loads'!V$147*Htg_1C_kWh_per_MMBtu_businessAndLaw+'Core Loads'!V$167*Clg_1C_kWh_per_ton_businessAndLaw</f>
        <v>32140192.393624786</v>
      </c>
      <c r="X102" s="21">
        <f>'Core Loads'!W$107*Elec_1C_kWh_per_kWh_businessAndLaw+'Core Loads'!W$127*Process_1C_kWh_per_lb_businessAndLaw+'Core Loads'!W$147*Htg_1C_kWh_per_MMBtu_businessAndLaw+'Core Loads'!W$167*Clg_1C_kWh_per_ton_businessAndLaw</f>
        <v>32140192.393624786</v>
      </c>
      <c r="Y102" s="21">
        <f>'Core Loads'!X$107*Elec_1C_kWh_per_kWh_businessAndLaw+'Core Loads'!X$127*Process_1C_kWh_per_lb_businessAndLaw+'Core Loads'!X$147*Htg_1C_kWh_per_MMBtu_businessAndLaw+'Core Loads'!X$167*Clg_1C_kWh_per_ton_businessAndLaw</f>
        <v>32140192.393624786</v>
      </c>
      <c r="Z102" s="21">
        <f>'Core Loads'!Y$107*Elec_1C_kWh_per_kWh_businessAndLaw+'Core Loads'!Y$127*Process_1C_kWh_per_lb_businessAndLaw+'Core Loads'!Y$147*Htg_1C_kWh_per_MMBtu_businessAndLaw+'Core Loads'!Y$167*Clg_1C_kWh_per_ton_businessAndLaw</f>
        <v>32140192.393624786</v>
      </c>
      <c r="AA102" s="21">
        <f>'Core Loads'!Z$107*Elec_1C_kWh_per_kWh_businessAndLaw+'Core Loads'!Z$127*Process_1C_kWh_per_lb_businessAndLaw+'Core Loads'!Z$147*Htg_1C_kWh_per_MMBtu_businessAndLaw+'Core Loads'!Z$167*Clg_1C_kWh_per_ton_businessAndLaw</f>
        <v>32140192.393624786</v>
      </c>
      <c r="AB102" s="21">
        <f>'Core Loads'!AA$107*Elec_1C_kWh_per_kWh_businessAndLaw+'Core Loads'!AA$127*Process_1C_kWh_per_lb_businessAndLaw+'Core Loads'!AA$147*Htg_1C_kWh_per_MMBtu_businessAndLaw+'Core Loads'!AA$167*Clg_1C_kWh_per_ton_businessAndLaw</f>
        <v>32140192.393624786</v>
      </c>
      <c r="AC102" s="21">
        <f>'Core Loads'!AB$107*Elec_1C_kWh_per_kWh_businessAndLaw+'Core Loads'!AB$127*Process_1C_kWh_per_lb_businessAndLaw+'Core Loads'!AB$147*Htg_1C_kWh_per_MMBtu_businessAndLaw+'Core Loads'!AB$167*Clg_1C_kWh_per_ton_businessAndLaw</f>
        <v>31306759.403486855</v>
      </c>
      <c r="AD102" s="21">
        <f>'Core Loads'!AC$107*Elec_1C_kWh_per_kWh_businessAndLaw+'Core Loads'!AC$127*Process_1C_kWh_per_lb_businessAndLaw+'Core Loads'!AC$147*Htg_1C_kWh_per_MMBtu_businessAndLaw+'Core Loads'!AC$167*Clg_1C_kWh_per_ton_businessAndLaw</f>
        <v>31306759.403486855</v>
      </c>
      <c r="AE102" s="21">
        <f>'Core Loads'!AD$107*Elec_1C_kWh_per_kWh_businessAndLaw+'Core Loads'!AD$127*Process_1C_kWh_per_lb_businessAndLaw+'Core Loads'!AD$147*Htg_1C_kWh_per_MMBtu_businessAndLaw+'Core Loads'!AD$167*Clg_1C_kWh_per_ton_businessAndLaw</f>
        <v>31306759.403486855</v>
      </c>
      <c r="AF102" s="21">
        <f>'Core Loads'!AE$107*Elec_1C_kWh_per_kWh_businessAndLaw+'Core Loads'!AE$127*Process_1C_kWh_per_lb_businessAndLaw+'Core Loads'!AE$147*Htg_1C_kWh_per_MMBtu_businessAndLaw+'Core Loads'!AE$167*Clg_1C_kWh_per_ton_businessAndLaw</f>
        <v>31306759.403486855</v>
      </c>
      <c r="AG102" s="21">
        <f>'Core Loads'!AF$107*Elec_1C_kWh_per_kWh_businessAndLaw+'Core Loads'!AF$127*Process_1C_kWh_per_lb_businessAndLaw+'Core Loads'!AF$147*Htg_1C_kWh_per_MMBtu_businessAndLaw+'Core Loads'!AF$167*Clg_1C_kWh_per_ton_businessAndLaw</f>
        <v>31306759.403486855</v>
      </c>
      <c r="AH102"/>
      <c r="AI102" s="23" t="s">
        <v>293</v>
      </c>
    </row>
    <row r="103" spans="2:35" s="1" customFormat="1" outlineLevel="1" x14ac:dyDescent="0.25">
      <c r="C103" s="31" t="s">
        <v>244</v>
      </c>
      <c r="D103" s="21">
        <f>'Core Loads'!C$108*Elec_1C_kWh_per_kWh_engineering+'Core Loads'!C$128*Process_1C_kWh_per_lb_engineering+'Core Loads'!C$148*Htg_1C_kWh_per_MMBtu_engineering+'Core Loads'!C$168*Clg_1C_kWh_per_ton_engineering</f>
        <v>0</v>
      </c>
      <c r="E103" s="69">
        <f>'Core Loads'!D$108*Elec_1C_kWh_per_kWh_engineering+'Core Loads'!D$128*Process_1C_kWh_per_lb_engineering+'Core Loads'!D$148*Htg_1C_kWh_per_MMBtu_engineering+'Core Loads'!D$168*Clg_1C_kWh_per_ton_engineering</f>
        <v>0</v>
      </c>
      <c r="F103" s="21">
        <f>'Core Loads'!E$108*Elec_1C_kWh_per_kWh_engineering+'Core Loads'!E$128*Process_1C_kWh_per_lb_engineering+'Core Loads'!E$148*Htg_1C_kWh_per_MMBtu_engineering+'Core Loads'!E$168*Clg_1C_kWh_per_ton_engineering</f>
        <v>0</v>
      </c>
      <c r="G103" s="21">
        <f>'Core Loads'!F$108*Elec_1C_kWh_per_kWh_engineering+'Core Loads'!F$128*Process_1C_kWh_per_lb_engineering+'Core Loads'!F$148*Htg_1C_kWh_per_MMBtu_engineering+'Core Loads'!F$168*Clg_1C_kWh_per_ton_engineering</f>
        <v>0</v>
      </c>
      <c r="H103" s="21">
        <f>'Core Loads'!G$108*Elec_1C_kWh_per_kWh_engineering+'Core Loads'!G$128*Process_1C_kWh_per_lb_engineering+'Core Loads'!G$148*Htg_1C_kWh_per_MMBtu_engineering+'Core Loads'!G$168*Clg_1C_kWh_per_ton_engineering</f>
        <v>0</v>
      </c>
      <c r="I103" s="21">
        <f>'Core Loads'!H$108*Elec_1C_kWh_per_kWh_engineering+'Core Loads'!H$128*Process_1C_kWh_per_lb_engineering+'Core Loads'!H$148*Htg_1C_kWh_per_MMBtu_engineering+'Core Loads'!H$168*Clg_1C_kWh_per_ton_engineering</f>
        <v>42160229.876061432</v>
      </c>
      <c r="J103" s="21">
        <f>'Core Loads'!I$108*Elec_1C_kWh_per_kWh_engineering+'Core Loads'!I$128*Process_1C_kWh_per_lb_engineering+'Core Loads'!I$148*Htg_1C_kWh_per_MMBtu_engineering+'Core Loads'!I$168*Clg_1C_kWh_per_ton_engineering</f>
        <v>42160229.876061432</v>
      </c>
      <c r="K103" s="21">
        <f>'Core Loads'!J$108*Elec_1C_kWh_per_kWh_engineering+'Core Loads'!J$128*Process_1C_kWh_per_lb_engineering+'Core Loads'!J$148*Htg_1C_kWh_per_MMBtu_engineering+'Core Loads'!J$168*Clg_1C_kWh_per_ton_engineering</f>
        <v>38516479.38569802</v>
      </c>
      <c r="L103" s="21">
        <f>'Core Loads'!K$108*Elec_1C_kWh_per_kWh_engineering+'Core Loads'!K$128*Process_1C_kWh_per_lb_engineering+'Core Loads'!K$148*Htg_1C_kWh_per_MMBtu_engineering+'Core Loads'!K$168*Clg_1C_kWh_per_ton_engineering</f>
        <v>38516479.38569802</v>
      </c>
      <c r="M103" s="21">
        <f>'Core Loads'!L$108*Elec_1C_kWh_per_kWh_engineering+'Core Loads'!L$128*Process_1C_kWh_per_lb_engineering+'Core Loads'!L$148*Htg_1C_kWh_per_MMBtu_engineering+'Core Loads'!L$168*Clg_1C_kWh_per_ton_engineering</f>
        <v>38516479.38569802</v>
      </c>
      <c r="N103" s="21">
        <f>'Core Loads'!M$108*Elec_1C_kWh_per_kWh_engineering+'Core Loads'!M$128*Process_1C_kWh_per_lb_engineering+'Core Loads'!M$148*Htg_1C_kWh_per_MMBtu_engineering+'Core Loads'!M$168*Clg_1C_kWh_per_ton_engineering</f>
        <v>80767178.122049525</v>
      </c>
      <c r="O103" s="21">
        <f>'Core Loads'!N$108*Elec_1C_kWh_per_kWh_engineering+'Core Loads'!N$128*Process_1C_kWh_per_lb_engineering+'Core Loads'!N$148*Htg_1C_kWh_per_MMBtu_engineering+'Core Loads'!N$168*Clg_1C_kWh_per_ton_engineering</f>
        <v>80103122.493611157</v>
      </c>
      <c r="P103" s="21">
        <f>'Core Loads'!O$108*Elec_1C_kWh_per_kWh_engineering+'Core Loads'!O$128*Process_1C_kWh_per_lb_engineering+'Core Loads'!O$148*Htg_1C_kWh_per_MMBtu_engineering+'Core Loads'!O$168*Clg_1C_kWh_per_ton_engineering</f>
        <v>80103122.493611157</v>
      </c>
      <c r="Q103" s="21">
        <f>'Core Loads'!P$108*Elec_1C_kWh_per_kWh_engineering+'Core Loads'!P$128*Process_1C_kWh_per_lb_engineering+'Core Loads'!P$148*Htg_1C_kWh_per_MMBtu_engineering+'Core Loads'!P$168*Clg_1C_kWh_per_ton_engineering</f>
        <v>80005848.70145461</v>
      </c>
      <c r="R103" s="21">
        <f>'Core Loads'!Q$108*Elec_1C_kWh_per_kWh_engineering+'Core Loads'!Q$128*Process_1C_kWh_per_lb_engineering+'Core Loads'!Q$148*Htg_1C_kWh_per_MMBtu_engineering+'Core Loads'!Q$168*Clg_1C_kWh_per_ton_engineering</f>
        <v>120124991.6155923</v>
      </c>
      <c r="S103" s="21">
        <f>'Core Loads'!R$108*Elec_1C_kWh_per_kWh_engineering+'Core Loads'!R$128*Process_1C_kWh_per_lb_engineering+'Core Loads'!R$148*Htg_1C_kWh_per_MMBtu_engineering+'Core Loads'!R$168*Clg_1C_kWh_per_ton_engineering</f>
        <v>124188520.02083516</v>
      </c>
      <c r="T103" s="21">
        <f>'Core Loads'!S$108*Elec_1C_kWh_per_kWh_engineering+'Core Loads'!S$128*Process_1C_kWh_per_lb_engineering+'Core Loads'!S$148*Htg_1C_kWh_per_MMBtu_engineering+'Core Loads'!S$168*Clg_1C_kWh_per_ton_engineering</f>
        <v>124188520.02083516</v>
      </c>
      <c r="U103" s="21">
        <f>'Core Loads'!T$108*Elec_1C_kWh_per_kWh_engineering+'Core Loads'!T$128*Process_1C_kWh_per_lb_engineering+'Core Loads'!T$148*Htg_1C_kWh_per_MMBtu_engineering+'Core Loads'!T$168*Clg_1C_kWh_per_ton_engineering</f>
        <v>124188520.02083516</v>
      </c>
      <c r="V103" s="21">
        <f>'Core Loads'!U$108*Elec_1C_kWh_per_kWh_engineering+'Core Loads'!U$128*Process_1C_kWh_per_lb_engineering+'Core Loads'!U$148*Htg_1C_kWh_per_MMBtu_engineering+'Core Loads'!U$168*Clg_1C_kWh_per_ton_engineering</f>
        <v>124188520.02083516</v>
      </c>
      <c r="W103" s="21">
        <f>'Core Loads'!V$108*Elec_1C_kWh_per_kWh_engineering+'Core Loads'!V$128*Process_1C_kWh_per_lb_engineering+'Core Loads'!V$148*Htg_1C_kWh_per_MMBtu_engineering+'Core Loads'!V$168*Clg_1C_kWh_per_ton_engineering</f>
        <v>123479260.674633</v>
      </c>
      <c r="X103" s="21">
        <f>'Core Loads'!W$108*Elec_1C_kWh_per_kWh_engineering+'Core Loads'!W$128*Process_1C_kWh_per_lb_engineering+'Core Loads'!W$148*Htg_1C_kWh_per_MMBtu_engineering+'Core Loads'!W$168*Clg_1C_kWh_per_ton_engineering</f>
        <v>123479260.674633</v>
      </c>
      <c r="Y103" s="21">
        <f>'Core Loads'!X$108*Elec_1C_kWh_per_kWh_engineering+'Core Loads'!X$128*Process_1C_kWh_per_lb_engineering+'Core Loads'!X$148*Htg_1C_kWh_per_MMBtu_engineering+'Core Loads'!X$168*Clg_1C_kWh_per_ton_engineering</f>
        <v>123479260.674633</v>
      </c>
      <c r="Z103" s="21">
        <f>'Core Loads'!Y$108*Elec_1C_kWh_per_kWh_engineering+'Core Loads'!Y$128*Process_1C_kWh_per_lb_engineering+'Core Loads'!Y$148*Htg_1C_kWh_per_MMBtu_engineering+'Core Loads'!Y$168*Clg_1C_kWh_per_ton_engineering</f>
        <v>123479260.674633</v>
      </c>
      <c r="AA103" s="21">
        <f>'Core Loads'!Z$108*Elec_1C_kWh_per_kWh_engineering+'Core Loads'!Z$128*Process_1C_kWh_per_lb_engineering+'Core Loads'!Z$148*Htg_1C_kWh_per_MMBtu_engineering+'Core Loads'!Z$168*Clg_1C_kWh_per_ton_engineering</f>
        <v>123479260.674633</v>
      </c>
      <c r="AB103" s="21">
        <f>'Core Loads'!AA$108*Elec_1C_kWh_per_kWh_engineering+'Core Loads'!AA$128*Process_1C_kWh_per_lb_engineering+'Core Loads'!AA$148*Htg_1C_kWh_per_MMBtu_engineering+'Core Loads'!AA$168*Clg_1C_kWh_per_ton_engineering</f>
        <v>123479260.674633</v>
      </c>
      <c r="AC103" s="21">
        <f>'Core Loads'!AB$108*Elec_1C_kWh_per_kWh_engineering+'Core Loads'!AB$128*Process_1C_kWh_per_lb_engineering+'Core Loads'!AB$148*Htg_1C_kWh_per_MMBtu_engineering+'Core Loads'!AB$168*Clg_1C_kWh_per_ton_engineering</f>
        <v>123479260.674633</v>
      </c>
      <c r="AD103" s="21">
        <f>'Core Loads'!AC$108*Elec_1C_kWh_per_kWh_engineering+'Core Loads'!AC$128*Process_1C_kWh_per_lb_engineering+'Core Loads'!AC$148*Htg_1C_kWh_per_MMBtu_engineering+'Core Loads'!AC$168*Clg_1C_kWh_per_ton_engineering</f>
        <v>123479260.674633</v>
      </c>
      <c r="AE103" s="21">
        <f>'Core Loads'!AD$108*Elec_1C_kWh_per_kWh_engineering+'Core Loads'!AD$128*Process_1C_kWh_per_lb_engineering+'Core Loads'!AD$148*Htg_1C_kWh_per_MMBtu_engineering+'Core Loads'!AD$168*Clg_1C_kWh_per_ton_engineering</f>
        <v>123479260.674633</v>
      </c>
      <c r="AF103" s="21">
        <f>'Core Loads'!AE$108*Elec_1C_kWh_per_kWh_engineering+'Core Loads'!AE$128*Process_1C_kWh_per_lb_engineering+'Core Loads'!AE$148*Htg_1C_kWh_per_MMBtu_engineering+'Core Loads'!AE$168*Clg_1C_kWh_per_ton_engineering</f>
        <v>123479260.674633</v>
      </c>
      <c r="AG103" s="21">
        <f>'Core Loads'!AF$108*Elec_1C_kWh_per_kWh_engineering+'Core Loads'!AF$128*Process_1C_kWh_per_lb_engineering+'Core Loads'!AF$148*Htg_1C_kWh_per_MMBtu_engineering+'Core Loads'!AF$168*Clg_1C_kWh_per_ton_engineering</f>
        <v>123479260.674633</v>
      </c>
      <c r="AH103"/>
      <c r="AI103" s="23" t="s">
        <v>293</v>
      </c>
    </row>
    <row r="104" spans="2:35" s="1" customFormat="1" outlineLevel="1" x14ac:dyDescent="0.25">
      <c r="C104" s="31" t="s">
        <v>147</v>
      </c>
      <c r="D104" s="21">
        <f>'Core Loads'!C$109*'Core Inputs'!$G$130+'Core Loads'!C$129*'Core Inputs'!$G$125+'Core Loads'!C$149*'Core Inputs'!$G$116+'Core Loads'!C$169*'Core Inputs'!$G$121</f>
        <v>0</v>
      </c>
      <c r="E104" s="69">
        <f>'Core Loads'!D$109*'Core Inputs'!$G$130+'Core Loads'!D$129*'Core Inputs'!$G$125+'Core Loads'!D$149*'Core Inputs'!$G$116+'Core Loads'!D$169*'Core Inputs'!$G$121</f>
        <v>0</v>
      </c>
      <c r="F104" s="21">
        <f>'Core Loads'!E$109*'Core Inputs'!$G$130+'Core Loads'!E$129*'Core Inputs'!$G$125+'Core Loads'!E$149*'Core Inputs'!$G$116+'Core Loads'!E$169*'Core Inputs'!$G$121</f>
        <v>0</v>
      </c>
      <c r="G104" s="21">
        <f>'Core Loads'!F$109*'Core Inputs'!$G$130+'Core Loads'!F$129*'Core Inputs'!$G$125+'Core Loads'!F$149*'Core Inputs'!$G$116+'Core Loads'!F$169*'Core Inputs'!$G$121</f>
        <v>0</v>
      </c>
      <c r="H104" s="21">
        <f>'Core Loads'!G$109*'Core Inputs'!$G$130+'Core Loads'!G$129*'Core Inputs'!$G$125+'Core Loads'!G$149*'Core Inputs'!$G$116+'Core Loads'!G$169*'Core Inputs'!$G$121</f>
        <v>0</v>
      </c>
      <c r="I104" s="21">
        <f>'Core Loads'!H$109*'Core Inputs'!$G$130+'Core Loads'!H$129*'Core Inputs'!$G$125+'Core Loads'!H$149*'Core Inputs'!$G$116+'Core Loads'!H$169*'Core Inputs'!$G$121</f>
        <v>0</v>
      </c>
      <c r="J104" s="21">
        <f>'Core Loads'!I$109*'Core Inputs'!$G$130+'Core Loads'!I$129*'Core Inputs'!$G$125+'Core Loads'!I$149*'Core Inputs'!$G$116+'Core Loads'!I$169*'Core Inputs'!$G$121</f>
        <v>0</v>
      </c>
      <c r="K104" s="21">
        <f>'Core Loads'!J$109*'Core Inputs'!$G$130+'Core Loads'!J$129*'Core Inputs'!$G$125+'Core Loads'!J$149*'Core Inputs'!$G$116+'Core Loads'!J$169*'Core Inputs'!$G$121</f>
        <v>0</v>
      </c>
      <c r="L104" s="21">
        <f>'Core Loads'!K$109*'Core Inputs'!$G$130+'Core Loads'!K$129*'Core Inputs'!$G$125+'Core Loads'!K$149*'Core Inputs'!$G$116+'Core Loads'!K$169*'Core Inputs'!$G$121</f>
        <v>0</v>
      </c>
      <c r="M104" s="21">
        <f>'Core Loads'!L$109*'Core Inputs'!$G$130+'Core Loads'!L$129*'Core Inputs'!$G$125+'Core Loads'!L$149*'Core Inputs'!$G$116+'Core Loads'!L$169*'Core Inputs'!$G$121</f>
        <v>0</v>
      </c>
      <c r="N104" s="21">
        <f>'Core Loads'!M$109*'Core Inputs'!$G$130+'Core Loads'!M$129*'Core Inputs'!$G$125+'Core Loads'!M$149*'Core Inputs'!$G$116+'Core Loads'!M$169*'Core Inputs'!$G$121</f>
        <v>0</v>
      </c>
      <c r="O104" s="21">
        <f>'Core Loads'!N$109*'Core Inputs'!$G$130+'Core Loads'!N$129*'Core Inputs'!$G$125+'Core Loads'!N$149*'Core Inputs'!$G$116+'Core Loads'!N$169*'Core Inputs'!$G$121</f>
        <v>0</v>
      </c>
      <c r="P104" s="21">
        <f>'Core Loads'!O$109*'Core Inputs'!$G$130+'Core Loads'!O$129*'Core Inputs'!$G$125+'Core Loads'!O$149*'Core Inputs'!$G$116+'Core Loads'!O$169*'Core Inputs'!$G$121</f>
        <v>0</v>
      </c>
      <c r="Q104" s="21">
        <f>'Core Loads'!P$109*'Core Inputs'!$G$130+'Core Loads'!P$129*'Core Inputs'!$G$125+'Core Loads'!P$149*'Core Inputs'!$G$116+'Core Loads'!P$169*'Core Inputs'!$G$121</f>
        <v>0</v>
      </c>
      <c r="R104" s="21">
        <f>'Core Loads'!Q$109*'Core Inputs'!$G$130+'Core Loads'!Q$129*'Core Inputs'!$G$125+'Core Loads'!Q$149*'Core Inputs'!$G$116+'Core Loads'!Q$169*'Core Inputs'!$G$121</f>
        <v>0</v>
      </c>
      <c r="S104" s="21">
        <f>'Core Loads'!R$109*'Core Inputs'!$G$130+'Core Loads'!R$129*'Core Inputs'!$G$125+'Core Loads'!R$149*'Core Inputs'!$G$116+'Core Loads'!R$169*'Core Inputs'!$G$121</f>
        <v>0</v>
      </c>
      <c r="T104" s="21">
        <f>'Core Loads'!S$109*'Core Inputs'!$G$130+'Core Loads'!S$129*'Core Inputs'!$G$125+'Core Loads'!S$149*'Core Inputs'!$G$116+'Core Loads'!S$169*'Core Inputs'!$G$121</f>
        <v>0</v>
      </c>
      <c r="U104" s="21">
        <f>'Core Loads'!T$109*'Core Inputs'!$G$130+'Core Loads'!T$129*'Core Inputs'!$G$125+'Core Loads'!T$149*'Core Inputs'!$G$116+'Core Loads'!T$169*'Core Inputs'!$G$121</f>
        <v>0</v>
      </c>
      <c r="V104" s="21">
        <f>'Core Loads'!U$109*'Core Inputs'!$G$130+'Core Loads'!U$129*'Core Inputs'!$G$125+'Core Loads'!U$149*'Core Inputs'!$G$116+'Core Loads'!U$169*'Core Inputs'!$G$121</f>
        <v>0</v>
      </c>
      <c r="W104" s="21">
        <f>'Core Loads'!V$109*'Core Inputs'!$G$130+'Core Loads'!V$129*'Core Inputs'!$G$125+'Core Loads'!V$149*'Core Inputs'!$G$116+'Core Loads'!V$169*'Core Inputs'!$G$121</f>
        <v>0</v>
      </c>
      <c r="X104" s="21">
        <f>'Core Loads'!W$109*'Core Inputs'!$G$130+'Core Loads'!W$129*'Core Inputs'!$G$125+'Core Loads'!W$149*'Core Inputs'!$G$116+'Core Loads'!W$169*'Core Inputs'!$G$121</f>
        <v>0</v>
      </c>
      <c r="Y104" s="21">
        <f>'Core Loads'!X$109*'Core Inputs'!$G$130+'Core Loads'!X$129*'Core Inputs'!$G$125+'Core Loads'!X$149*'Core Inputs'!$G$116+'Core Loads'!X$169*'Core Inputs'!$G$121</f>
        <v>0</v>
      </c>
      <c r="Z104" s="21">
        <f>'Core Loads'!Y$109*'Core Inputs'!$G$130+'Core Loads'!Y$129*'Core Inputs'!$G$125+'Core Loads'!Y$149*'Core Inputs'!$G$116+'Core Loads'!Y$169*'Core Inputs'!$G$121</f>
        <v>0</v>
      </c>
      <c r="AA104" s="21">
        <f>'Core Loads'!Z$109*'Core Inputs'!$G$130+'Core Loads'!Z$129*'Core Inputs'!$G$125+'Core Loads'!Z$149*'Core Inputs'!$G$116+'Core Loads'!Z$169*'Core Inputs'!$G$121</f>
        <v>0</v>
      </c>
      <c r="AB104" s="21">
        <f>'Core Loads'!AA$109*'Core Inputs'!$G$130+'Core Loads'!AA$129*'Core Inputs'!$G$125+'Core Loads'!AA$149*'Core Inputs'!$G$116+'Core Loads'!AA$169*'Core Inputs'!$G$121</f>
        <v>0</v>
      </c>
      <c r="AC104" s="21">
        <f>'Core Loads'!AB$109*'Core Inputs'!$G$130+'Core Loads'!AB$129*'Core Inputs'!$G$125+'Core Loads'!AB$149*'Core Inputs'!$G$116+'Core Loads'!AB$169*'Core Inputs'!$G$121</f>
        <v>0</v>
      </c>
      <c r="AD104" s="21">
        <f>'Core Loads'!AC$109*'Core Inputs'!$G$130+'Core Loads'!AC$129*'Core Inputs'!$G$125+'Core Loads'!AC$149*'Core Inputs'!$G$116+'Core Loads'!AC$169*'Core Inputs'!$G$121</f>
        <v>0</v>
      </c>
      <c r="AE104" s="21">
        <f>'Core Loads'!AD$109*'Core Inputs'!$G$130+'Core Loads'!AD$129*'Core Inputs'!$G$125+'Core Loads'!AD$149*'Core Inputs'!$G$116+'Core Loads'!AD$169*'Core Inputs'!$G$121</f>
        <v>0</v>
      </c>
      <c r="AF104" s="21">
        <f>'Core Loads'!AE$109*'Core Inputs'!$G$130+'Core Loads'!AE$129*'Core Inputs'!$G$125+'Core Loads'!AE$149*'Core Inputs'!$G$116+'Core Loads'!AE$169*'Core Inputs'!$G$121</f>
        <v>0</v>
      </c>
      <c r="AG104" s="21">
        <f>'Core Loads'!AF$109*'Core Inputs'!$G$130+'Core Loads'!AF$129*'Core Inputs'!$G$125+'Core Loads'!AF$149*'Core Inputs'!$G$116+'Core Loads'!AF$169*'Core Inputs'!$G$121</f>
        <v>0</v>
      </c>
      <c r="AH104"/>
      <c r="AI104" s="23" t="s">
        <v>293</v>
      </c>
    </row>
    <row r="105" spans="2:35" s="1" customFormat="1" outlineLevel="1" x14ac:dyDescent="0.25">
      <c r="C105" s="31" t="s">
        <v>245</v>
      </c>
      <c r="D105" s="21">
        <f>'Core Loads'!C$110*Elec_1C_kWh_per_kWh_lowerSproulOffices+'Core Loads'!C$130*Process_1C_kWh_per_lb_lowerSproulOffices+'Core Loads'!C$150*Htg_1C_kWh_per_MMBtu_lowerSproulOffices+'Core Loads'!C$170*Clg_1C_kWh_per_ton_lowerSproulOffices</f>
        <v>0</v>
      </c>
      <c r="E105" s="69">
        <f>'Core Loads'!D$110*Elec_1C_kWh_per_kWh_lowerSproulOffices+'Core Loads'!D$130*Process_1C_kWh_per_lb_lowerSproulOffices+'Core Loads'!D$150*Htg_1C_kWh_per_MMBtu_lowerSproulOffices+'Core Loads'!D$170*Clg_1C_kWh_per_ton_lowerSproulOffices</f>
        <v>0</v>
      </c>
      <c r="F105" s="21">
        <f>'Core Loads'!E$110*Elec_1C_kWh_per_kWh_lowerSproulOffices+'Core Loads'!E$130*Process_1C_kWh_per_lb_lowerSproulOffices+'Core Loads'!E$150*Htg_1C_kWh_per_MMBtu_lowerSproulOffices+'Core Loads'!E$170*Clg_1C_kWh_per_ton_lowerSproulOffices</f>
        <v>0</v>
      </c>
      <c r="G105" s="21">
        <f>'Core Loads'!F$110*Elec_1C_kWh_per_kWh_lowerSproulOffices+'Core Loads'!F$130*Process_1C_kWh_per_lb_lowerSproulOffices+'Core Loads'!F$150*Htg_1C_kWh_per_MMBtu_lowerSproulOffices+'Core Loads'!F$170*Clg_1C_kWh_per_ton_lowerSproulOffices</f>
        <v>0</v>
      </c>
      <c r="H105" s="21">
        <f>'Core Loads'!G$110*Elec_1C_kWh_per_kWh_lowerSproulOffices+'Core Loads'!G$130*Process_1C_kWh_per_lb_lowerSproulOffices+'Core Loads'!G$150*Htg_1C_kWh_per_MMBtu_lowerSproulOffices+'Core Loads'!G$170*Clg_1C_kWh_per_ton_lowerSproulOffices</f>
        <v>0</v>
      </c>
      <c r="I105" s="21">
        <f>'Core Loads'!H$110*Elec_1C_kWh_per_kWh_lowerSproulOffices+'Core Loads'!H$130*Process_1C_kWh_per_lb_lowerSproulOffices+'Core Loads'!H$150*Htg_1C_kWh_per_MMBtu_lowerSproulOffices+'Core Loads'!H$170*Clg_1C_kWh_per_ton_lowerSproulOffices</f>
        <v>0</v>
      </c>
      <c r="J105" s="21">
        <f>'Core Loads'!I$110*Elec_1C_kWh_per_kWh_lowerSproulOffices+'Core Loads'!I$130*Process_1C_kWh_per_lb_lowerSproulOffices+'Core Loads'!I$150*Htg_1C_kWh_per_MMBtu_lowerSproulOffices+'Core Loads'!I$170*Clg_1C_kWh_per_ton_lowerSproulOffices</f>
        <v>0</v>
      </c>
      <c r="K105" s="21">
        <f>'Core Loads'!J$110*Elec_1C_kWh_per_kWh_lowerSproulOffices+'Core Loads'!J$130*Process_1C_kWh_per_lb_lowerSproulOffices+'Core Loads'!J$150*Htg_1C_kWh_per_MMBtu_lowerSproulOffices+'Core Loads'!J$170*Clg_1C_kWh_per_ton_lowerSproulOffices</f>
        <v>0</v>
      </c>
      <c r="L105" s="21">
        <f>'Core Loads'!K$110*Elec_1C_kWh_per_kWh_lowerSproulOffices+'Core Loads'!K$130*Process_1C_kWh_per_lb_lowerSproulOffices+'Core Loads'!K$150*Htg_1C_kWh_per_MMBtu_lowerSproulOffices+'Core Loads'!K$170*Clg_1C_kWh_per_ton_lowerSproulOffices</f>
        <v>0</v>
      </c>
      <c r="M105" s="21">
        <f>'Core Loads'!L$110*Elec_1C_kWh_per_kWh_lowerSproulOffices+'Core Loads'!L$130*Process_1C_kWh_per_lb_lowerSproulOffices+'Core Loads'!L$150*Htg_1C_kWh_per_MMBtu_lowerSproulOffices+'Core Loads'!L$170*Clg_1C_kWh_per_ton_lowerSproulOffices</f>
        <v>0</v>
      </c>
      <c r="N105" s="21">
        <f>'Core Loads'!M$110*Elec_1C_kWh_per_kWh_lowerSproulOffices+'Core Loads'!M$130*Process_1C_kWh_per_lb_lowerSproulOffices+'Core Loads'!M$150*Htg_1C_kWh_per_MMBtu_lowerSproulOffices+'Core Loads'!M$170*Clg_1C_kWh_per_ton_lowerSproulOffices</f>
        <v>0</v>
      </c>
      <c r="O105" s="21">
        <f>'Core Loads'!N$110*Elec_1C_kWh_per_kWh_lowerSproulOffices+'Core Loads'!N$130*Process_1C_kWh_per_lb_lowerSproulOffices+'Core Loads'!N$150*Htg_1C_kWh_per_MMBtu_lowerSproulOffices+'Core Loads'!N$170*Clg_1C_kWh_per_ton_lowerSproulOffices</f>
        <v>0</v>
      </c>
      <c r="P105" s="21">
        <f>'Core Loads'!O$110*Elec_1C_kWh_per_kWh_lowerSproulOffices+'Core Loads'!O$130*Process_1C_kWh_per_lb_lowerSproulOffices+'Core Loads'!O$150*Htg_1C_kWh_per_MMBtu_lowerSproulOffices+'Core Loads'!O$170*Clg_1C_kWh_per_ton_lowerSproulOffices</f>
        <v>0</v>
      </c>
      <c r="Q105" s="21">
        <f>'Core Loads'!P$110*Elec_1C_kWh_per_kWh_lowerSproulOffices+'Core Loads'!P$130*Process_1C_kWh_per_lb_lowerSproulOffices+'Core Loads'!P$150*Htg_1C_kWh_per_MMBtu_lowerSproulOffices+'Core Loads'!P$170*Clg_1C_kWh_per_ton_lowerSproulOffices</f>
        <v>0</v>
      </c>
      <c r="R105" s="21">
        <f>'Core Loads'!Q$110*Elec_1C_kWh_per_kWh_lowerSproulOffices+'Core Loads'!Q$130*Process_1C_kWh_per_lb_lowerSproulOffices+'Core Loads'!Q$150*Htg_1C_kWh_per_MMBtu_lowerSproulOffices+'Core Loads'!Q$170*Clg_1C_kWh_per_ton_lowerSproulOffices</f>
        <v>9745652.4723804332</v>
      </c>
      <c r="S105" s="21">
        <f>'Core Loads'!R$110*Elec_1C_kWh_per_kWh_lowerSproulOffices+'Core Loads'!R$130*Process_1C_kWh_per_lb_lowerSproulOffices+'Core Loads'!R$150*Htg_1C_kWh_per_MMBtu_lowerSproulOffices+'Core Loads'!R$170*Clg_1C_kWh_per_ton_lowerSproulOffices</f>
        <v>48965396.999615327</v>
      </c>
      <c r="T105" s="21">
        <f>'Core Loads'!S$110*Elec_1C_kWh_per_kWh_lowerSproulOffices+'Core Loads'!S$130*Process_1C_kWh_per_lb_lowerSproulOffices+'Core Loads'!S$150*Htg_1C_kWh_per_MMBtu_lowerSproulOffices+'Core Loads'!S$170*Clg_1C_kWh_per_ton_lowerSproulOffices</f>
        <v>48965396.999615327</v>
      </c>
      <c r="U105" s="21">
        <f>'Core Loads'!T$110*Elec_1C_kWh_per_kWh_lowerSproulOffices+'Core Loads'!T$130*Process_1C_kWh_per_lb_lowerSproulOffices+'Core Loads'!T$150*Htg_1C_kWh_per_MMBtu_lowerSproulOffices+'Core Loads'!T$170*Clg_1C_kWh_per_ton_lowerSproulOffices</f>
        <v>48965396.999615327</v>
      </c>
      <c r="V105" s="21">
        <f>'Core Loads'!U$110*Elec_1C_kWh_per_kWh_lowerSproulOffices+'Core Loads'!U$130*Process_1C_kWh_per_lb_lowerSproulOffices+'Core Loads'!U$150*Htg_1C_kWh_per_MMBtu_lowerSproulOffices+'Core Loads'!U$170*Clg_1C_kWh_per_ton_lowerSproulOffices</f>
        <v>48965396.999615327</v>
      </c>
      <c r="W105" s="21">
        <f>'Core Loads'!V$110*Elec_1C_kWh_per_kWh_lowerSproulOffices+'Core Loads'!V$130*Process_1C_kWh_per_lb_lowerSproulOffices+'Core Loads'!V$150*Htg_1C_kWh_per_MMBtu_lowerSproulOffices+'Core Loads'!V$170*Clg_1C_kWh_per_ton_lowerSproulOffices</f>
        <v>48965396.999615327</v>
      </c>
      <c r="X105" s="21">
        <f>'Core Loads'!W$110*Elec_1C_kWh_per_kWh_lowerSproulOffices+'Core Loads'!W$130*Process_1C_kWh_per_lb_lowerSproulOffices+'Core Loads'!W$150*Htg_1C_kWh_per_MMBtu_lowerSproulOffices+'Core Loads'!W$170*Clg_1C_kWh_per_ton_lowerSproulOffices</f>
        <v>48965396.999615327</v>
      </c>
      <c r="Y105" s="21">
        <f>'Core Loads'!X$110*Elec_1C_kWh_per_kWh_lowerSproulOffices+'Core Loads'!X$130*Process_1C_kWh_per_lb_lowerSproulOffices+'Core Loads'!X$150*Htg_1C_kWh_per_MMBtu_lowerSproulOffices+'Core Loads'!X$170*Clg_1C_kWh_per_ton_lowerSproulOffices</f>
        <v>48965396.999615327</v>
      </c>
      <c r="Z105" s="21">
        <f>'Core Loads'!Y$110*Elec_1C_kWh_per_kWh_lowerSproulOffices+'Core Loads'!Y$130*Process_1C_kWh_per_lb_lowerSproulOffices+'Core Loads'!Y$150*Htg_1C_kWh_per_MMBtu_lowerSproulOffices+'Core Loads'!Y$170*Clg_1C_kWh_per_ton_lowerSproulOffices</f>
        <v>48965396.999615327</v>
      </c>
      <c r="AA105" s="21">
        <f>'Core Loads'!Z$110*Elec_1C_kWh_per_kWh_lowerSproulOffices+'Core Loads'!Z$130*Process_1C_kWh_per_lb_lowerSproulOffices+'Core Loads'!Z$150*Htg_1C_kWh_per_MMBtu_lowerSproulOffices+'Core Loads'!Z$170*Clg_1C_kWh_per_ton_lowerSproulOffices</f>
        <v>48965396.999615327</v>
      </c>
      <c r="AB105" s="21">
        <f>'Core Loads'!AA$110*Elec_1C_kWh_per_kWh_lowerSproulOffices+'Core Loads'!AA$130*Process_1C_kWh_per_lb_lowerSproulOffices+'Core Loads'!AA$150*Htg_1C_kWh_per_MMBtu_lowerSproulOffices+'Core Loads'!AA$170*Clg_1C_kWh_per_ton_lowerSproulOffices</f>
        <v>48965396.999615327</v>
      </c>
      <c r="AC105" s="21">
        <f>'Core Loads'!AB$110*Elec_1C_kWh_per_kWh_lowerSproulOffices+'Core Loads'!AB$130*Process_1C_kWh_per_lb_lowerSproulOffices+'Core Loads'!AB$150*Htg_1C_kWh_per_MMBtu_lowerSproulOffices+'Core Loads'!AB$170*Clg_1C_kWh_per_ton_lowerSproulOffices</f>
        <v>48965396.999615327</v>
      </c>
      <c r="AD105" s="21">
        <f>'Core Loads'!AC$110*Elec_1C_kWh_per_kWh_lowerSproulOffices+'Core Loads'!AC$130*Process_1C_kWh_per_lb_lowerSproulOffices+'Core Loads'!AC$150*Htg_1C_kWh_per_MMBtu_lowerSproulOffices+'Core Loads'!AC$170*Clg_1C_kWh_per_ton_lowerSproulOffices</f>
        <v>48965396.999615327</v>
      </c>
      <c r="AE105" s="21">
        <f>'Core Loads'!AD$110*Elec_1C_kWh_per_kWh_lowerSproulOffices+'Core Loads'!AD$130*Process_1C_kWh_per_lb_lowerSproulOffices+'Core Loads'!AD$150*Htg_1C_kWh_per_MMBtu_lowerSproulOffices+'Core Loads'!AD$170*Clg_1C_kWh_per_ton_lowerSproulOffices</f>
        <v>48965396.999615327</v>
      </c>
      <c r="AF105" s="21">
        <f>'Core Loads'!AE$110*Elec_1C_kWh_per_kWh_lowerSproulOffices+'Core Loads'!AE$130*Process_1C_kWh_per_lb_lowerSproulOffices+'Core Loads'!AE$150*Htg_1C_kWh_per_MMBtu_lowerSproulOffices+'Core Loads'!AE$170*Clg_1C_kWh_per_ton_lowerSproulOffices</f>
        <v>48965396.999615327</v>
      </c>
      <c r="AG105" s="21">
        <f>'Core Loads'!AF$110*Elec_1C_kWh_per_kWh_lowerSproulOffices+'Core Loads'!AF$130*Process_1C_kWh_per_lb_lowerSproulOffices+'Core Loads'!AF$150*Htg_1C_kWh_per_MMBtu_lowerSproulOffices+'Core Loads'!AF$170*Clg_1C_kWh_per_ton_lowerSproulOffices</f>
        <v>48965396.999615327</v>
      </c>
      <c r="AH105"/>
      <c r="AI105" s="23" t="s">
        <v>293</v>
      </c>
    </row>
    <row r="106" spans="2:35" s="1" customFormat="1" outlineLevel="1" x14ac:dyDescent="0.25">
      <c r="B106" t="s">
        <v>136</v>
      </c>
      <c r="C106" t="s">
        <v>169</v>
      </c>
      <c r="D106" s="21">
        <f>SUM(D107:D111)</f>
        <v>0</v>
      </c>
      <c r="E106" s="69">
        <f t="shared" ref="E106:AG106" si="7">SUM(E107:E111)</f>
        <v>0</v>
      </c>
      <c r="F106" s="21">
        <f t="shared" si="7"/>
        <v>0</v>
      </c>
      <c r="G106" s="21">
        <f t="shared" si="7"/>
        <v>0</v>
      </c>
      <c r="H106" s="21">
        <f t="shared" si="7"/>
        <v>0</v>
      </c>
      <c r="I106" s="21">
        <f t="shared" si="7"/>
        <v>0</v>
      </c>
      <c r="J106" s="21">
        <f t="shared" si="7"/>
        <v>0</v>
      </c>
      <c r="K106" s="21">
        <f t="shared" si="7"/>
        <v>0</v>
      </c>
      <c r="L106" s="21">
        <f t="shared" si="7"/>
        <v>0</v>
      </c>
      <c r="M106" s="21">
        <f t="shared" si="7"/>
        <v>0</v>
      </c>
      <c r="N106" s="21">
        <f t="shared" si="7"/>
        <v>0</v>
      </c>
      <c r="O106" s="21">
        <f t="shared" si="7"/>
        <v>0</v>
      </c>
      <c r="P106" s="21">
        <f t="shared" si="7"/>
        <v>0</v>
      </c>
      <c r="Q106" s="21">
        <f t="shared" si="7"/>
        <v>0</v>
      </c>
      <c r="R106" s="21">
        <f t="shared" si="7"/>
        <v>0</v>
      </c>
      <c r="S106" s="21">
        <f t="shared" si="7"/>
        <v>0</v>
      </c>
      <c r="T106" s="21">
        <f t="shared" si="7"/>
        <v>0</v>
      </c>
      <c r="U106" s="21">
        <f t="shared" si="7"/>
        <v>0</v>
      </c>
      <c r="V106" s="21">
        <f t="shared" si="7"/>
        <v>0</v>
      </c>
      <c r="W106" s="21">
        <f t="shared" si="7"/>
        <v>0</v>
      </c>
      <c r="X106" s="21">
        <f t="shared" si="7"/>
        <v>0</v>
      </c>
      <c r="Y106" s="21">
        <f t="shared" si="7"/>
        <v>0</v>
      </c>
      <c r="Z106" s="21">
        <f t="shared" si="7"/>
        <v>0</v>
      </c>
      <c r="AA106" s="21">
        <f t="shared" si="7"/>
        <v>0</v>
      </c>
      <c r="AB106" s="21">
        <f t="shared" si="7"/>
        <v>0</v>
      </c>
      <c r="AC106" s="21">
        <f t="shared" si="7"/>
        <v>0</v>
      </c>
      <c r="AD106" s="21">
        <f t="shared" si="7"/>
        <v>0</v>
      </c>
      <c r="AE106" s="21">
        <f t="shared" si="7"/>
        <v>0</v>
      </c>
      <c r="AF106" s="21">
        <f t="shared" si="7"/>
        <v>0</v>
      </c>
      <c r="AG106" s="21">
        <f t="shared" si="7"/>
        <v>0</v>
      </c>
      <c r="AH106"/>
      <c r="AI106" s="23" t="s">
        <v>295</v>
      </c>
    </row>
    <row r="107" spans="2:35" s="1" customFormat="1" outlineLevel="1" x14ac:dyDescent="0.25">
      <c r="C107" s="31" t="s">
        <v>144</v>
      </c>
      <c r="D107" s="21">
        <f>'Core Loads'!C$126*Process_1C_therm_per_lb_biosciences+'Core Loads'!C$146*Htg_1C_therm_per_MMBtu_biosciences</f>
        <v>0</v>
      </c>
      <c r="E107" s="69">
        <f>'Core Loads'!D$126*Process_1C_therm_per_lb_biosciences+'Core Loads'!D$146*Htg_1C_therm_per_MMBtu_biosciences</f>
        <v>0</v>
      </c>
      <c r="F107" s="21">
        <f>'Core Loads'!E$126*Process_1C_therm_per_lb_biosciences+'Core Loads'!E$146*Htg_1C_therm_per_MMBtu_biosciences</f>
        <v>0</v>
      </c>
      <c r="G107" s="21">
        <f>'Core Loads'!F$126*Process_1C_therm_per_lb_biosciences+'Core Loads'!F$146*Htg_1C_therm_per_MMBtu_biosciences</f>
        <v>0</v>
      </c>
      <c r="H107" s="21">
        <f>'Core Loads'!G$126*Process_1C_therm_per_lb_biosciences+'Core Loads'!G$146*Htg_1C_therm_per_MMBtu_biosciences</f>
        <v>0</v>
      </c>
      <c r="I107" s="21">
        <f>'Core Loads'!H$126*Process_1C_therm_per_lb_biosciences+'Core Loads'!H$146*Htg_1C_therm_per_MMBtu_biosciences</f>
        <v>0</v>
      </c>
      <c r="J107" s="21">
        <f>'Core Loads'!I$126*Process_1C_therm_per_lb_biosciences+'Core Loads'!I$146*Htg_1C_therm_per_MMBtu_biosciences</f>
        <v>0</v>
      </c>
      <c r="K107" s="21">
        <f>'Core Loads'!J$126*Process_1C_therm_per_lb_biosciences+'Core Loads'!J$146*Htg_1C_therm_per_MMBtu_biosciences</f>
        <v>0</v>
      </c>
      <c r="L107" s="21">
        <f>'Core Loads'!K$126*Process_1C_therm_per_lb_biosciences+'Core Loads'!K$146*Htg_1C_therm_per_MMBtu_biosciences</f>
        <v>0</v>
      </c>
      <c r="M107" s="21">
        <f>'Core Loads'!L$126*Process_1C_therm_per_lb_biosciences+'Core Loads'!L$146*Htg_1C_therm_per_MMBtu_biosciences</f>
        <v>0</v>
      </c>
      <c r="N107" s="21">
        <f>'Core Loads'!M$126*Process_1C_therm_per_lb_biosciences+'Core Loads'!M$146*Htg_1C_therm_per_MMBtu_biosciences</f>
        <v>0</v>
      </c>
      <c r="O107" s="21">
        <f>'Core Loads'!N$126*Process_1C_therm_per_lb_biosciences+'Core Loads'!N$146*Htg_1C_therm_per_MMBtu_biosciences</f>
        <v>0</v>
      </c>
      <c r="P107" s="21">
        <f>'Core Loads'!O$126*Process_1C_therm_per_lb_biosciences+'Core Loads'!O$146*Htg_1C_therm_per_MMBtu_biosciences</f>
        <v>0</v>
      </c>
      <c r="Q107" s="21">
        <f>'Core Loads'!P$126*Process_1C_therm_per_lb_biosciences+'Core Loads'!P$146*Htg_1C_therm_per_MMBtu_biosciences</f>
        <v>0</v>
      </c>
      <c r="R107" s="21">
        <f>'Core Loads'!Q$126*Process_1C_therm_per_lb_biosciences+'Core Loads'!Q$146*Htg_1C_therm_per_MMBtu_biosciences</f>
        <v>0</v>
      </c>
      <c r="S107" s="21">
        <f>'Core Loads'!R$126*Process_1C_therm_per_lb_biosciences+'Core Loads'!R$146*Htg_1C_therm_per_MMBtu_biosciences</f>
        <v>0</v>
      </c>
      <c r="T107" s="21">
        <f>'Core Loads'!S$126*Process_1C_therm_per_lb_biosciences+'Core Loads'!S$146*Htg_1C_therm_per_MMBtu_biosciences</f>
        <v>0</v>
      </c>
      <c r="U107" s="21">
        <f>'Core Loads'!T$126*Process_1C_therm_per_lb_biosciences+'Core Loads'!T$146*Htg_1C_therm_per_MMBtu_biosciences</f>
        <v>0</v>
      </c>
      <c r="V107" s="21">
        <f>'Core Loads'!U$126*Process_1C_therm_per_lb_biosciences+'Core Loads'!U$146*Htg_1C_therm_per_MMBtu_biosciences</f>
        <v>0</v>
      </c>
      <c r="W107" s="21">
        <f>'Core Loads'!V$126*Process_1C_therm_per_lb_biosciences+'Core Loads'!V$146*Htg_1C_therm_per_MMBtu_biosciences</f>
        <v>0</v>
      </c>
      <c r="X107" s="21">
        <f>'Core Loads'!W$126*Process_1C_therm_per_lb_biosciences+'Core Loads'!W$146*Htg_1C_therm_per_MMBtu_biosciences</f>
        <v>0</v>
      </c>
      <c r="Y107" s="21">
        <f>'Core Loads'!X$126*Process_1C_therm_per_lb_biosciences+'Core Loads'!X$146*Htg_1C_therm_per_MMBtu_biosciences</f>
        <v>0</v>
      </c>
      <c r="Z107" s="21">
        <f>'Core Loads'!Y$126*Process_1C_therm_per_lb_biosciences+'Core Loads'!Y$146*Htg_1C_therm_per_MMBtu_biosciences</f>
        <v>0</v>
      </c>
      <c r="AA107" s="21">
        <f>'Core Loads'!Z$126*Process_1C_therm_per_lb_biosciences+'Core Loads'!Z$146*Htg_1C_therm_per_MMBtu_biosciences</f>
        <v>0</v>
      </c>
      <c r="AB107" s="21">
        <f>'Core Loads'!AA$126*Process_1C_therm_per_lb_biosciences+'Core Loads'!AA$146*Htg_1C_therm_per_MMBtu_biosciences</f>
        <v>0</v>
      </c>
      <c r="AC107" s="21">
        <f>'Core Loads'!AB$126*Process_1C_therm_per_lb_biosciences+'Core Loads'!AB$146*Htg_1C_therm_per_MMBtu_biosciences</f>
        <v>0</v>
      </c>
      <c r="AD107" s="21">
        <f>'Core Loads'!AC$126*Process_1C_therm_per_lb_biosciences+'Core Loads'!AC$146*Htg_1C_therm_per_MMBtu_biosciences</f>
        <v>0</v>
      </c>
      <c r="AE107" s="21">
        <f>'Core Loads'!AD$126*Process_1C_therm_per_lb_biosciences+'Core Loads'!AD$146*Htg_1C_therm_per_MMBtu_biosciences</f>
        <v>0</v>
      </c>
      <c r="AF107" s="21">
        <f>'Core Loads'!AE$126*Process_1C_therm_per_lb_biosciences+'Core Loads'!AE$146*Htg_1C_therm_per_MMBtu_biosciences</f>
        <v>0</v>
      </c>
      <c r="AG107" s="21">
        <f>'Core Loads'!AF$126*Process_1C_therm_per_lb_biosciences+'Core Loads'!AF$146*Htg_1C_therm_per_MMBtu_biosciences</f>
        <v>0</v>
      </c>
      <c r="AH107"/>
      <c r="AI107" s="23" t="s">
        <v>293</v>
      </c>
    </row>
    <row r="108" spans="2:35" s="1" customFormat="1" outlineLevel="1" x14ac:dyDescent="0.25">
      <c r="C108" s="31" t="s">
        <v>145</v>
      </c>
      <c r="D108" s="21">
        <f>'Core Loads'!C$127*Process_1C_therm_per_lb_businessAndLaw+'Core Loads'!C$147*Htg_1C_therm_per_MMBtu_businessAndLaw</f>
        <v>0</v>
      </c>
      <c r="E108" s="69">
        <f>'Core Loads'!D$127*Process_1C_therm_per_lb_businessAndLaw+'Core Loads'!D$147*Htg_1C_therm_per_MMBtu_businessAndLaw</f>
        <v>0</v>
      </c>
      <c r="F108" s="21">
        <f>'Core Loads'!E$127*Process_1C_therm_per_lb_businessAndLaw+'Core Loads'!E$147*Htg_1C_therm_per_MMBtu_businessAndLaw</f>
        <v>0</v>
      </c>
      <c r="G108" s="21">
        <f>'Core Loads'!F$127*Process_1C_therm_per_lb_businessAndLaw+'Core Loads'!F$147*Htg_1C_therm_per_MMBtu_businessAndLaw</f>
        <v>0</v>
      </c>
      <c r="H108" s="21">
        <f>'Core Loads'!G$127*Process_1C_therm_per_lb_businessAndLaw+'Core Loads'!G$147*Htg_1C_therm_per_MMBtu_businessAndLaw</f>
        <v>0</v>
      </c>
      <c r="I108" s="21">
        <f>'Core Loads'!H$127*Process_1C_therm_per_lb_businessAndLaw+'Core Loads'!H$147*Htg_1C_therm_per_MMBtu_businessAndLaw</f>
        <v>0</v>
      </c>
      <c r="J108" s="21">
        <f>'Core Loads'!I$127*Process_1C_therm_per_lb_businessAndLaw+'Core Loads'!I$147*Htg_1C_therm_per_MMBtu_businessAndLaw</f>
        <v>0</v>
      </c>
      <c r="K108" s="21">
        <f>'Core Loads'!J$127*Process_1C_therm_per_lb_businessAndLaw+'Core Loads'!J$147*Htg_1C_therm_per_MMBtu_businessAndLaw</f>
        <v>0</v>
      </c>
      <c r="L108" s="21">
        <f>'Core Loads'!K$127*Process_1C_therm_per_lb_businessAndLaw+'Core Loads'!K$147*Htg_1C_therm_per_MMBtu_businessAndLaw</f>
        <v>0</v>
      </c>
      <c r="M108" s="21">
        <f>'Core Loads'!L$127*Process_1C_therm_per_lb_businessAndLaw+'Core Loads'!L$147*Htg_1C_therm_per_MMBtu_businessAndLaw</f>
        <v>0</v>
      </c>
      <c r="N108" s="21">
        <f>'Core Loads'!M$127*Process_1C_therm_per_lb_businessAndLaw+'Core Loads'!M$147*Htg_1C_therm_per_MMBtu_businessAndLaw</f>
        <v>0</v>
      </c>
      <c r="O108" s="21">
        <f>'Core Loads'!N$127*Process_1C_therm_per_lb_businessAndLaw+'Core Loads'!N$147*Htg_1C_therm_per_MMBtu_businessAndLaw</f>
        <v>0</v>
      </c>
      <c r="P108" s="21">
        <f>'Core Loads'!O$127*Process_1C_therm_per_lb_businessAndLaw+'Core Loads'!O$147*Htg_1C_therm_per_MMBtu_businessAndLaw</f>
        <v>0</v>
      </c>
      <c r="Q108" s="21">
        <f>'Core Loads'!P$127*Process_1C_therm_per_lb_businessAndLaw+'Core Loads'!P$147*Htg_1C_therm_per_MMBtu_businessAndLaw</f>
        <v>0</v>
      </c>
      <c r="R108" s="21">
        <f>'Core Loads'!Q$127*Process_1C_therm_per_lb_businessAndLaw+'Core Loads'!Q$147*Htg_1C_therm_per_MMBtu_businessAndLaw</f>
        <v>0</v>
      </c>
      <c r="S108" s="21">
        <f>'Core Loads'!R$127*Process_1C_therm_per_lb_businessAndLaw+'Core Loads'!R$147*Htg_1C_therm_per_MMBtu_businessAndLaw</f>
        <v>0</v>
      </c>
      <c r="T108" s="21">
        <f>'Core Loads'!S$127*Process_1C_therm_per_lb_businessAndLaw+'Core Loads'!S$147*Htg_1C_therm_per_MMBtu_businessAndLaw</f>
        <v>0</v>
      </c>
      <c r="U108" s="21">
        <f>'Core Loads'!T$127*Process_1C_therm_per_lb_businessAndLaw+'Core Loads'!T$147*Htg_1C_therm_per_MMBtu_businessAndLaw</f>
        <v>0</v>
      </c>
      <c r="V108" s="21">
        <f>'Core Loads'!U$127*Process_1C_therm_per_lb_businessAndLaw+'Core Loads'!U$147*Htg_1C_therm_per_MMBtu_businessAndLaw</f>
        <v>0</v>
      </c>
      <c r="W108" s="21">
        <f>'Core Loads'!V$127*Process_1C_therm_per_lb_businessAndLaw+'Core Loads'!V$147*Htg_1C_therm_per_MMBtu_businessAndLaw</f>
        <v>0</v>
      </c>
      <c r="X108" s="21">
        <f>'Core Loads'!W$127*Process_1C_therm_per_lb_businessAndLaw+'Core Loads'!W$147*Htg_1C_therm_per_MMBtu_businessAndLaw</f>
        <v>0</v>
      </c>
      <c r="Y108" s="21">
        <f>'Core Loads'!X$127*Process_1C_therm_per_lb_businessAndLaw+'Core Loads'!X$147*Htg_1C_therm_per_MMBtu_businessAndLaw</f>
        <v>0</v>
      </c>
      <c r="Z108" s="21">
        <f>'Core Loads'!Y$127*Process_1C_therm_per_lb_businessAndLaw+'Core Loads'!Y$147*Htg_1C_therm_per_MMBtu_businessAndLaw</f>
        <v>0</v>
      </c>
      <c r="AA108" s="21">
        <f>'Core Loads'!Z$127*Process_1C_therm_per_lb_businessAndLaw+'Core Loads'!Z$147*Htg_1C_therm_per_MMBtu_businessAndLaw</f>
        <v>0</v>
      </c>
      <c r="AB108" s="21">
        <f>'Core Loads'!AA$127*Process_1C_therm_per_lb_businessAndLaw+'Core Loads'!AA$147*Htg_1C_therm_per_MMBtu_businessAndLaw</f>
        <v>0</v>
      </c>
      <c r="AC108" s="21">
        <f>'Core Loads'!AB$127*Process_1C_therm_per_lb_businessAndLaw+'Core Loads'!AB$147*Htg_1C_therm_per_MMBtu_businessAndLaw</f>
        <v>0</v>
      </c>
      <c r="AD108" s="21">
        <f>'Core Loads'!AC$127*Process_1C_therm_per_lb_businessAndLaw+'Core Loads'!AC$147*Htg_1C_therm_per_MMBtu_businessAndLaw</f>
        <v>0</v>
      </c>
      <c r="AE108" s="21">
        <f>'Core Loads'!AD$127*Process_1C_therm_per_lb_businessAndLaw+'Core Loads'!AD$147*Htg_1C_therm_per_MMBtu_businessAndLaw</f>
        <v>0</v>
      </c>
      <c r="AF108" s="21">
        <f>'Core Loads'!AE$127*Process_1C_therm_per_lb_businessAndLaw+'Core Loads'!AE$147*Htg_1C_therm_per_MMBtu_businessAndLaw</f>
        <v>0</v>
      </c>
      <c r="AG108" s="21">
        <f>'Core Loads'!AF$127*Process_1C_therm_per_lb_businessAndLaw+'Core Loads'!AF$147*Htg_1C_therm_per_MMBtu_businessAndLaw</f>
        <v>0</v>
      </c>
      <c r="AH108"/>
      <c r="AI108" s="23" t="s">
        <v>293</v>
      </c>
    </row>
    <row r="109" spans="2:35" s="1" customFormat="1" outlineLevel="1" x14ac:dyDescent="0.25">
      <c r="C109" s="31" t="s">
        <v>244</v>
      </c>
      <c r="D109" s="21">
        <f>'Core Loads'!C$128*Process_1C_therm_per_lb_engineering+'Core Loads'!C$148*Htg_1C_therm_per_MMBtu_engineering</f>
        <v>0</v>
      </c>
      <c r="E109" s="69">
        <f>'Core Loads'!D$128*Process_1C_therm_per_lb_engineering+'Core Loads'!D$148*Htg_1C_therm_per_MMBtu_engineering</f>
        <v>0</v>
      </c>
      <c r="F109" s="21">
        <f>'Core Loads'!E$128*Process_1C_therm_per_lb_engineering+'Core Loads'!E$148*Htg_1C_therm_per_MMBtu_engineering</f>
        <v>0</v>
      </c>
      <c r="G109" s="21">
        <f>'Core Loads'!F$128*Process_1C_therm_per_lb_engineering+'Core Loads'!F$148*Htg_1C_therm_per_MMBtu_engineering</f>
        <v>0</v>
      </c>
      <c r="H109" s="21">
        <f>'Core Loads'!G$128*Process_1C_therm_per_lb_engineering+'Core Loads'!G$148*Htg_1C_therm_per_MMBtu_engineering</f>
        <v>0</v>
      </c>
      <c r="I109" s="21">
        <f>'Core Loads'!H$128*Process_1C_therm_per_lb_engineering+'Core Loads'!H$148*Htg_1C_therm_per_MMBtu_engineering</f>
        <v>0</v>
      </c>
      <c r="J109" s="21">
        <f>'Core Loads'!I$128*Process_1C_therm_per_lb_engineering+'Core Loads'!I$148*Htg_1C_therm_per_MMBtu_engineering</f>
        <v>0</v>
      </c>
      <c r="K109" s="21">
        <f>'Core Loads'!J$128*Process_1C_therm_per_lb_engineering+'Core Loads'!J$148*Htg_1C_therm_per_MMBtu_engineering</f>
        <v>0</v>
      </c>
      <c r="L109" s="21">
        <f>'Core Loads'!K$128*Process_1C_therm_per_lb_engineering+'Core Loads'!K$148*Htg_1C_therm_per_MMBtu_engineering</f>
        <v>0</v>
      </c>
      <c r="M109" s="21">
        <f>'Core Loads'!L$128*Process_1C_therm_per_lb_engineering+'Core Loads'!L$148*Htg_1C_therm_per_MMBtu_engineering</f>
        <v>0</v>
      </c>
      <c r="N109" s="21">
        <f>'Core Loads'!M$128*Process_1C_therm_per_lb_engineering+'Core Loads'!M$148*Htg_1C_therm_per_MMBtu_engineering</f>
        <v>0</v>
      </c>
      <c r="O109" s="21">
        <f>'Core Loads'!N$128*Process_1C_therm_per_lb_engineering+'Core Loads'!N$148*Htg_1C_therm_per_MMBtu_engineering</f>
        <v>0</v>
      </c>
      <c r="P109" s="21">
        <f>'Core Loads'!O$128*Process_1C_therm_per_lb_engineering+'Core Loads'!O$148*Htg_1C_therm_per_MMBtu_engineering</f>
        <v>0</v>
      </c>
      <c r="Q109" s="21">
        <f>'Core Loads'!P$128*Process_1C_therm_per_lb_engineering+'Core Loads'!P$148*Htg_1C_therm_per_MMBtu_engineering</f>
        <v>0</v>
      </c>
      <c r="R109" s="21">
        <f>'Core Loads'!Q$128*Process_1C_therm_per_lb_engineering+'Core Loads'!Q$148*Htg_1C_therm_per_MMBtu_engineering</f>
        <v>0</v>
      </c>
      <c r="S109" s="21">
        <f>'Core Loads'!R$128*Process_1C_therm_per_lb_engineering+'Core Loads'!R$148*Htg_1C_therm_per_MMBtu_engineering</f>
        <v>0</v>
      </c>
      <c r="T109" s="21">
        <f>'Core Loads'!S$128*Process_1C_therm_per_lb_engineering+'Core Loads'!S$148*Htg_1C_therm_per_MMBtu_engineering</f>
        <v>0</v>
      </c>
      <c r="U109" s="21">
        <f>'Core Loads'!T$128*Process_1C_therm_per_lb_engineering+'Core Loads'!T$148*Htg_1C_therm_per_MMBtu_engineering</f>
        <v>0</v>
      </c>
      <c r="V109" s="21">
        <f>'Core Loads'!U$128*Process_1C_therm_per_lb_engineering+'Core Loads'!U$148*Htg_1C_therm_per_MMBtu_engineering</f>
        <v>0</v>
      </c>
      <c r="W109" s="21">
        <f>'Core Loads'!V$128*Process_1C_therm_per_lb_engineering+'Core Loads'!V$148*Htg_1C_therm_per_MMBtu_engineering</f>
        <v>0</v>
      </c>
      <c r="X109" s="21">
        <f>'Core Loads'!W$128*Process_1C_therm_per_lb_engineering+'Core Loads'!W$148*Htg_1C_therm_per_MMBtu_engineering</f>
        <v>0</v>
      </c>
      <c r="Y109" s="21">
        <f>'Core Loads'!X$128*Process_1C_therm_per_lb_engineering+'Core Loads'!X$148*Htg_1C_therm_per_MMBtu_engineering</f>
        <v>0</v>
      </c>
      <c r="Z109" s="21">
        <f>'Core Loads'!Y$128*Process_1C_therm_per_lb_engineering+'Core Loads'!Y$148*Htg_1C_therm_per_MMBtu_engineering</f>
        <v>0</v>
      </c>
      <c r="AA109" s="21">
        <f>'Core Loads'!Z$128*Process_1C_therm_per_lb_engineering+'Core Loads'!Z$148*Htg_1C_therm_per_MMBtu_engineering</f>
        <v>0</v>
      </c>
      <c r="AB109" s="21">
        <f>'Core Loads'!AA$128*Process_1C_therm_per_lb_engineering+'Core Loads'!AA$148*Htg_1C_therm_per_MMBtu_engineering</f>
        <v>0</v>
      </c>
      <c r="AC109" s="21">
        <f>'Core Loads'!AB$128*Process_1C_therm_per_lb_engineering+'Core Loads'!AB$148*Htg_1C_therm_per_MMBtu_engineering</f>
        <v>0</v>
      </c>
      <c r="AD109" s="21">
        <f>'Core Loads'!AC$128*Process_1C_therm_per_lb_engineering+'Core Loads'!AC$148*Htg_1C_therm_per_MMBtu_engineering</f>
        <v>0</v>
      </c>
      <c r="AE109" s="21">
        <f>'Core Loads'!AD$128*Process_1C_therm_per_lb_engineering+'Core Loads'!AD$148*Htg_1C_therm_per_MMBtu_engineering</f>
        <v>0</v>
      </c>
      <c r="AF109" s="21">
        <f>'Core Loads'!AE$128*Process_1C_therm_per_lb_engineering+'Core Loads'!AE$148*Htg_1C_therm_per_MMBtu_engineering</f>
        <v>0</v>
      </c>
      <c r="AG109" s="21">
        <f>'Core Loads'!AF$128*Process_1C_therm_per_lb_engineering+'Core Loads'!AF$148*Htg_1C_therm_per_MMBtu_engineering</f>
        <v>0</v>
      </c>
      <c r="AH109"/>
      <c r="AI109" s="23" t="s">
        <v>293</v>
      </c>
    </row>
    <row r="110" spans="2:35" s="1" customFormat="1" outlineLevel="1" x14ac:dyDescent="0.25">
      <c r="C110" s="31" t="s">
        <v>147</v>
      </c>
      <c r="D110" s="21">
        <f>'Core Loads'!C$129*'Core Inputs'!$G$126+'Core Loads'!C$149*'Core Inputs'!$G$117</f>
        <v>0</v>
      </c>
      <c r="E110" s="69">
        <f>'Core Loads'!D$129*'Core Inputs'!$G$126+'Core Loads'!D$149*'Core Inputs'!$G$117</f>
        <v>0</v>
      </c>
      <c r="F110" s="21">
        <f>'Core Loads'!E$129*'Core Inputs'!$G$126+'Core Loads'!E$149*'Core Inputs'!$G$117</f>
        <v>0</v>
      </c>
      <c r="G110" s="21">
        <f>'Core Loads'!F$129*'Core Inputs'!$G$126+'Core Loads'!F$149*'Core Inputs'!$G$117</f>
        <v>0</v>
      </c>
      <c r="H110" s="21">
        <f>'Core Loads'!G$129*'Core Inputs'!$G$126+'Core Loads'!G$149*'Core Inputs'!$G$117</f>
        <v>0</v>
      </c>
      <c r="I110" s="21">
        <f>'Core Loads'!H$129*'Core Inputs'!$G$126+'Core Loads'!H$149*'Core Inputs'!$G$117</f>
        <v>0</v>
      </c>
      <c r="J110" s="21">
        <f>'Core Loads'!I$129*'Core Inputs'!$G$126+'Core Loads'!I$149*'Core Inputs'!$G$117</f>
        <v>0</v>
      </c>
      <c r="K110" s="21">
        <f>'Core Loads'!J$129*'Core Inputs'!$G$126+'Core Loads'!J$149*'Core Inputs'!$G$117</f>
        <v>0</v>
      </c>
      <c r="L110" s="21">
        <f>'Core Loads'!K$129*'Core Inputs'!$G$126+'Core Loads'!K$149*'Core Inputs'!$G$117</f>
        <v>0</v>
      </c>
      <c r="M110" s="21">
        <f>'Core Loads'!L$129*'Core Inputs'!$G$126+'Core Loads'!L$149*'Core Inputs'!$G$117</f>
        <v>0</v>
      </c>
      <c r="N110" s="21">
        <f>'Core Loads'!M$129*'Core Inputs'!$G$126+'Core Loads'!M$149*'Core Inputs'!$G$117</f>
        <v>0</v>
      </c>
      <c r="O110" s="21">
        <f>'Core Loads'!N$129*'Core Inputs'!$G$126+'Core Loads'!N$149*'Core Inputs'!$G$117</f>
        <v>0</v>
      </c>
      <c r="P110" s="21">
        <f>'Core Loads'!O$129*'Core Inputs'!$G$126+'Core Loads'!O$149*'Core Inputs'!$G$117</f>
        <v>0</v>
      </c>
      <c r="Q110" s="21">
        <f>'Core Loads'!P$129*'Core Inputs'!$G$126+'Core Loads'!P$149*'Core Inputs'!$G$117</f>
        <v>0</v>
      </c>
      <c r="R110" s="21">
        <f>'Core Loads'!Q$129*'Core Inputs'!$G$126+'Core Loads'!Q$149*'Core Inputs'!$G$117</f>
        <v>0</v>
      </c>
      <c r="S110" s="21">
        <f>'Core Loads'!R$129*'Core Inputs'!$G$126+'Core Loads'!R$149*'Core Inputs'!$G$117</f>
        <v>0</v>
      </c>
      <c r="T110" s="21">
        <f>'Core Loads'!S$129*'Core Inputs'!$G$126+'Core Loads'!S$149*'Core Inputs'!$G$117</f>
        <v>0</v>
      </c>
      <c r="U110" s="21">
        <f>'Core Loads'!T$129*'Core Inputs'!$G$126+'Core Loads'!T$149*'Core Inputs'!$G$117</f>
        <v>0</v>
      </c>
      <c r="V110" s="21">
        <f>'Core Loads'!U$129*'Core Inputs'!$G$126+'Core Loads'!U$149*'Core Inputs'!$G$117</f>
        <v>0</v>
      </c>
      <c r="W110" s="21">
        <f>'Core Loads'!V$129*'Core Inputs'!$G$126+'Core Loads'!V$149*'Core Inputs'!$G$117</f>
        <v>0</v>
      </c>
      <c r="X110" s="21">
        <f>'Core Loads'!W$129*'Core Inputs'!$G$126+'Core Loads'!W$149*'Core Inputs'!$G$117</f>
        <v>0</v>
      </c>
      <c r="Y110" s="21">
        <f>'Core Loads'!X$129*'Core Inputs'!$G$126+'Core Loads'!X$149*'Core Inputs'!$G$117</f>
        <v>0</v>
      </c>
      <c r="Z110" s="21">
        <f>'Core Loads'!Y$129*'Core Inputs'!$G$126+'Core Loads'!Y$149*'Core Inputs'!$G$117</f>
        <v>0</v>
      </c>
      <c r="AA110" s="21">
        <f>'Core Loads'!Z$129*'Core Inputs'!$G$126+'Core Loads'!Z$149*'Core Inputs'!$G$117</f>
        <v>0</v>
      </c>
      <c r="AB110" s="21">
        <f>'Core Loads'!AA$129*'Core Inputs'!$G$126+'Core Loads'!AA$149*'Core Inputs'!$G$117</f>
        <v>0</v>
      </c>
      <c r="AC110" s="21">
        <f>'Core Loads'!AB$129*'Core Inputs'!$G$126+'Core Loads'!AB$149*'Core Inputs'!$G$117</f>
        <v>0</v>
      </c>
      <c r="AD110" s="21">
        <f>'Core Loads'!AC$129*'Core Inputs'!$G$126+'Core Loads'!AC$149*'Core Inputs'!$G$117</f>
        <v>0</v>
      </c>
      <c r="AE110" s="21">
        <f>'Core Loads'!AD$129*'Core Inputs'!$G$126+'Core Loads'!AD$149*'Core Inputs'!$G$117</f>
        <v>0</v>
      </c>
      <c r="AF110" s="21">
        <f>'Core Loads'!AE$129*'Core Inputs'!$G$126+'Core Loads'!AE$149*'Core Inputs'!$G$117</f>
        <v>0</v>
      </c>
      <c r="AG110" s="21">
        <f>'Core Loads'!AF$129*'Core Inputs'!$G$126+'Core Loads'!AF$149*'Core Inputs'!$G$117</f>
        <v>0</v>
      </c>
      <c r="AH110"/>
      <c r="AI110" s="23" t="s">
        <v>293</v>
      </c>
    </row>
    <row r="111" spans="2:35" s="1" customFormat="1" outlineLevel="1" x14ac:dyDescent="0.25">
      <c r="C111" s="31" t="s">
        <v>245</v>
      </c>
      <c r="D111" s="21">
        <f>'Core Loads'!C$130*Process_1C_therm_per_lb_lowerSproulOffices+'Core Loads'!C$150*Htg_1C_therm_per_MMBtu_lowerSproulOffices</f>
        <v>0</v>
      </c>
      <c r="E111" s="69">
        <f>'Core Loads'!D$130*Process_1C_therm_per_lb_lowerSproulOffices+'Core Loads'!D$150*Htg_1C_therm_per_MMBtu_lowerSproulOffices</f>
        <v>0</v>
      </c>
      <c r="F111" s="21">
        <f>'Core Loads'!E$130*Process_1C_therm_per_lb_lowerSproulOffices+'Core Loads'!E$150*Htg_1C_therm_per_MMBtu_lowerSproulOffices</f>
        <v>0</v>
      </c>
      <c r="G111" s="21">
        <f>'Core Loads'!F$130*Process_1C_therm_per_lb_lowerSproulOffices+'Core Loads'!F$150*Htg_1C_therm_per_MMBtu_lowerSproulOffices</f>
        <v>0</v>
      </c>
      <c r="H111" s="21">
        <f>'Core Loads'!G$130*Process_1C_therm_per_lb_lowerSproulOffices+'Core Loads'!G$150*Htg_1C_therm_per_MMBtu_lowerSproulOffices</f>
        <v>0</v>
      </c>
      <c r="I111" s="21">
        <f>'Core Loads'!H$130*Process_1C_therm_per_lb_lowerSproulOffices+'Core Loads'!H$150*Htg_1C_therm_per_MMBtu_lowerSproulOffices</f>
        <v>0</v>
      </c>
      <c r="J111" s="21">
        <f>'Core Loads'!I$130*Process_1C_therm_per_lb_lowerSproulOffices+'Core Loads'!I$150*Htg_1C_therm_per_MMBtu_lowerSproulOffices</f>
        <v>0</v>
      </c>
      <c r="K111" s="21">
        <f>'Core Loads'!J$130*Process_1C_therm_per_lb_lowerSproulOffices+'Core Loads'!J$150*Htg_1C_therm_per_MMBtu_lowerSproulOffices</f>
        <v>0</v>
      </c>
      <c r="L111" s="21">
        <f>'Core Loads'!K$130*Process_1C_therm_per_lb_lowerSproulOffices+'Core Loads'!K$150*Htg_1C_therm_per_MMBtu_lowerSproulOffices</f>
        <v>0</v>
      </c>
      <c r="M111" s="21">
        <f>'Core Loads'!L$130*Process_1C_therm_per_lb_lowerSproulOffices+'Core Loads'!L$150*Htg_1C_therm_per_MMBtu_lowerSproulOffices</f>
        <v>0</v>
      </c>
      <c r="N111" s="21">
        <f>'Core Loads'!M$130*Process_1C_therm_per_lb_lowerSproulOffices+'Core Loads'!M$150*Htg_1C_therm_per_MMBtu_lowerSproulOffices</f>
        <v>0</v>
      </c>
      <c r="O111" s="21">
        <f>'Core Loads'!N$130*Process_1C_therm_per_lb_lowerSproulOffices+'Core Loads'!N$150*Htg_1C_therm_per_MMBtu_lowerSproulOffices</f>
        <v>0</v>
      </c>
      <c r="P111" s="21">
        <f>'Core Loads'!O$130*Process_1C_therm_per_lb_lowerSproulOffices+'Core Loads'!O$150*Htg_1C_therm_per_MMBtu_lowerSproulOffices</f>
        <v>0</v>
      </c>
      <c r="Q111" s="21">
        <f>'Core Loads'!P$130*Process_1C_therm_per_lb_lowerSproulOffices+'Core Loads'!P$150*Htg_1C_therm_per_MMBtu_lowerSproulOffices</f>
        <v>0</v>
      </c>
      <c r="R111" s="21">
        <f>'Core Loads'!Q$130*Process_1C_therm_per_lb_lowerSproulOffices+'Core Loads'!Q$150*Htg_1C_therm_per_MMBtu_lowerSproulOffices</f>
        <v>0</v>
      </c>
      <c r="S111" s="21">
        <f>'Core Loads'!R$130*Process_1C_therm_per_lb_lowerSproulOffices+'Core Loads'!R$150*Htg_1C_therm_per_MMBtu_lowerSproulOffices</f>
        <v>0</v>
      </c>
      <c r="T111" s="21">
        <f>'Core Loads'!S$130*Process_1C_therm_per_lb_lowerSproulOffices+'Core Loads'!S$150*Htg_1C_therm_per_MMBtu_lowerSproulOffices</f>
        <v>0</v>
      </c>
      <c r="U111" s="21">
        <f>'Core Loads'!T$130*Process_1C_therm_per_lb_lowerSproulOffices+'Core Loads'!T$150*Htg_1C_therm_per_MMBtu_lowerSproulOffices</f>
        <v>0</v>
      </c>
      <c r="V111" s="21">
        <f>'Core Loads'!U$130*Process_1C_therm_per_lb_lowerSproulOffices+'Core Loads'!U$150*Htg_1C_therm_per_MMBtu_lowerSproulOffices</f>
        <v>0</v>
      </c>
      <c r="W111" s="21">
        <f>'Core Loads'!V$130*Process_1C_therm_per_lb_lowerSproulOffices+'Core Loads'!V$150*Htg_1C_therm_per_MMBtu_lowerSproulOffices</f>
        <v>0</v>
      </c>
      <c r="X111" s="21">
        <f>'Core Loads'!W$130*Process_1C_therm_per_lb_lowerSproulOffices+'Core Loads'!W$150*Htg_1C_therm_per_MMBtu_lowerSproulOffices</f>
        <v>0</v>
      </c>
      <c r="Y111" s="21">
        <f>'Core Loads'!X$130*Process_1C_therm_per_lb_lowerSproulOffices+'Core Loads'!X$150*Htg_1C_therm_per_MMBtu_lowerSproulOffices</f>
        <v>0</v>
      </c>
      <c r="Z111" s="21">
        <f>'Core Loads'!Y$130*Process_1C_therm_per_lb_lowerSproulOffices+'Core Loads'!Y$150*Htg_1C_therm_per_MMBtu_lowerSproulOffices</f>
        <v>0</v>
      </c>
      <c r="AA111" s="21">
        <f>'Core Loads'!Z$130*Process_1C_therm_per_lb_lowerSproulOffices+'Core Loads'!Z$150*Htg_1C_therm_per_MMBtu_lowerSproulOffices</f>
        <v>0</v>
      </c>
      <c r="AB111" s="21">
        <f>'Core Loads'!AA$130*Process_1C_therm_per_lb_lowerSproulOffices+'Core Loads'!AA$150*Htg_1C_therm_per_MMBtu_lowerSproulOffices</f>
        <v>0</v>
      </c>
      <c r="AC111" s="21">
        <f>'Core Loads'!AB$130*Process_1C_therm_per_lb_lowerSproulOffices+'Core Loads'!AB$150*Htg_1C_therm_per_MMBtu_lowerSproulOffices</f>
        <v>0</v>
      </c>
      <c r="AD111" s="21">
        <f>'Core Loads'!AC$130*Process_1C_therm_per_lb_lowerSproulOffices+'Core Loads'!AC$150*Htg_1C_therm_per_MMBtu_lowerSproulOffices</f>
        <v>0</v>
      </c>
      <c r="AE111" s="21">
        <f>'Core Loads'!AD$130*Process_1C_therm_per_lb_lowerSproulOffices+'Core Loads'!AD$150*Htg_1C_therm_per_MMBtu_lowerSproulOffices</f>
        <v>0</v>
      </c>
      <c r="AF111" s="21">
        <f>'Core Loads'!AE$130*Process_1C_therm_per_lb_lowerSproulOffices+'Core Loads'!AE$150*Htg_1C_therm_per_MMBtu_lowerSproulOffices</f>
        <v>0</v>
      </c>
      <c r="AG111" s="21">
        <f>'Core Loads'!AF$130*Process_1C_therm_per_lb_lowerSproulOffices+'Core Loads'!AF$150*Htg_1C_therm_per_MMBtu_lowerSproulOffices</f>
        <v>0</v>
      </c>
      <c r="AH111"/>
      <c r="AI111" s="23" t="s">
        <v>293</v>
      </c>
    </row>
    <row r="112" spans="2:35" s="1" customFormat="1" outlineLevel="1" x14ac:dyDescent="0.25">
      <c r="B112" t="s">
        <v>154</v>
      </c>
      <c r="C112" t="s">
        <v>170</v>
      </c>
      <c r="D112" s="21">
        <f>SUM(D113:D117)</f>
        <v>12625.782580688316</v>
      </c>
      <c r="E112" s="69">
        <f t="shared" ref="E112:AG112" si="8">SUM(E113:E117)</f>
        <v>12625.782580688316</v>
      </c>
      <c r="F112" s="21">
        <f t="shared" si="8"/>
        <v>12625.782580688316</v>
      </c>
      <c r="G112" s="21">
        <f t="shared" si="8"/>
        <v>12130.814033766277</v>
      </c>
      <c r="H112" s="21">
        <f t="shared" si="8"/>
        <v>12130.814033766277</v>
      </c>
      <c r="I112" s="21">
        <f t="shared" si="8"/>
        <v>48964.800741048501</v>
      </c>
      <c r="J112" s="21">
        <f t="shared" si="8"/>
        <v>48964.800741048501</v>
      </c>
      <c r="K112" s="21">
        <f t="shared" si="8"/>
        <v>47515.2358352476</v>
      </c>
      <c r="L112" s="21">
        <f t="shared" si="8"/>
        <v>47515.2358352476</v>
      </c>
      <c r="M112" s="21">
        <f t="shared" si="8"/>
        <v>49695.98926384643</v>
      </c>
      <c r="N112" s="21">
        <f t="shared" si="8"/>
        <v>82660.460874429031</v>
      </c>
      <c r="O112" s="21">
        <f t="shared" si="8"/>
        <v>82305.537266675296</v>
      </c>
      <c r="P112" s="21">
        <f t="shared" si="8"/>
        <v>82305.537266675296</v>
      </c>
      <c r="Q112" s="21">
        <f t="shared" si="8"/>
        <v>82235.083202671434</v>
      </c>
      <c r="R112" s="21">
        <f t="shared" si="8"/>
        <v>144483.601555553</v>
      </c>
      <c r="S112" s="21">
        <f t="shared" si="8"/>
        <v>165316.17341266482</v>
      </c>
      <c r="T112" s="21">
        <f t="shared" si="8"/>
        <v>165316.17341266482</v>
      </c>
      <c r="U112" s="21">
        <f t="shared" si="8"/>
        <v>165249.68529523592</v>
      </c>
      <c r="V112" s="21">
        <f t="shared" si="8"/>
        <v>165249.68529523592</v>
      </c>
      <c r="W112" s="21">
        <f t="shared" si="8"/>
        <v>164877.54257590559</v>
      </c>
      <c r="X112" s="21">
        <f t="shared" si="8"/>
        <v>164877.54257590559</v>
      </c>
      <c r="Y112" s="21">
        <f t="shared" si="8"/>
        <v>164877.54257590559</v>
      </c>
      <c r="Z112" s="21">
        <f t="shared" si="8"/>
        <v>164877.54257590559</v>
      </c>
      <c r="AA112" s="21">
        <f t="shared" si="8"/>
        <v>164877.54257590559</v>
      </c>
      <c r="AB112" s="21">
        <f t="shared" si="8"/>
        <v>164877.54257590559</v>
      </c>
      <c r="AC112" s="21">
        <f t="shared" si="8"/>
        <v>164385.26105735954</v>
      </c>
      <c r="AD112" s="21">
        <f t="shared" si="8"/>
        <v>164385.26105735954</v>
      </c>
      <c r="AE112" s="21">
        <f t="shared" si="8"/>
        <v>164385.26105735954</v>
      </c>
      <c r="AF112" s="21">
        <f t="shared" si="8"/>
        <v>164385.26105735954</v>
      </c>
      <c r="AG112" s="21">
        <f t="shared" si="8"/>
        <v>164385.26105735954</v>
      </c>
      <c r="AH112"/>
      <c r="AI112" s="23" t="s">
        <v>295</v>
      </c>
    </row>
    <row r="113" spans="2:35" s="1" customFormat="1" outlineLevel="1" x14ac:dyDescent="0.25">
      <c r="C113" s="31" t="s">
        <v>144</v>
      </c>
      <c r="D113" s="21">
        <f>'Core Loads'!C$126*Process_1C_CCF_per_lb_biosciences+'Core Loads'!C$146*Htg_1C_CCF_per_MMBtu_biosciences+'Core Loads'!C$166*Clg_1C_CCF_per_ton_biosciences</f>
        <v>12625.782580688316</v>
      </c>
      <c r="E113" s="69">
        <f>'Core Loads'!D$126*Process_1C_CCF_per_lb_biosciences+'Core Loads'!D$146*Htg_1C_CCF_per_MMBtu_biosciences+'Core Loads'!D$166*Clg_1C_CCF_per_ton_biosciences</f>
        <v>12625.782580688316</v>
      </c>
      <c r="F113" s="21">
        <f>'Core Loads'!E$126*Process_1C_CCF_per_lb_biosciences+'Core Loads'!E$146*Htg_1C_CCF_per_MMBtu_biosciences+'Core Loads'!E$166*Clg_1C_CCF_per_ton_biosciences</f>
        <v>12625.782580688316</v>
      </c>
      <c r="G113" s="21">
        <f>'Core Loads'!F$126*Process_1C_CCF_per_lb_biosciences+'Core Loads'!F$146*Htg_1C_CCF_per_MMBtu_biosciences+'Core Loads'!F$166*Clg_1C_CCF_per_ton_biosciences</f>
        <v>12130.814033766277</v>
      </c>
      <c r="H113" s="21">
        <f>'Core Loads'!G$126*Process_1C_CCF_per_lb_biosciences+'Core Loads'!G$146*Htg_1C_CCF_per_MMBtu_biosciences+'Core Loads'!G$166*Clg_1C_CCF_per_ton_biosciences</f>
        <v>12130.814033766277</v>
      </c>
      <c r="I113" s="21">
        <f>'Core Loads'!H$126*Process_1C_CCF_per_lb_biosciences+'Core Loads'!H$146*Htg_1C_CCF_per_MMBtu_biosciences+'Core Loads'!H$166*Clg_1C_CCF_per_ton_biosciences</f>
        <v>30483.518646637684</v>
      </c>
      <c r="J113" s="21">
        <f>'Core Loads'!I$126*Process_1C_CCF_per_lb_biosciences+'Core Loads'!I$146*Htg_1C_CCF_per_MMBtu_biosciences+'Core Loads'!I$166*Clg_1C_CCF_per_ton_biosciences</f>
        <v>30483.518646637684</v>
      </c>
      <c r="K113" s="21">
        <f>'Core Loads'!J$126*Process_1C_CCF_per_lb_biosciences+'Core Loads'!J$146*Htg_1C_CCF_per_MMBtu_biosciences+'Core Loads'!J$166*Clg_1C_CCF_per_ton_biosciences</f>
        <v>30030.021078065736</v>
      </c>
      <c r="L113" s="21">
        <f>'Core Loads'!K$126*Process_1C_CCF_per_lb_biosciences+'Core Loads'!K$146*Htg_1C_CCF_per_MMBtu_biosciences+'Core Loads'!K$166*Clg_1C_CCF_per_ton_biosciences</f>
        <v>30030.021078065736</v>
      </c>
      <c r="M113" s="21">
        <f>'Core Loads'!L$126*Process_1C_CCF_per_lb_biosciences+'Core Loads'!L$146*Htg_1C_CCF_per_MMBtu_biosciences+'Core Loads'!L$166*Clg_1C_CCF_per_ton_biosciences</f>
        <v>32210.774506664566</v>
      </c>
      <c r="N113" s="21">
        <f>'Core Loads'!M$126*Process_1C_CCF_per_lb_biosciences+'Core Loads'!M$146*Htg_1C_CCF_per_MMBtu_biosciences+'Core Loads'!M$166*Clg_1C_CCF_per_ton_biosciences</f>
        <v>32210.774506664566</v>
      </c>
      <c r="O113" s="21">
        <f>'Core Loads'!N$126*Process_1C_CCF_per_lb_biosciences+'Core Loads'!N$146*Htg_1C_CCF_per_MMBtu_biosciences+'Core Loads'!N$166*Clg_1C_CCF_per_ton_biosciences</f>
        <v>32210.774506664566</v>
      </c>
      <c r="P113" s="21">
        <f>'Core Loads'!O$126*Process_1C_CCF_per_lb_biosciences+'Core Loads'!O$146*Htg_1C_CCF_per_MMBtu_biosciences+'Core Loads'!O$166*Clg_1C_CCF_per_ton_biosciences</f>
        <v>32210.774506664566</v>
      </c>
      <c r="Q113" s="21">
        <f>'Core Loads'!P$126*Process_1C_CCF_per_lb_biosciences+'Core Loads'!P$146*Htg_1C_CCF_per_MMBtu_biosciences+'Core Loads'!P$166*Clg_1C_CCF_per_ton_biosciences</f>
        <v>32210.774506664566</v>
      </c>
      <c r="R113" s="21">
        <f>'Core Loads'!Q$126*Process_1C_CCF_per_lb_biosciences+'Core Loads'!Q$146*Htg_1C_CCF_per_MMBtu_biosciences+'Core Loads'!Q$166*Clg_1C_CCF_per_ton_biosciences</f>
        <v>48029.307110531103</v>
      </c>
      <c r="S113" s="21">
        <f>'Core Loads'!R$126*Process_1C_CCF_per_lb_biosciences+'Core Loads'!R$146*Htg_1C_CCF_per_MMBtu_biosciences+'Core Loads'!R$166*Clg_1C_CCF_per_ton_biosciences</f>
        <v>48029.307110531103</v>
      </c>
      <c r="T113" s="21">
        <f>'Core Loads'!S$126*Process_1C_CCF_per_lb_biosciences+'Core Loads'!S$146*Htg_1C_CCF_per_MMBtu_biosciences+'Core Loads'!S$166*Clg_1C_CCF_per_ton_biosciences</f>
        <v>48029.307110531103</v>
      </c>
      <c r="U113" s="21">
        <f>'Core Loads'!T$126*Process_1C_CCF_per_lb_biosciences+'Core Loads'!T$146*Htg_1C_CCF_per_MMBtu_biosciences+'Core Loads'!T$166*Clg_1C_CCF_per_ton_biosciences</f>
        <v>48029.307110531103</v>
      </c>
      <c r="V113" s="21">
        <f>'Core Loads'!U$126*Process_1C_CCF_per_lb_biosciences+'Core Loads'!U$146*Htg_1C_CCF_per_MMBtu_biosciences+'Core Loads'!U$166*Clg_1C_CCF_per_ton_biosciences</f>
        <v>48029.307110531103</v>
      </c>
      <c r="W113" s="21">
        <f>'Core Loads'!V$126*Process_1C_CCF_per_lb_biosciences+'Core Loads'!V$146*Htg_1C_CCF_per_MMBtu_biosciences+'Core Loads'!V$166*Clg_1C_CCF_per_ton_biosciences</f>
        <v>48029.307110531103</v>
      </c>
      <c r="X113" s="21">
        <f>'Core Loads'!W$126*Process_1C_CCF_per_lb_biosciences+'Core Loads'!W$146*Htg_1C_CCF_per_MMBtu_biosciences+'Core Loads'!W$166*Clg_1C_CCF_per_ton_biosciences</f>
        <v>48029.307110531103</v>
      </c>
      <c r="Y113" s="21">
        <f>'Core Loads'!X$126*Process_1C_CCF_per_lb_biosciences+'Core Loads'!X$146*Htg_1C_CCF_per_MMBtu_biosciences+'Core Loads'!X$166*Clg_1C_CCF_per_ton_biosciences</f>
        <v>48029.307110531103</v>
      </c>
      <c r="Z113" s="21">
        <f>'Core Loads'!Y$126*Process_1C_CCF_per_lb_biosciences+'Core Loads'!Y$146*Htg_1C_CCF_per_MMBtu_biosciences+'Core Loads'!Y$166*Clg_1C_CCF_per_ton_biosciences</f>
        <v>48029.307110531103</v>
      </c>
      <c r="AA113" s="21">
        <f>'Core Loads'!Z$126*Process_1C_CCF_per_lb_biosciences+'Core Loads'!Z$146*Htg_1C_CCF_per_MMBtu_biosciences+'Core Loads'!Z$166*Clg_1C_CCF_per_ton_biosciences</f>
        <v>48029.307110531103</v>
      </c>
      <c r="AB113" s="21">
        <f>'Core Loads'!AA$126*Process_1C_CCF_per_lb_biosciences+'Core Loads'!AA$146*Htg_1C_CCF_per_MMBtu_biosciences+'Core Loads'!AA$166*Clg_1C_CCF_per_ton_biosciences</f>
        <v>48029.307110531103</v>
      </c>
      <c r="AC113" s="21">
        <f>'Core Loads'!AB$126*Process_1C_CCF_per_lb_biosciences+'Core Loads'!AB$146*Htg_1C_CCF_per_MMBtu_biosciences+'Core Loads'!AB$166*Clg_1C_CCF_per_ton_biosciences</f>
        <v>48029.307110531103</v>
      </c>
      <c r="AD113" s="21">
        <f>'Core Loads'!AC$126*Process_1C_CCF_per_lb_biosciences+'Core Loads'!AC$146*Htg_1C_CCF_per_MMBtu_biosciences+'Core Loads'!AC$166*Clg_1C_CCF_per_ton_biosciences</f>
        <v>48029.307110531103</v>
      </c>
      <c r="AE113" s="21">
        <f>'Core Loads'!AD$126*Process_1C_CCF_per_lb_biosciences+'Core Loads'!AD$146*Htg_1C_CCF_per_MMBtu_biosciences+'Core Loads'!AD$166*Clg_1C_CCF_per_ton_biosciences</f>
        <v>48029.307110531103</v>
      </c>
      <c r="AF113" s="21">
        <f>'Core Loads'!AE$126*Process_1C_CCF_per_lb_biosciences+'Core Loads'!AE$146*Htg_1C_CCF_per_MMBtu_biosciences+'Core Loads'!AE$166*Clg_1C_CCF_per_ton_biosciences</f>
        <v>48029.307110531103</v>
      </c>
      <c r="AG113" s="21">
        <f>'Core Loads'!AF$126*Process_1C_CCF_per_lb_biosciences+'Core Loads'!AF$146*Htg_1C_CCF_per_MMBtu_biosciences+'Core Loads'!AF$166*Clg_1C_CCF_per_ton_biosciences</f>
        <v>48029.307110531103</v>
      </c>
      <c r="AH113"/>
      <c r="AI113" s="23" t="s">
        <v>293</v>
      </c>
    </row>
    <row r="114" spans="2:35" s="1" customFormat="1" outlineLevel="1" x14ac:dyDescent="0.25">
      <c r="C114" s="31" t="s">
        <v>145</v>
      </c>
      <c r="D114" s="21">
        <f>'Core Loads'!C$127*Process_1C_CCF_per_lb_businessAndLaw+'Core Loads'!C$147*Htg_1C_CCF_per_MMBtu_businessAndLaw+'Core Loads'!C$167*Clg_1C_CCF_per_ton_businessAndLaw</f>
        <v>0</v>
      </c>
      <c r="E114" s="69">
        <f>'Core Loads'!D$127*Process_1C_CCF_per_lb_businessAndLaw+'Core Loads'!D$147*Htg_1C_CCF_per_MMBtu_businessAndLaw+'Core Loads'!D$167*Clg_1C_CCF_per_ton_businessAndLaw</f>
        <v>0</v>
      </c>
      <c r="F114" s="21">
        <f>'Core Loads'!E$127*Process_1C_CCF_per_lb_businessAndLaw+'Core Loads'!E$147*Htg_1C_CCF_per_MMBtu_businessAndLaw+'Core Loads'!E$167*Clg_1C_CCF_per_ton_businessAndLaw</f>
        <v>0</v>
      </c>
      <c r="G114" s="21">
        <f>'Core Loads'!F$127*Process_1C_CCF_per_lb_businessAndLaw+'Core Loads'!F$147*Htg_1C_CCF_per_MMBtu_businessAndLaw+'Core Loads'!F$167*Clg_1C_CCF_per_ton_businessAndLaw</f>
        <v>0</v>
      </c>
      <c r="H114" s="21">
        <f>'Core Loads'!G$127*Process_1C_CCF_per_lb_businessAndLaw+'Core Loads'!G$147*Htg_1C_CCF_per_MMBtu_businessAndLaw+'Core Loads'!G$167*Clg_1C_CCF_per_ton_businessAndLaw</f>
        <v>0</v>
      </c>
      <c r="I114" s="21">
        <f>'Core Loads'!H$127*Process_1C_CCF_per_lb_businessAndLaw+'Core Loads'!H$147*Htg_1C_CCF_per_MMBtu_businessAndLaw+'Core Loads'!H$167*Clg_1C_CCF_per_ton_businessAndLaw</f>
        <v>0</v>
      </c>
      <c r="J114" s="21">
        <f>'Core Loads'!I$127*Process_1C_CCF_per_lb_businessAndLaw+'Core Loads'!I$147*Htg_1C_CCF_per_MMBtu_businessAndLaw+'Core Loads'!I$167*Clg_1C_CCF_per_ton_businessAndLaw</f>
        <v>0</v>
      </c>
      <c r="K114" s="21">
        <f>'Core Loads'!J$127*Process_1C_CCF_per_lb_businessAndLaw+'Core Loads'!J$147*Htg_1C_CCF_per_MMBtu_businessAndLaw+'Core Loads'!J$167*Clg_1C_CCF_per_ton_businessAndLaw</f>
        <v>0</v>
      </c>
      <c r="L114" s="21">
        <f>'Core Loads'!K$127*Process_1C_CCF_per_lb_businessAndLaw+'Core Loads'!K$147*Htg_1C_CCF_per_MMBtu_businessAndLaw+'Core Loads'!K$167*Clg_1C_CCF_per_ton_businessAndLaw</f>
        <v>0</v>
      </c>
      <c r="M114" s="21">
        <f>'Core Loads'!L$127*Process_1C_CCF_per_lb_businessAndLaw+'Core Loads'!L$147*Htg_1C_CCF_per_MMBtu_businessAndLaw+'Core Loads'!L$167*Clg_1C_CCF_per_ton_businessAndLaw</f>
        <v>0</v>
      </c>
      <c r="N114" s="21">
        <f>'Core Loads'!M$127*Process_1C_CCF_per_lb_businessAndLaw+'Core Loads'!M$147*Htg_1C_CCF_per_MMBtu_businessAndLaw+'Core Loads'!M$167*Clg_1C_CCF_per_ton_businessAndLaw</f>
        <v>15620.246056914164</v>
      </c>
      <c r="O114" s="21">
        <f>'Core Loads'!N$127*Process_1C_CCF_per_lb_businessAndLaw+'Core Loads'!N$147*Htg_1C_CCF_per_MMBtu_businessAndLaw+'Core Loads'!N$167*Clg_1C_CCF_per_ton_businessAndLaw</f>
        <v>15620.246056914164</v>
      </c>
      <c r="P114" s="21">
        <f>'Core Loads'!O$127*Process_1C_CCF_per_lb_businessAndLaw+'Core Loads'!O$147*Htg_1C_CCF_per_MMBtu_businessAndLaw+'Core Loads'!O$167*Clg_1C_CCF_per_ton_businessAndLaw</f>
        <v>15620.246056914164</v>
      </c>
      <c r="Q114" s="21">
        <f>'Core Loads'!P$127*Process_1C_CCF_per_lb_businessAndLaw+'Core Loads'!P$147*Htg_1C_CCF_per_MMBtu_businessAndLaw+'Core Loads'!P$167*Clg_1C_CCF_per_ton_businessAndLaw</f>
        <v>15580.989828606009</v>
      </c>
      <c r="R114" s="21">
        <f>'Core Loads'!Q$127*Process_1C_CCF_per_lb_businessAndLaw+'Core Loads'!Q$147*Htg_1C_CCF_per_MMBtu_businessAndLaw+'Core Loads'!Q$167*Clg_1C_CCF_per_ton_businessAndLaw</f>
        <v>26868.570068124569</v>
      </c>
      <c r="S114" s="21">
        <f>'Core Loads'!R$127*Process_1C_CCF_per_lb_businessAndLaw+'Core Loads'!R$147*Htg_1C_CCF_per_MMBtu_businessAndLaw+'Core Loads'!R$167*Clg_1C_CCF_per_ton_businessAndLaw</f>
        <v>28060.327786925038</v>
      </c>
      <c r="T114" s="21">
        <f>'Core Loads'!S$127*Process_1C_CCF_per_lb_businessAndLaw+'Core Loads'!S$147*Htg_1C_CCF_per_MMBtu_businessAndLaw+'Core Loads'!S$167*Clg_1C_CCF_per_ton_businessAndLaw</f>
        <v>28060.327786925038</v>
      </c>
      <c r="U114" s="21">
        <f>'Core Loads'!T$127*Process_1C_CCF_per_lb_businessAndLaw+'Core Loads'!T$147*Htg_1C_CCF_per_MMBtu_businessAndLaw+'Core Loads'!T$167*Clg_1C_CCF_per_ton_businessAndLaw</f>
        <v>27993.839669496156</v>
      </c>
      <c r="V114" s="21">
        <f>'Core Loads'!U$127*Process_1C_CCF_per_lb_businessAndLaw+'Core Loads'!U$147*Htg_1C_CCF_per_MMBtu_businessAndLaw+'Core Loads'!U$167*Clg_1C_CCF_per_ton_businessAndLaw</f>
        <v>27993.839669496156</v>
      </c>
      <c r="W114" s="21">
        <f>'Core Loads'!V$127*Process_1C_CCF_per_lb_businessAndLaw+'Core Loads'!V$147*Htg_1C_CCF_per_MMBtu_businessAndLaw+'Core Loads'!V$167*Clg_1C_CCF_per_ton_businessAndLaw</f>
        <v>27993.839669496156</v>
      </c>
      <c r="X114" s="21">
        <f>'Core Loads'!W$127*Process_1C_CCF_per_lb_businessAndLaw+'Core Loads'!W$147*Htg_1C_CCF_per_MMBtu_businessAndLaw+'Core Loads'!W$167*Clg_1C_CCF_per_ton_businessAndLaw</f>
        <v>27993.839669496156</v>
      </c>
      <c r="Y114" s="21">
        <f>'Core Loads'!X$127*Process_1C_CCF_per_lb_businessAndLaw+'Core Loads'!X$147*Htg_1C_CCF_per_MMBtu_businessAndLaw+'Core Loads'!X$167*Clg_1C_CCF_per_ton_businessAndLaw</f>
        <v>27993.839669496156</v>
      </c>
      <c r="Z114" s="21">
        <f>'Core Loads'!Y$127*Process_1C_CCF_per_lb_businessAndLaw+'Core Loads'!Y$147*Htg_1C_CCF_per_MMBtu_businessAndLaw+'Core Loads'!Y$167*Clg_1C_CCF_per_ton_businessAndLaw</f>
        <v>27993.839669496156</v>
      </c>
      <c r="AA114" s="21">
        <f>'Core Loads'!Z$127*Process_1C_CCF_per_lb_businessAndLaw+'Core Loads'!Z$147*Htg_1C_CCF_per_MMBtu_businessAndLaw+'Core Loads'!Z$167*Clg_1C_CCF_per_ton_businessAndLaw</f>
        <v>27993.839669496156</v>
      </c>
      <c r="AB114" s="21">
        <f>'Core Loads'!AA$127*Process_1C_CCF_per_lb_businessAndLaw+'Core Loads'!AA$147*Htg_1C_CCF_per_MMBtu_businessAndLaw+'Core Loads'!AA$167*Clg_1C_CCF_per_ton_businessAndLaw</f>
        <v>27993.839669496156</v>
      </c>
      <c r="AC114" s="21">
        <f>'Core Loads'!AB$127*Process_1C_CCF_per_lb_businessAndLaw+'Core Loads'!AB$147*Htg_1C_CCF_per_MMBtu_businessAndLaw+'Core Loads'!AB$167*Clg_1C_CCF_per_ton_businessAndLaw</f>
        <v>27501.558150950099</v>
      </c>
      <c r="AD114" s="21">
        <f>'Core Loads'!AC$127*Process_1C_CCF_per_lb_businessAndLaw+'Core Loads'!AC$147*Htg_1C_CCF_per_MMBtu_businessAndLaw+'Core Loads'!AC$167*Clg_1C_CCF_per_ton_businessAndLaw</f>
        <v>27501.558150950099</v>
      </c>
      <c r="AE114" s="21">
        <f>'Core Loads'!AD$127*Process_1C_CCF_per_lb_businessAndLaw+'Core Loads'!AD$147*Htg_1C_CCF_per_MMBtu_businessAndLaw+'Core Loads'!AD$167*Clg_1C_CCF_per_ton_businessAndLaw</f>
        <v>27501.558150950099</v>
      </c>
      <c r="AF114" s="21">
        <f>'Core Loads'!AE$127*Process_1C_CCF_per_lb_businessAndLaw+'Core Loads'!AE$147*Htg_1C_CCF_per_MMBtu_businessAndLaw+'Core Loads'!AE$167*Clg_1C_CCF_per_ton_businessAndLaw</f>
        <v>27501.558150950099</v>
      </c>
      <c r="AG114" s="21">
        <f>'Core Loads'!AF$127*Process_1C_CCF_per_lb_businessAndLaw+'Core Loads'!AF$147*Htg_1C_CCF_per_MMBtu_businessAndLaw+'Core Loads'!AF$167*Clg_1C_CCF_per_ton_businessAndLaw</f>
        <v>27501.558150950099</v>
      </c>
      <c r="AH114"/>
      <c r="AI114" s="23" t="s">
        <v>293</v>
      </c>
    </row>
    <row r="115" spans="2:35" s="1" customFormat="1" outlineLevel="1" x14ac:dyDescent="0.25">
      <c r="C115" s="31" t="s">
        <v>244</v>
      </c>
      <c r="D115" s="21">
        <f>'Core Loads'!C$128*Process_1C_CCF_per_lb_engineering+'Core Loads'!C$148*Htg_1C_CCF_per_MMBtu_engineering+'Core Loads'!C$168*Clg_1C_CCF_per_ton_engineering</f>
        <v>0</v>
      </c>
      <c r="E115" s="69">
        <f>'Core Loads'!D$128*Process_1C_CCF_per_lb_engineering+'Core Loads'!D$148*Htg_1C_CCF_per_MMBtu_engineering+'Core Loads'!D$168*Clg_1C_CCF_per_ton_engineering</f>
        <v>0</v>
      </c>
      <c r="F115" s="21">
        <f>'Core Loads'!E$128*Process_1C_CCF_per_lb_engineering+'Core Loads'!E$148*Htg_1C_CCF_per_MMBtu_engineering+'Core Loads'!E$168*Clg_1C_CCF_per_ton_engineering</f>
        <v>0</v>
      </c>
      <c r="G115" s="21">
        <f>'Core Loads'!F$128*Process_1C_CCF_per_lb_engineering+'Core Loads'!F$148*Htg_1C_CCF_per_MMBtu_engineering+'Core Loads'!F$168*Clg_1C_CCF_per_ton_engineering</f>
        <v>0</v>
      </c>
      <c r="H115" s="21">
        <f>'Core Loads'!G$128*Process_1C_CCF_per_lb_engineering+'Core Loads'!G$148*Htg_1C_CCF_per_MMBtu_engineering+'Core Loads'!G$168*Clg_1C_CCF_per_ton_engineering</f>
        <v>0</v>
      </c>
      <c r="I115" s="21">
        <f>'Core Loads'!H$128*Process_1C_CCF_per_lb_engineering+'Core Loads'!H$148*Htg_1C_CCF_per_MMBtu_engineering+'Core Loads'!H$168*Clg_1C_CCF_per_ton_engineering</f>
        <v>18481.282094410813</v>
      </c>
      <c r="J115" s="21">
        <f>'Core Loads'!I$128*Process_1C_CCF_per_lb_engineering+'Core Loads'!I$148*Htg_1C_CCF_per_MMBtu_engineering+'Core Loads'!I$168*Clg_1C_CCF_per_ton_engineering</f>
        <v>18481.282094410813</v>
      </c>
      <c r="K115" s="21">
        <f>'Core Loads'!J$128*Process_1C_CCF_per_lb_engineering+'Core Loads'!J$148*Htg_1C_CCF_per_MMBtu_engineering+'Core Loads'!J$168*Clg_1C_CCF_per_ton_engineering</f>
        <v>17485.214757181864</v>
      </c>
      <c r="L115" s="21">
        <f>'Core Loads'!K$128*Process_1C_CCF_per_lb_engineering+'Core Loads'!K$148*Htg_1C_CCF_per_MMBtu_engineering+'Core Loads'!K$168*Clg_1C_CCF_per_ton_engineering</f>
        <v>17485.214757181864</v>
      </c>
      <c r="M115" s="21">
        <f>'Core Loads'!L$128*Process_1C_CCF_per_lb_engineering+'Core Loads'!L$148*Htg_1C_CCF_per_MMBtu_engineering+'Core Loads'!L$168*Clg_1C_CCF_per_ton_engineering</f>
        <v>17485.214757181864</v>
      </c>
      <c r="N115" s="21">
        <f>'Core Loads'!M$128*Process_1C_CCF_per_lb_engineering+'Core Loads'!M$148*Htg_1C_CCF_per_MMBtu_engineering+'Core Loads'!M$168*Clg_1C_CCF_per_ton_engineering</f>
        <v>34829.44031085031</v>
      </c>
      <c r="O115" s="21">
        <f>'Core Loads'!N$128*Process_1C_CCF_per_lb_engineering+'Core Loads'!N$148*Htg_1C_CCF_per_MMBtu_engineering+'Core Loads'!N$168*Clg_1C_CCF_per_ton_engineering</f>
        <v>34474.51670309656</v>
      </c>
      <c r="P115" s="21">
        <f>'Core Loads'!O$128*Process_1C_CCF_per_lb_engineering+'Core Loads'!O$148*Htg_1C_CCF_per_MMBtu_engineering+'Core Loads'!O$168*Clg_1C_CCF_per_ton_engineering</f>
        <v>34474.51670309656</v>
      </c>
      <c r="Q115" s="21">
        <f>'Core Loads'!P$128*Process_1C_CCF_per_lb_engineering+'Core Loads'!P$148*Htg_1C_CCF_per_MMBtu_engineering+'Core Loads'!P$168*Clg_1C_CCF_per_ton_engineering</f>
        <v>34443.318867400863</v>
      </c>
      <c r="R115" s="21">
        <f>'Core Loads'!Q$128*Process_1C_CCF_per_lb_engineering+'Core Loads'!Q$148*Htg_1C_CCF_per_MMBtu_engineering+'Core Loads'!Q$168*Clg_1C_CCF_per_ton_engineering</f>
        <v>57747.862203816447</v>
      </c>
      <c r="S115" s="21">
        <f>'Core Loads'!R$128*Process_1C_CCF_per_lb_engineering+'Core Loads'!R$148*Htg_1C_CCF_per_MMBtu_engineering+'Core Loads'!R$168*Clg_1C_CCF_per_ton_engineering</f>
        <v>60442.689102032258</v>
      </c>
      <c r="T115" s="21">
        <f>'Core Loads'!S$128*Process_1C_CCF_per_lb_engineering+'Core Loads'!S$148*Htg_1C_CCF_per_MMBtu_engineering+'Core Loads'!S$168*Clg_1C_CCF_per_ton_engineering</f>
        <v>60442.689102032258</v>
      </c>
      <c r="U115" s="21">
        <f>'Core Loads'!T$128*Process_1C_CCF_per_lb_engineering+'Core Loads'!T$148*Htg_1C_CCF_per_MMBtu_engineering+'Core Loads'!T$168*Clg_1C_CCF_per_ton_engineering</f>
        <v>60442.689102032258</v>
      </c>
      <c r="V115" s="21">
        <f>'Core Loads'!U$128*Process_1C_CCF_per_lb_engineering+'Core Loads'!U$148*Htg_1C_CCF_per_MMBtu_engineering+'Core Loads'!U$168*Clg_1C_CCF_per_ton_engineering</f>
        <v>60442.689102032258</v>
      </c>
      <c r="W115" s="21">
        <f>'Core Loads'!V$128*Process_1C_CCF_per_lb_engineering+'Core Loads'!V$148*Htg_1C_CCF_per_MMBtu_engineering+'Core Loads'!V$168*Clg_1C_CCF_per_ton_engineering</f>
        <v>60070.546382701934</v>
      </c>
      <c r="X115" s="21">
        <f>'Core Loads'!W$128*Process_1C_CCF_per_lb_engineering+'Core Loads'!W$148*Htg_1C_CCF_per_MMBtu_engineering+'Core Loads'!W$168*Clg_1C_CCF_per_ton_engineering</f>
        <v>60070.546382701934</v>
      </c>
      <c r="Y115" s="21">
        <f>'Core Loads'!X$128*Process_1C_CCF_per_lb_engineering+'Core Loads'!X$148*Htg_1C_CCF_per_MMBtu_engineering+'Core Loads'!X$168*Clg_1C_CCF_per_ton_engineering</f>
        <v>60070.546382701934</v>
      </c>
      <c r="Z115" s="21">
        <f>'Core Loads'!Y$128*Process_1C_CCF_per_lb_engineering+'Core Loads'!Y$148*Htg_1C_CCF_per_MMBtu_engineering+'Core Loads'!Y$168*Clg_1C_CCF_per_ton_engineering</f>
        <v>60070.546382701934</v>
      </c>
      <c r="AA115" s="21">
        <f>'Core Loads'!Z$128*Process_1C_CCF_per_lb_engineering+'Core Loads'!Z$148*Htg_1C_CCF_per_MMBtu_engineering+'Core Loads'!Z$168*Clg_1C_CCF_per_ton_engineering</f>
        <v>60070.546382701934</v>
      </c>
      <c r="AB115" s="21">
        <f>'Core Loads'!AA$128*Process_1C_CCF_per_lb_engineering+'Core Loads'!AA$148*Htg_1C_CCF_per_MMBtu_engineering+'Core Loads'!AA$168*Clg_1C_CCF_per_ton_engineering</f>
        <v>60070.546382701934</v>
      </c>
      <c r="AC115" s="21">
        <f>'Core Loads'!AB$128*Process_1C_CCF_per_lb_engineering+'Core Loads'!AB$148*Htg_1C_CCF_per_MMBtu_engineering+'Core Loads'!AB$168*Clg_1C_CCF_per_ton_engineering</f>
        <v>60070.546382701934</v>
      </c>
      <c r="AD115" s="21">
        <f>'Core Loads'!AC$128*Process_1C_CCF_per_lb_engineering+'Core Loads'!AC$148*Htg_1C_CCF_per_MMBtu_engineering+'Core Loads'!AC$168*Clg_1C_CCF_per_ton_engineering</f>
        <v>60070.546382701934</v>
      </c>
      <c r="AE115" s="21">
        <f>'Core Loads'!AD$128*Process_1C_CCF_per_lb_engineering+'Core Loads'!AD$148*Htg_1C_CCF_per_MMBtu_engineering+'Core Loads'!AD$168*Clg_1C_CCF_per_ton_engineering</f>
        <v>60070.546382701934</v>
      </c>
      <c r="AF115" s="21">
        <f>'Core Loads'!AE$128*Process_1C_CCF_per_lb_engineering+'Core Loads'!AE$148*Htg_1C_CCF_per_MMBtu_engineering+'Core Loads'!AE$168*Clg_1C_CCF_per_ton_engineering</f>
        <v>60070.546382701934</v>
      </c>
      <c r="AG115" s="21">
        <f>'Core Loads'!AF$128*Process_1C_CCF_per_lb_engineering+'Core Loads'!AF$148*Htg_1C_CCF_per_MMBtu_engineering+'Core Loads'!AF$168*Clg_1C_CCF_per_ton_engineering</f>
        <v>60070.546382701934</v>
      </c>
      <c r="AH115"/>
      <c r="AI115" s="23" t="s">
        <v>293</v>
      </c>
    </row>
    <row r="116" spans="2:35" s="1" customFormat="1" outlineLevel="1" x14ac:dyDescent="0.25">
      <c r="C116" s="31" t="s">
        <v>147</v>
      </c>
      <c r="D116" s="21">
        <f>'Core Loads'!C$129*'Core Inputs'!$G$127+'Core Loads'!C$149*'Core Inputs'!$G$118+'Core Loads'!C$169*'Core Inputs'!$G$122</f>
        <v>0</v>
      </c>
      <c r="E116" s="69">
        <f>'Core Loads'!D$129*'Core Inputs'!$G$127+'Core Loads'!D$149*'Core Inputs'!$G$118+'Core Loads'!D$169*'Core Inputs'!$G$122</f>
        <v>0</v>
      </c>
      <c r="F116" s="21">
        <f>'Core Loads'!E$129*'Core Inputs'!$G$127+'Core Loads'!E$149*'Core Inputs'!$G$118+'Core Loads'!E$169*'Core Inputs'!$G$122</f>
        <v>0</v>
      </c>
      <c r="G116" s="21">
        <f>'Core Loads'!F$129*'Core Inputs'!$G$127+'Core Loads'!F$149*'Core Inputs'!$G$118+'Core Loads'!F$169*'Core Inputs'!$G$122</f>
        <v>0</v>
      </c>
      <c r="H116" s="21">
        <f>'Core Loads'!G$129*'Core Inputs'!$G$127+'Core Loads'!G$149*'Core Inputs'!$G$118+'Core Loads'!G$169*'Core Inputs'!$G$122</f>
        <v>0</v>
      </c>
      <c r="I116" s="21">
        <f>'Core Loads'!H$129*'Core Inputs'!$G$127+'Core Loads'!H$149*'Core Inputs'!$G$118+'Core Loads'!H$169*'Core Inputs'!$G$122</f>
        <v>0</v>
      </c>
      <c r="J116" s="21">
        <f>'Core Loads'!I$129*'Core Inputs'!$G$127+'Core Loads'!I$149*'Core Inputs'!$G$118+'Core Loads'!I$169*'Core Inputs'!$G$122</f>
        <v>0</v>
      </c>
      <c r="K116" s="21">
        <f>'Core Loads'!J$129*'Core Inputs'!$G$127+'Core Loads'!J$149*'Core Inputs'!$G$118+'Core Loads'!J$169*'Core Inputs'!$G$122</f>
        <v>0</v>
      </c>
      <c r="L116" s="21">
        <f>'Core Loads'!K$129*'Core Inputs'!$G$127+'Core Loads'!K$149*'Core Inputs'!$G$118+'Core Loads'!K$169*'Core Inputs'!$G$122</f>
        <v>0</v>
      </c>
      <c r="M116" s="21">
        <f>'Core Loads'!L$129*'Core Inputs'!$G$127+'Core Loads'!L$149*'Core Inputs'!$G$118+'Core Loads'!L$169*'Core Inputs'!$G$122</f>
        <v>0</v>
      </c>
      <c r="N116" s="21">
        <f>'Core Loads'!M$129*'Core Inputs'!$G$127+'Core Loads'!M$149*'Core Inputs'!$G$118+'Core Loads'!M$169*'Core Inputs'!$G$122</f>
        <v>0</v>
      </c>
      <c r="O116" s="21">
        <f>'Core Loads'!N$129*'Core Inputs'!$G$127+'Core Loads'!N$149*'Core Inputs'!$G$118+'Core Loads'!N$169*'Core Inputs'!$G$122</f>
        <v>0</v>
      </c>
      <c r="P116" s="21">
        <f>'Core Loads'!O$129*'Core Inputs'!$G$127+'Core Loads'!O$149*'Core Inputs'!$G$118+'Core Loads'!O$169*'Core Inputs'!$G$122</f>
        <v>0</v>
      </c>
      <c r="Q116" s="21">
        <f>'Core Loads'!P$129*'Core Inputs'!$G$127+'Core Loads'!P$149*'Core Inputs'!$G$118+'Core Loads'!P$169*'Core Inputs'!$G$122</f>
        <v>0</v>
      </c>
      <c r="R116" s="21">
        <f>'Core Loads'!Q$129*'Core Inputs'!$G$127+'Core Loads'!Q$149*'Core Inputs'!$G$118+'Core Loads'!Q$169*'Core Inputs'!$G$122</f>
        <v>0</v>
      </c>
      <c r="S116" s="21">
        <f>'Core Loads'!R$129*'Core Inputs'!$G$127+'Core Loads'!R$149*'Core Inputs'!$G$118+'Core Loads'!R$169*'Core Inputs'!$G$122</f>
        <v>0</v>
      </c>
      <c r="T116" s="21">
        <f>'Core Loads'!S$129*'Core Inputs'!$G$127+'Core Loads'!S$149*'Core Inputs'!$G$118+'Core Loads'!S$169*'Core Inputs'!$G$122</f>
        <v>0</v>
      </c>
      <c r="U116" s="21">
        <f>'Core Loads'!T$129*'Core Inputs'!$G$127+'Core Loads'!T$149*'Core Inputs'!$G$118+'Core Loads'!T$169*'Core Inputs'!$G$122</f>
        <v>0</v>
      </c>
      <c r="V116" s="21">
        <f>'Core Loads'!U$129*'Core Inputs'!$G$127+'Core Loads'!U$149*'Core Inputs'!$G$118+'Core Loads'!U$169*'Core Inputs'!$G$122</f>
        <v>0</v>
      </c>
      <c r="W116" s="21">
        <f>'Core Loads'!V$129*'Core Inputs'!$G$127+'Core Loads'!V$149*'Core Inputs'!$G$118+'Core Loads'!V$169*'Core Inputs'!$G$122</f>
        <v>0</v>
      </c>
      <c r="X116" s="21">
        <f>'Core Loads'!W$129*'Core Inputs'!$G$127+'Core Loads'!W$149*'Core Inputs'!$G$118+'Core Loads'!W$169*'Core Inputs'!$G$122</f>
        <v>0</v>
      </c>
      <c r="Y116" s="21">
        <f>'Core Loads'!X$129*'Core Inputs'!$G$127+'Core Loads'!X$149*'Core Inputs'!$G$118+'Core Loads'!X$169*'Core Inputs'!$G$122</f>
        <v>0</v>
      </c>
      <c r="Z116" s="21">
        <f>'Core Loads'!Y$129*'Core Inputs'!$G$127+'Core Loads'!Y$149*'Core Inputs'!$G$118+'Core Loads'!Y$169*'Core Inputs'!$G$122</f>
        <v>0</v>
      </c>
      <c r="AA116" s="21">
        <f>'Core Loads'!Z$129*'Core Inputs'!$G$127+'Core Loads'!Z$149*'Core Inputs'!$G$118+'Core Loads'!Z$169*'Core Inputs'!$G$122</f>
        <v>0</v>
      </c>
      <c r="AB116" s="21">
        <f>'Core Loads'!AA$129*'Core Inputs'!$G$127+'Core Loads'!AA$149*'Core Inputs'!$G$118+'Core Loads'!AA$169*'Core Inputs'!$G$122</f>
        <v>0</v>
      </c>
      <c r="AC116" s="21">
        <f>'Core Loads'!AB$129*'Core Inputs'!$G$127+'Core Loads'!AB$149*'Core Inputs'!$G$118+'Core Loads'!AB$169*'Core Inputs'!$G$122</f>
        <v>0</v>
      </c>
      <c r="AD116" s="21">
        <f>'Core Loads'!AC$129*'Core Inputs'!$G$127+'Core Loads'!AC$149*'Core Inputs'!$G$118+'Core Loads'!AC$169*'Core Inputs'!$G$122</f>
        <v>0</v>
      </c>
      <c r="AE116" s="21">
        <f>'Core Loads'!AD$129*'Core Inputs'!$G$127+'Core Loads'!AD$149*'Core Inputs'!$G$118+'Core Loads'!AD$169*'Core Inputs'!$G$122</f>
        <v>0</v>
      </c>
      <c r="AF116" s="21">
        <f>'Core Loads'!AE$129*'Core Inputs'!$G$127+'Core Loads'!AE$149*'Core Inputs'!$G$118+'Core Loads'!AE$169*'Core Inputs'!$G$122</f>
        <v>0</v>
      </c>
      <c r="AG116" s="21">
        <f>'Core Loads'!AF$129*'Core Inputs'!$G$127+'Core Loads'!AF$149*'Core Inputs'!$G$118+'Core Loads'!AF$169*'Core Inputs'!$G$122</f>
        <v>0</v>
      </c>
      <c r="AH116"/>
      <c r="AI116" s="23" t="s">
        <v>293</v>
      </c>
    </row>
    <row r="117" spans="2:35" s="1" customFormat="1" outlineLevel="1" x14ac:dyDescent="0.25">
      <c r="C117" s="31" t="s">
        <v>245</v>
      </c>
      <c r="D117" s="21">
        <f>'Core Loads'!C$130*Process_1C_CCF_per_lb_lowerSproulOffices+'Core Loads'!C$150*Htg_1C_CCF_per_MMBtu_lowerSproulOffices+'Core Loads'!C$170*Clg_1C_CCF_per_ton_lowerSproulOffices</f>
        <v>0</v>
      </c>
      <c r="E117" s="69">
        <f>'Core Loads'!D$130*Process_1C_CCF_per_lb_lowerSproulOffices+'Core Loads'!D$150*Htg_1C_CCF_per_MMBtu_lowerSproulOffices+'Core Loads'!D$170*Clg_1C_CCF_per_ton_lowerSproulOffices</f>
        <v>0</v>
      </c>
      <c r="F117" s="21">
        <f>'Core Loads'!E$130*Process_1C_CCF_per_lb_lowerSproulOffices+'Core Loads'!E$150*Htg_1C_CCF_per_MMBtu_lowerSproulOffices+'Core Loads'!E$170*Clg_1C_CCF_per_ton_lowerSproulOffices</f>
        <v>0</v>
      </c>
      <c r="G117" s="21">
        <f>'Core Loads'!F$130*Process_1C_CCF_per_lb_lowerSproulOffices+'Core Loads'!F$150*Htg_1C_CCF_per_MMBtu_lowerSproulOffices+'Core Loads'!F$170*Clg_1C_CCF_per_ton_lowerSproulOffices</f>
        <v>0</v>
      </c>
      <c r="H117" s="21">
        <f>'Core Loads'!G$130*Process_1C_CCF_per_lb_lowerSproulOffices+'Core Loads'!G$150*Htg_1C_CCF_per_MMBtu_lowerSproulOffices+'Core Loads'!G$170*Clg_1C_CCF_per_ton_lowerSproulOffices</f>
        <v>0</v>
      </c>
      <c r="I117" s="21">
        <f>'Core Loads'!H$130*Process_1C_CCF_per_lb_lowerSproulOffices+'Core Loads'!H$150*Htg_1C_CCF_per_MMBtu_lowerSproulOffices+'Core Loads'!H$170*Clg_1C_CCF_per_ton_lowerSproulOffices</f>
        <v>0</v>
      </c>
      <c r="J117" s="21">
        <f>'Core Loads'!I$130*Process_1C_CCF_per_lb_lowerSproulOffices+'Core Loads'!I$150*Htg_1C_CCF_per_MMBtu_lowerSproulOffices+'Core Loads'!I$170*Clg_1C_CCF_per_ton_lowerSproulOffices</f>
        <v>0</v>
      </c>
      <c r="K117" s="21">
        <f>'Core Loads'!J$130*Process_1C_CCF_per_lb_lowerSproulOffices+'Core Loads'!J$150*Htg_1C_CCF_per_MMBtu_lowerSproulOffices+'Core Loads'!J$170*Clg_1C_CCF_per_ton_lowerSproulOffices</f>
        <v>0</v>
      </c>
      <c r="L117" s="21">
        <f>'Core Loads'!K$130*Process_1C_CCF_per_lb_lowerSproulOffices+'Core Loads'!K$150*Htg_1C_CCF_per_MMBtu_lowerSproulOffices+'Core Loads'!K$170*Clg_1C_CCF_per_ton_lowerSproulOffices</f>
        <v>0</v>
      </c>
      <c r="M117" s="21">
        <f>'Core Loads'!L$130*Process_1C_CCF_per_lb_lowerSproulOffices+'Core Loads'!L$150*Htg_1C_CCF_per_MMBtu_lowerSproulOffices+'Core Loads'!L$170*Clg_1C_CCF_per_ton_lowerSproulOffices</f>
        <v>0</v>
      </c>
      <c r="N117" s="21">
        <f>'Core Loads'!M$130*Process_1C_CCF_per_lb_lowerSproulOffices+'Core Loads'!M$150*Htg_1C_CCF_per_MMBtu_lowerSproulOffices+'Core Loads'!M$170*Clg_1C_CCF_per_ton_lowerSproulOffices</f>
        <v>0</v>
      </c>
      <c r="O117" s="21">
        <f>'Core Loads'!N$130*Process_1C_CCF_per_lb_lowerSproulOffices+'Core Loads'!N$150*Htg_1C_CCF_per_MMBtu_lowerSproulOffices+'Core Loads'!N$170*Clg_1C_CCF_per_ton_lowerSproulOffices</f>
        <v>0</v>
      </c>
      <c r="P117" s="21">
        <f>'Core Loads'!O$130*Process_1C_CCF_per_lb_lowerSproulOffices+'Core Loads'!O$150*Htg_1C_CCF_per_MMBtu_lowerSproulOffices+'Core Loads'!O$170*Clg_1C_CCF_per_ton_lowerSproulOffices</f>
        <v>0</v>
      </c>
      <c r="Q117" s="21">
        <f>'Core Loads'!P$130*Process_1C_CCF_per_lb_lowerSproulOffices+'Core Loads'!P$150*Htg_1C_CCF_per_MMBtu_lowerSproulOffices+'Core Loads'!P$170*Clg_1C_CCF_per_ton_lowerSproulOffices</f>
        <v>0</v>
      </c>
      <c r="R117" s="21">
        <f>'Core Loads'!Q$130*Process_1C_CCF_per_lb_lowerSproulOffices+'Core Loads'!Q$150*Htg_1C_CCF_per_MMBtu_lowerSproulOffices+'Core Loads'!Q$170*Clg_1C_CCF_per_ton_lowerSproulOffices</f>
        <v>11837.862173080874</v>
      </c>
      <c r="S117" s="21">
        <f>'Core Loads'!R$130*Process_1C_CCF_per_lb_lowerSproulOffices+'Core Loads'!R$150*Htg_1C_CCF_per_MMBtu_lowerSproulOffices+'Core Loads'!R$170*Clg_1C_CCF_per_ton_lowerSproulOffices</f>
        <v>28783.849413176406</v>
      </c>
      <c r="T117" s="21">
        <f>'Core Loads'!S$130*Process_1C_CCF_per_lb_lowerSproulOffices+'Core Loads'!S$150*Htg_1C_CCF_per_MMBtu_lowerSproulOffices+'Core Loads'!S$170*Clg_1C_CCF_per_ton_lowerSproulOffices</f>
        <v>28783.849413176406</v>
      </c>
      <c r="U117" s="21">
        <f>'Core Loads'!T$130*Process_1C_CCF_per_lb_lowerSproulOffices+'Core Loads'!T$150*Htg_1C_CCF_per_MMBtu_lowerSproulOffices+'Core Loads'!T$170*Clg_1C_CCF_per_ton_lowerSproulOffices</f>
        <v>28783.849413176406</v>
      </c>
      <c r="V117" s="21">
        <f>'Core Loads'!U$130*Process_1C_CCF_per_lb_lowerSproulOffices+'Core Loads'!U$150*Htg_1C_CCF_per_MMBtu_lowerSproulOffices+'Core Loads'!U$170*Clg_1C_CCF_per_ton_lowerSproulOffices</f>
        <v>28783.849413176406</v>
      </c>
      <c r="W117" s="21">
        <f>'Core Loads'!V$130*Process_1C_CCF_per_lb_lowerSproulOffices+'Core Loads'!V$150*Htg_1C_CCF_per_MMBtu_lowerSproulOffices+'Core Loads'!V$170*Clg_1C_CCF_per_ton_lowerSproulOffices</f>
        <v>28783.849413176406</v>
      </c>
      <c r="X117" s="21">
        <f>'Core Loads'!W$130*Process_1C_CCF_per_lb_lowerSproulOffices+'Core Loads'!W$150*Htg_1C_CCF_per_MMBtu_lowerSproulOffices+'Core Loads'!W$170*Clg_1C_CCF_per_ton_lowerSproulOffices</f>
        <v>28783.849413176406</v>
      </c>
      <c r="Y117" s="21">
        <f>'Core Loads'!X$130*Process_1C_CCF_per_lb_lowerSproulOffices+'Core Loads'!X$150*Htg_1C_CCF_per_MMBtu_lowerSproulOffices+'Core Loads'!X$170*Clg_1C_CCF_per_ton_lowerSproulOffices</f>
        <v>28783.849413176406</v>
      </c>
      <c r="Z117" s="21">
        <f>'Core Loads'!Y$130*Process_1C_CCF_per_lb_lowerSproulOffices+'Core Loads'!Y$150*Htg_1C_CCF_per_MMBtu_lowerSproulOffices+'Core Loads'!Y$170*Clg_1C_CCF_per_ton_lowerSproulOffices</f>
        <v>28783.849413176406</v>
      </c>
      <c r="AA117" s="21">
        <f>'Core Loads'!Z$130*Process_1C_CCF_per_lb_lowerSproulOffices+'Core Loads'!Z$150*Htg_1C_CCF_per_MMBtu_lowerSproulOffices+'Core Loads'!Z$170*Clg_1C_CCF_per_ton_lowerSproulOffices</f>
        <v>28783.849413176406</v>
      </c>
      <c r="AB117" s="21">
        <f>'Core Loads'!AA$130*Process_1C_CCF_per_lb_lowerSproulOffices+'Core Loads'!AA$150*Htg_1C_CCF_per_MMBtu_lowerSproulOffices+'Core Loads'!AA$170*Clg_1C_CCF_per_ton_lowerSproulOffices</f>
        <v>28783.849413176406</v>
      </c>
      <c r="AC117" s="21">
        <f>'Core Loads'!AB$130*Process_1C_CCF_per_lb_lowerSproulOffices+'Core Loads'!AB$150*Htg_1C_CCF_per_MMBtu_lowerSproulOffices+'Core Loads'!AB$170*Clg_1C_CCF_per_ton_lowerSproulOffices</f>
        <v>28783.849413176406</v>
      </c>
      <c r="AD117" s="21">
        <f>'Core Loads'!AC$130*Process_1C_CCF_per_lb_lowerSproulOffices+'Core Loads'!AC$150*Htg_1C_CCF_per_MMBtu_lowerSproulOffices+'Core Loads'!AC$170*Clg_1C_CCF_per_ton_lowerSproulOffices</f>
        <v>28783.849413176406</v>
      </c>
      <c r="AE117" s="21">
        <f>'Core Loads'!AD$130*Process_1C_CCF_per_lb_lowerSproulOffices+'Core Loads'!AD$150*Htg_1C_CCF_per_MMBtu_lowerSproulOffices+'Core Loads'!AD$170*Clg_1C_CCF_per_ton_lowerSproulOffices</f>
        <v>28783.849413176406</v>
      </c>
      <c r="AF117" s="21">
        <f>'Core Loads'!AE$130*Process_1C_CCF_per_lb_lowerSproulOffices+'Core Loads'!AE$150*Htg_1C_CCF_per_MMBtu_lowerSproulOffices+'Core Loads'!AE$170*Clg_1C_CCF_per_ton_lowerSproulOffices</f>
        <v>28783.849413176406</v>
      </c>
      <c r="AG117" s="21">
        <f>'Core Loads'!AF$130*Process_1C_CCF_per_lb_lowerSproulOffices+'Core Loads'!AF$150*Htg_1C_CCF_per_MMBtu_lowerSproulOffices+'Core Loads'!AF$170*Clg_1C_CCF_per_ton_lowerSproulOffices</f>
        <v>28783.849413176406</v>
      </c>
      <c r="AH117"/>
      <c r="AI117" s="23" t="s">
        <v>293</v>
      </c>
    </row>
    <row r="120" spans="2:35" s="1" customFormat="1" ht="20.25" thickBot="1" x14ac:dyDescent="0.35">
      <c r="B120" s="18" t="s">
        <v>285</v>
      </c>
      <c r="C120" s="18"/>
      <c r="D120" s="18"/>
      <c r="E120" s="25"/>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row>
    <row r="121" spans="2:35" s="1" customFormat="1" ht="18" hidden="1" outlineLevel="1" thickTop="1" thickBot="1" x14ac:dyDescent="0.3">
      <c r="B121" s="19" t="s">
        <v>278</v>
      </c>
      <c r="C121" s="19"/>
      <c r="D121" s="19"/>
      <c r="E121" s="67"/>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row>
    <row r="122" spans="2:35" s="1" customFormat="1" ht="16.5" hidden="1" outlineLevel="1" thickTop="1" thickBot="1" x14ac:dyDescent="0.3">
      <c r="B122" s="20" t="s">
        <v>292</v>
      </c>
      <c r="C122" s="20" t="s">
        <v>13</v>
      </c>
      <c r="D122" s="20" t="s">
        <v>17</v>
      </c>
      <c r="E122" s="68"/>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t="s">
        <v>15</v>
      </c>
    </row>
    <row r="123" spans="2:35" hidden="1" outlineLevel="1" x14ac:dyDescent="0.25">
      <c r="D123" s="8">
        <f>'Core Loads'!$C$14</f>
        <v>2025</v>
      </c>
      <c r="E123" s="62">
        <f>'Core Loads'!$D$14</f>
        <v>2026</v>
      </c>
      <c r="F123" s="8">
        <f>'Core Loads'!$E$14</f>
        <v>2027</v>
      </c>
      <c r="G123" s="8">
        <f>'Core Loads'!$F$14</f>
        <v>2028</v>
      </c>
      <c r="H123" s="8">
        <f>'Core Loads'!$G$14</f>
        <v>2029</v>
      </c>
      <c r="I123" s="8">
        <f>'Core Loads'!$H$14</f>
        <v>2030</v>
      </c>
      <c r="J123" s="8">
        <f>'Core Loads'!$I$14</f>
        <v>2031</v>
      </c>
      <c r="K123" s="8">
        <f>'Core Loads'!$J$14</f>
        <v>2032</v>
      </c>
      <c r="L123" s="8">
        <f>'Core Loads'!$K$14</f>
        <v>2033</v>
      </c>
      <c r="M123" s="8">
        <f>'Core Loads'!$L$14</f>
        <v>2034</v>
      </c>
      <c r="N123" s="8">
        <f>'Core Loads'!$M$14</f>
        <v>2035</v>
      </c>
      <c r="O123" s="8">
        <f>'Core Loads'!$N$14</f>
        <v>2036</v>
      </c>
      <c r="P123" s="8">
        <f>'Core Loads'!$O$14</f>
        <v>2037</v>
      </c>
      <c r="Q123" s="8">
        <f>'Core Loads'!$P$14</f>
        <v>2038</v>
      </c>
      <c r="R123" s="8">
        <f>'Core Loads'!$Q$14</f>
        <v>2039</v>
      </c>
      <c r="S123" s="8">
        <f>'Core Loads'!$R$14</f>
        <v>2040</v>
      </c>
      <c r="T123" s="8">
        <f>'Core Loads'!$S$14</f>
        <v>2041</v>
      </c>
      <c r="U123" s="8">
        <f>'Core Loads'!$T$14</f>
        <v>2042</v>
      </c>
      <c r="V123" s="8">
        <f>'Core Loads'!$U$14</f>
        <v>2043</v>
      </c>
      <c r="W123" s="8">
        <f>'Core Loads'!$V$14</f>
        <v>2044</v>
      </c>
      <c r="X123" s="8">
        <f>'Core Loads'!$W$14</f>
        <v>2045</v>
      </c>
      <c r="Y123" s="8">
        <f>'Core Loads'!$X$14</f>
        <v>2046</v>
      </c>
      <c r="Z123" s="8">
        <f>'Core Loads'!$Y$14</f>
        <v>2047</v>
      </c>
      <c r="AA123" s="8">
        <f>'Core Loads'!$Z$14</f>
        <v>2048</v>
      </c>
      <c r="AB123" s="8">
        <f>'Core Loads'!$AA$14</f>
        <v>2049</v>
      </c>
      <c r="AC123" s="8">
        <f>'Core Loads'!$AB$14</f>
        <v>2050</v>
      </c>
      <c r="AD123" s="8">
        <f>'Core Loads'!$AC$14</f>
        <v>2051</v>
      </c>
      <c r="AE123" s="8">
        <f>'Core Loads'!$AD$14</f>
        <v>2052</v>
      </c>
      <c r="AF123" s="8">
        <f>'Core Loads'!$AE$14</f>
        <v>2053</v>
      </c>
      <c r="AG123" s="8">
        <f>'Core Loads'!$AF$14</f>
        <v>2054</v>
      </c>
    </row>
    <row r="124" spans="2:35" s="1" customFormat="1" hidden="1" outlineLevel="1" x14ac:dyDescent="0.25">
      <c r="B124" t="s">
        <v>141</v>
      </c>
      <c r="C124" t="s">
        <v>109</v>
      </c>
      <c r="D124" s="21">
        <f>MAX('Core Loads'!C$184*Elec_exstg_kWh_per_kWh_campus+'Core Loads'!C$204*Process_exstg_kWh_per_lb_campus+'Core Loads'!C$224*Htg_exstg_kWh_per_MMBtu_campus+MAX('Core Loads'!C$244-AbsChillerLoad,0)*Clg_exstg_kWh_per_ton_campus-CogenElecOutputExstg,0)</f>
        <v>0</v>
      </c>
      <c r="E124" s="21">
        <f>MAX('Core Loads'!D$184*Elec_exstg_kWh_per_kWh_campus+'Core Loads'!D$204*Process_exstg_kWh_per_lb_campus+'Core Loads'!D$224*Htg_exstg_kWh_per_MMBtu_campus+MAX('Core Loads'!D$244-AbsChillerLoad,0)*Clg_exstg_kWh_per_ton_campus-CogenElecOutputExstg,0)</f>
        <v>2865758.5345967412</v>
      </c>
      <c r="F124" s="21">
        <f>MAX('Core Loads'!E$184*Elec_exstg_kWh_per_kWh_campus+'Core Loads'!E$204*Process_exstg_kWh_per_lb_campus+'Core Loads'!E$224*Htg_exstg_kWh_per_MMBtu_campus+MAX('Core Loads'!E$244-AbsChillerLoad,0)*Clg_exstg_kWh_per_ton_campus-CogenElecOutputExstg,0)</f>
        <v>0</v>
      </c>
      <c r="G124" s="21">
        <f>MAX('Core Loads'!F$184*Elec_exstg_kWh_per_kWh_campus+'Core Loads'!F$204*Process_exstg_kWh_per_lb_campus+'Core Loads'!F$224*Htg_exstg_kWh_per_MMBtu_campus+MAX('Core Loads'!F$244-AbsChillerLoad,0)*Clg_exstg_kWh_per_ton_campus-CogenElecOutputExstg,0)</f>
        <v>0</v>
      </c>
      <c r="H124" s="21">
        <f>MAX('Core Loads'!G$184*Elec_exstg_kWh_per_kWh_campus+'Core Loads'!G$204*Process_exstg_kWh_per_lb_campus+'Core Loads'!G$224*Htg_exstg_kWh_per_MMBtu_campus+MAX('Core Loads'!G$244-AbsChillerLoad,0)*Clg_exstg_kWh_per_ton_campus-CogenElecOutputExstg,0)</f>
        <v>0</v>
      </c>
      <c r="I124" s="21">
        <f>MAX('Core Loads'!H$184*Elec_exstg_kWh_per_kWh_campus+'Core Loads'!H$204*Process_exstg_kWh_per_lb_campus+'Core Loads'!H$224*Htg_exstg_kWh_per_MMBtu_campus+MAX('Core Loads'!H$244-AbsChillerLoad,0)*Clg_exstg_kWh_per_ton_campus-CogenElecOutputExstg,0)</f>
        <v>0</v>
      </c>
      <c r="J124" s="21">
        <f>MAX('Core Loads'!I$184*Elec_exstg_kWh_per_kWh_campus+'Core Loads'!I$204*Process_exstg_kWh_per_lb_campus+'Core Loads'!I$224*Htg_exstg_kWh_per_MMBtu_campus+MAX('Core Loads'!I$244-AbsChillerLoad,0)*Clg_exstg_kWh_per_ton_campus-CogenElecOutputExstg,0)</f>
        <v>0</v>
      </c>
      <c r="K124" s="21">
        <f>MAX('Core Loads'!J$184*Elec_exstg_kWh_per_kWh_campus+'Core Loads'!J$204*Process_exstg_kWh_per_lb_campus+'Core Loads'!J$224*Htg_exstg_kWh_per_MMBtu_campus+MAX('Core Loads'!J$244-AbsChillerLoad,0)*Clg_exstg_kWh_per_ton_campus-CogenElecOutputExstg,0)</f>
        <v>0</v>
      </c>
      <c r="L124" s="21">
        <f>MAX('Core Loads'!K$184*Elec_exstg_kWh_per_kWh_campus+'Core Loads'!K$204*Process_exstg_kWh_per_lb_campus+'Core Loads'!K$224*Htg_exstg_kWh_per_MMBtu_campus+MAX('Core Loads'!K$244-AbsChillerLoad,0)*Clg_exstg_kWh_per_ton_campus-CogenElecOutputExstg,0)</f>
        <v>0</v>
      </c>
      <c r="M124" s="21">
        <f>MAX('Core Loads'!L$184*Elec_exstg_kWh_per_kWh_campus+'Core Loads'!L$204*Process_exstg_kWh_per_lb_campus+'Core Loads'!L$224*Htg_exstg_kWh_per_MMBtu_campus+MAX('Core Loads'!L$244-AbsChillerLoad,0)*Clg_exstg_kWh_per_ton_campus-CogenElecOutputExstg,0)</f>
        <v>0</v>
      </c>
      <c r="N124" s="21">
        <f>MAX('Core Loads'!M$184*Elec_exstg_kWh_per_kWh_campus+'Core Loads'!M$204*Process_exstg_kWh_per_lb_campus+'Core Loads'!M$224*Htg_exstg_kWh_per_MMBtu_campus+MAX('Core Loads'!M$244-AbsChillerLoad,0)*Clg_exstg_kWh_per_ton_campus-CogenElecOutputExstg,0)</f>
        <v>0</v>
      </c>
      <c r="O124" s="21">
        <f>MAX('Core Loads'!N$184*Elec_exstg_kWh_per_kWh_campus+'Core Loads'!N$204*Process_exstg_kWh_per_lb_campus+'Core Loads'!N$224*Htg_exstg_kWh_per_MMBtu_campus+MAX('Core Loads'!N$244-AbsChillerLoad,0)*Clg_exstg_kWh_per_ton_campus-CogenElecOutputExstg,0)</f>
        <v>0</v>
      </c>
      <c r="P124" s="21">
        <f>MAX('Core Loads'!O$184*Elec_exstg_kWh_per_kWh_campus+'Core Loads'!O$204*Process_exstg_kWh_per_lb_campus+'Core Loads'!O$224*Htg_exstg_kWh_per_MMBtu_campus+MAX('Core Loads'!O$244-AbsChillerLoad,0)*Clg_exstg_kWh_per_ton_campus-CogenElecOutputExstg,0)</f>
        <v>0</v>
      </c>
      <c r="Q124" s="21">
        <f>MAX('Core Loads'!P$184*Elec_exstg_kWh_per_kWh_campus+'Core Loads'!P$204*Process_exstg_kWh_per_lb_campus+'Core Loads'!P$224*Htg_exstg_kWh_per_MMBtu_campus+MAX('Core Loads'!P$244-AbsChillerLoad,0)*Clg_exstg_kWh_per_ton_campus-CogenElecOutputExstg,0)</f>
        <v>0</v>
      </c>
      <c r="R124" s="21">
        <f>MAX('Core Loads'!Q$184*Elec_exstg_kWh_per_kWh_campus+'Core Loads'!Q$204*Process_exstg_kWh_per_lb_campus+'Core Loads'!Q$224*Htg_exstg_kWh_per_MMBtu_campus+MAX('Core Loads'!Q$244-AbsChillerLoad,0)*Clg_exstg_kWh_per_ton_campus-CogenElecOutputExstg,0)</f>
        <v>0</v>
      </c>
      <c r="S124" s="21">
        <f>MAX('Core Loads'!R$184*Elec_exstg_kWh_per_kWh_campus+'Core Loads'!R$204*Process_exstg_kWh_per_lb_campus+'Core Loads'!R$224*Htg_exstg_kWh_per_MMBtu_campus+MAX('Core Loads'!R$244-AbsChillerLoad,0)*Clg_exstg_kWh_per_ton_campus-CogenElecOutputExstg,0)</f>
        <v>0</v>
      </c>
      <c r="T124" s="21">
        <f>MAX('Core Loads'!S$184*Elec_exstg_kWh_per_kWh_campus+'Core Loads'!S$204*Process_exstg_kWh_per_lb_campus+'Core Loads'!S$224*Htg_exstg_kWh_per_MMBtu_campus+MAX('Core Loads'!S$244-AbsChillerLoad,0)*Clg_exstg_kWh_per_ton_campus-CogenElecOutputExstg,0)</f>
        <v>0</v>
      </c>
      <c r="U124" s="21">
        <f>MAX('Core Loads'!T$184*Elec_exstg_kWh_per_kWh_campus+'Core Loads'!T$204*Process_exstg_kWh_per_lb_campus+'Core Loads'!T$224*Htg_exstg_kWh_per_MMBtu_campus+MAX('Core Loads'!T$244-AbsChillerLoad,0)*Clg_exstg_kWh_per_ton_campus-CogenElecOutputExstg,0)</f>
        <v>0</v>
      </c>
      <c r="V124" s="21">
        <f>MAX('Core Loads'!U$184*Elec_exstg_kWh_per_kWh_campus+'Core Loads'!U$204*Process_exstg_kWh_per_lb_campus+'Core Loads'!U$224*Htg_exstg_kWh_per_MMBtu_campus+MAX('Core Loads'!U$244-AbsChillerLoad,0)*Clg_exstg_kWh_per_ton_campus-CogenElecOutputExstg,0)</f>
        <v>0</v>
      </c>
      <c r="W124" s="21">
        <f>MAX('Core Loads'!V$184*Elec_exstg_kWh_per_kWh_campus+'Core Loads'!V$204*Process_exstg_kWh_per_lb_campus+'Core Loads'!V$224*Htg_exstg_kWh_per_MMBtu_campus+MAX('Core Loads'!V$244-AbsChillerLoad,0)*Clg_exstg_kWh_per_ton_campus-CogenElecOutputExstg,0)</f>
        <v>0</v>
      </c>
      <c r="X124" s="21">
        <f>MAX('Core Loads'!W$184*Elec_exstg_kWh_per_kWh_campus+'Core Loads'!W$204*Process_exstg_kWh_per_lb_campus+'Core Loads'!W$224*Htg_exstg_kWh_per_MMBtu_campus+MAX('Core Loads'!W$244-AbsChillerLoad,0)*Clg_exstg_kWh_per_ton_campus-CogenElecOutputExstg,0)</f>
        <v>0</v>
      </c>
      <c r="Y124" s="21">
        <f>MAX('Core Loads'!X$184*Elec_exstg_kWh_per_kWh_campus+'Core Loads'!X$204*Process_exstg_kWh_per_lb_campus+'Core Loads'!X$224*Htg_exstg_kWh_per_MMBtu_campus+MAX('Core Loads'!X$244-AbsChillerLoad,0)*Clg_exstg_kWh_per_ton_campus-CogenElecOutputExstg,0)</f>
        <v>0</v>
      </c>
      <c r="Z124" s="21">
        <f>MAX('Core Loads'!Y$184*Elec_exstg_kWh_per_kWh_campus+'Core Loads'!Y$204*Process_exstg_kWh_per_lb_campus+'Core Loads'!Y$224*Htg_exstg_kWh_per_MMBtu_campus+MAX('Core Loads'!Y$244-AbsChillerLoad,0)*Clg_exstg_kWh_per_ton_campus-CogenElecOutputExstg,0)</f>
        <v>0</v>
      </c>
      <c r="AA124" s="21">
        <f>MAX('Core Loads'!Z$184*Elec_exstg_kWh_per_kWh_campus+'Core Loads'!Z$204*Process_exstg_kWh_per_lb_campus+'Core Loads'!Z$224*Htg_exstg_kWh_per_MMBtu_campus+MAX('Core Loads'!Z$244-AbsChillerLoad,0)*Clg_exstg_kWh_per_ton_campus-CogenElecOutputExstg,0)</f>
        <v>0</v>
      </c>
      <c r="AB124" s="21">
        <f>MAX('Core Loads'!AA$184*Elec_exstg_kWh_per_kWh_campus+'Core Loads'!AA$204*Process_exstg_kWh_per_lb_campus+'Core Loads'!AA$224*Htg_exstg_kWh_per_MMBtu_campus+MAX('Core Loads'!AA$244-AbsChillerLoad,0)*Clg_exstg_kWh_per_ton_campus-CogenElecOutputExstg,0)</f>
        <v>0</v>
      </c>
      <c r="AC124" s="21">
        <f>MAX('Core Loads'!AB$184*Elec_exstg_kWh_per_kWh_campus+'Core Loads'!AB$204*Process_exstg_kWh_per_lb_campus+'Core Loads'!AB$224*Htg_exstg_kWh_per_MMBtu_campus+MAX('Core Loads'!AB$244-AbsChillerLoad,0)*Clg_exstg_kWh_per_ton_campus-CogenElecOutputExstg,0)</f>
        <v>0</v>
      </c>
      <c r="AD124" s="21">
        <f>MAX('Core Loads'!AC$184*Elec_exstg_kWh_per_kWh_campus+'Core Loads'!AC$204*Process_exstg_kWh_per_lb_campus+'Core Loads'!AC$224*Htg_exstg_kWh_per_MMBtu_campus+MAX('Core Loads'!AC$244-AbsChillerLoad,0)*Clg_exstg_kWh_per_ton_campus-CogenElecOutputExstg,0)</f>
        <v>0</v>
      </c>
      <c r="AE124" s="21">
        <f>MAX('Core Loads'!AD$184*Elec_exstg_kWh_per_kWh_campus+'Core Loads'!AD$204*Process_exstg_kWh_per_lb_campus+'Core Loads'!AD$224*Htg_exstg_kWh_per_MMBtu_campus+MAX('Core Loads'!AD$244-AbsChillerLoad,0)*Clg_exstg_kWh_per_ton_campus-CogenElecOutputExstg,0)</f>
        <v>0</v>
      </c>
      <c r="AF124" s="21">
        <f>MAX('Core Loads'!AE$184*Elec_exstg_kWh_per_kWh_campus+'Core Loads'!AE$204*Process_exstg_kWh_per_lb_campus+'Core Loads'!AE$224*Htg_exstg_kWh_per_MMBtu_campus+MAX('Core Loads'!AE$244-AbsChillerLoad,0)*Clg_exstg_kWh_per_ton_campus-CogenElecOutputExstg,0)</f>
        <v>0</v>
      </c>
      <c r="AG124" s="21">
        <f>MAX('Core Loads'!AF$184*Elec_exstg_kWh_per_kWh_campus+'Core Loads'!AF$204*Process_exstg_kWh_per_lb_campus+'Core Loads'!AF$224*Htg_exstg_kWh_per_MMBtu_campus+MAX('Core Loads'!AF$244-AbsChillerLoad,0)*Clg_exstg_kWh_per_ton_campus-CogenElecOutputExstg,0)</f>
        <v>0</v>
      </c>
      <c r="AH124"/>
      <c r="AI124" s="23" t="s">
        <v>293</v>
      </c>
    </row>
    <row r="125" spans="2:35" s="1" customFormat="1" hidden="1" outlineLevel="1" x14ac:dyDescent="0.25">
      <c r="B125" t="s">
        <v>136</v>
      </c>
      <c r="C125" t="s">
        <v>169</v>
      </c>
      <c r="D125" s="21">
        <f>'Core Loads'!C$204*Process_exstg_therm_per_lb_campus+'Core Loads'!C$224*Htg_exstg_therm_per_MMBtu_campus+MIN('Core Loads'!C$244,AbsChillerLoad)*Clg_exstg_therm_per_ton_campus</f>
        <v>31258877.283118241</v>
      </c>
      <c r="E125" s="69">
        <f>'Core Loads'!D$204*Process_exstg_therm_per_lb_campus+'Core Loads'!D$224*Htg_exstg_therm_per_MMBtu_campus+MIN('Core Loads'!D$244,AbsChillerLoad)*Clg_exstg_therm_per_ton_campus</f>
        <v>31258877.283118241</v>
      </c>
      <c r="F125" s="21">
        <f>'Core Loads'!E$204*Process_exstg_therm_per_lb_campus+'Core Loads'!E$224*Htg_exstg_therm_per_MMBtu_campus+MIN('Core Loads'!E$244,AbsChillerLoad)*Clg_exstg_therm_per_ton_campus</f>
        <v>0</v>
      </c>
      <c r="G125" s="21">
        <f>'Core Loads'!F$204*Process_exstg_therm_per_lb_campus+'Core Loads'!F$224*Htg_exstg_therm_per_MMBtu_campus+MIN('Core Loads'!F$244,AbsChillerLoad)*Clg_exstg_therm_per_ton_campus</f>
        <v>0</v>
      </c>
      <c r="H125" s="21">
        <f>'Core Loads'!G$204*Process_exstg_therm_per_lb_campus+'Core Loads'!G$224*Htg_exstg_therm_per_MMBtu_campus+MIN('Core Loads'!G$244,AbsChillerLoad)*Clg_exstg_therm_per_ton_campus</f>
        <v>0</v>
      </c>
      <c r="I125" s="21">
        <f>'Core Loads'!H$204*Process_exstg_therm_per_lb_campus+'Core Loads'!H$224*Htg_exstg_therm_per_MMBtu_campus+MIN('Core Loads'!H$244,AbsChillerLoad)*Clg_exstg_therm_per_ton_campus</f>
        <v>0</v>
      </c>
      <c r="J125" s="21">
        <f>'Core Loads'!I$204*Process_exstg_therm_per_lb_campus+'Core Loads'!I$224*Htg_exstg_therm_per_MMBtu_campus+MIN('Core Loads'!I$244,AbsChillerLoad)*Clg_exstg_therm_per_ton_campus</f>
        <v>0</v>
      </c>
      <c r="K125" s="21">
        <f>'Core Loads'!J$204*Process_exstg_therm_per_lb_campus+'Core Loads'!J$224*Htg_exstg_therm_per_MMBtu_campus+MIN('Core Loads'!J$244,AbsChillerLoad)*Clg_exstg_therm_per_ton_campus</f>
        <v>0</v>
      </c>
      <c r="L125" s="21">
        <f>'Core Loads'!K$204*Process_exstg_therm_per_lb_campus+'Core Loads'!K$224*Htg_exstg_therm_per_MMBtu_campus+MIN('Core Loads'!K$244,AbsChillerLoad)*Clg_exstg_therm_per_ton_campus</f>
        <v>0</v>
      </c>
      <c r="M125" s="21">
        <f>'Core Loads'!L$204*Process_exstg_therm_per_lb_campus+'Core Loads'!L$224*Htg_exstg_therm_per_MMBtu_campus+MIN('Core Loads'!L$244,AbsChillerLoad)*Clg_exstg_therm_per_ton_campus</f>
        <v>0</v>
      </c>
      <c r="N125" s="21">
        <f>'Core Loads'!M$204*Process_exstg_therm_per_lb_campus+'Core Loads'!M$224*Htg_exstg_therm_per_MMBtu_campus+MIN('Core Loads'!M$244,AbsChillerLoad)*Clg_exstg_therm_per_ton_campus</f>
        <v>0</v>
      </c>
      <c r="O125" s="21">
        <f>'Core Loads'!N$204*Process_exstg_therm_per_lb_campus+'Core Loads'!N$224*Htg_exstg_therm_per_MMBtu_campus+MIN('Core Loads'!N$244,AbsChillerLoad)*Clg_exstg_therm_per_ton_campus</f>
        <v>0</v>
      </c>
      <c r="P125" s="21">
        <f>'Core Loads'!O$204*Process_exstg_therm_per_lb_campus+'Core Loads'!O$224*Htg_exstg_therm_per_MMBtu_campus+MIN('Core Loads'!O$244,AbsChillerLoad)*Clg_exstg_therm_per_ton_campus</f>
        <v>0</v>
      </c>
      <c r="Q125" s="21">
        <f>'Core Loads'!P$204*Process_exstg_therm_per_lb_campus+'Core Loads'!P$224*Htg_exstg_therm_per_MMBtu_campus+MIN('Core Loads'!P$244,AbsChillerLoad)*Clg_exstg_therm_per_ton_campus</f>
        <v>0</v>
      </c>
      <c r="R125" s="21">
        <f>'Core Loads'!Q$204*Process_exstg_therm_per_lb_campus+'Core Loads'!Q$224*Htg_exstg_therm_per_MMBtu_campus+MIN('Core Loads'!Q$244,AbsChillerLoad)*Clg_exstg_therm_per_ton_campus</f>
        <v>0</v>
      </c>
      <c r="S125" s="21">
        <f>'Core Loads'!R$204*Process_exstg_therm_per_lb_campus+'Core Loads'!R$224*Htg_exstg_therm_per_MMBtu_campus+MIN('Core Loads'!R$244,AbsChillerLoad)*Clg_exstg_therm_per_ton_campus</f>
        <v>0</v>
      </c>
      <c r="T125" s="21">
        <f>'Core Loads'!S$204*Process_exstg_therm_per_lb_campus+'Core Loads'!S$224*Htg_exstg_therm_per_MMBtu_campus+MIN('Core Loads'!S$244,AbsChillerLoad)*Clg_exstg_therm_per_ton_campus</f>
        <v>0</v>
      </c>
      <c r="U125" s="21">
        <f>'Core Loads'!T$204*Process_exstg_therm_per_lb_campus+'Core Loads'!T$224*Htg_exstg_therm_per_MMBtu_campus+MIN('Core Loads'!T$244,AbsChillerLoad)*Clg_exstg_therm_per_ton_campus</f>
        <v>0</v>
      </c>
      <c r="V125" s="21">
        <f>'Core Loads'!U$204*Process_exstg_therm_per_lb_campus+'Core Loads'!U$224*Htg_exstg_therm_per_MMBtu_campus+MIN('Core Loads'!U$244,AbsChillerLoad)*Clg_exstg_therm_per_ton_campus</f>
        <v>0</v>
      </c>
      <c r="W125" s="21">
        <f>'Core Loads'!V$204*Process_exstg_therm_per_lb_campus+'Core Loads'!V$224*Htg_exstg_therm_per_MMBtu_campus+MIN('Core Loads'!V$244,AbsChillerLoad)*Clg_exstg_therm_per_ton_campus</f>
        <v>0</v>
      </c>
      <c r="X125" s="21">
        <f>'Core Loads'!W$204*Process_exstg_therm_per_lb_campus+'Core Loads'!W$224*Htg_exstg_therm_per_MMBtu_campus+MIN('Core Loads'!W$244,AbsChillerLoad)*Clg_exstg_therm_per_ton_campus</f>
        <v>0</v>
      </c>
      <c r="Y125" s="21">
        <f>'Core Loads'!X$204*Process_exstg_therm_per_lb_campus+'Core Loads'!X$224*Htg_exstg_therm_per_MMBtu_campus+MIN('Core Loads'!X$244,AbsChillerLoad)*Clg_exstg_therm_per_ton_campus</f>
        <v>0</v>
      </c>
      <c r="Z125" s="21">
        <f>'Core Loads'!Y$204*Process_exstg_therm_per_lb_campus+'Core Loads'!Y$224*Htg_exstg_therm_per_MMBtu_campus+MIN('Core Loads'!Y$244,AbsChillerLoad)*Clg_exstg_therm_per_ton_campus</f>
        <v>0</v>
      </c>
      <c r="AA125" s="21">
        <f>'Core Loads'!Z$204*Process_exstg_therm_per_lb_campus+'Core Loads'!Z$224*Htg_exstg_therm_per_MMBtu_campus+MIN('Core Loads'!Z$244,AbsChillerLoad)*Clg_exstg_therm_per_ton_campus</f>
        <v>0</v>
      </c>
      <c r="AB125" s="21">
        <f>'Core Loads'!AA$204*Process_exstg_therm_per_lb_campus+'Core Loads'!AA$224*Htg_exstg_therm_per_MMBtu_campus+MIN('Core Loads'!AA$244,AbsChillerLoad)*Clg_exstg_therm_per_ton_campus</f>
        <v>0</v>
      </c>
      <c r="AC125" s="21">
        <f>'Core Loads'!AB$204*Process_exstg_therm_per_lb_campus+'Core Loads'!AB$224*Htg_exstg_therm_per_MMBtu_campus+MIN('Core Loads'!AB$244,AbsChillerLoad)*Clg_exstg_therm_per_ton_campus</f>
        <v>0</v>
      </c>
      <c r="AD125" s="21">
        <f>'Core Loads'!AC$204*Process_exstg_therm_per_lb_campus+'Core Loads'!AC$224*Htg_exstg_therm_per_MMBtu_campus+MIN('Core Loads'!AC$244,AbsChillerLoad)*Clg_exstg_therm_per_ton_campus</f>
        <v>0</v>
      </c>
      <c r="AE125" s="21">
        <f>'Core Loads'!AD$204*Process_exstg_therm_per_lb_campus+'Core Loads'!AD$224*Htg_exstg_therm_per_MMBtu_campus+MIN('Core Loads'!AD$244,AbsChillerLoad)*Clg_exstg_therm_per_ton_campus</f>
        <v>0</v>
      </c>
      <c r="AF125" s="21">
        <f>'Core Loads'!AE$204*Process_exstg_therm_per_lb_campus+'Core Loads'!AE$224*Htg_exstg_therm_per_MMBtu_campus+MIN('Core Loads'!AE$244,AbsChillerLoad)*Clg_exstg_therm_per_ton_campus</f>
        <v>0</v>
      </c>
      <c r="AG125" s="21">
        <f>'Core Loads'!AF$204*Process_exstg_therm_per_lb_campus+'Core Loads'!AF$224*Htg_exstg_therm_per_MMBtu_campus+MIN('Core Loads'!AF$244,AbsChillerLoad)*Clg_exstg_therm_per_ton_campus</f>
        <v>0</v>
      </c>
      <c r="AH125"/>
      <c r="AI125" s="23" t="s">
        <v>293</v>
      </c>
    </row>
    <row r="126" spans="2:35" s="1" customFormat="1" hidden="1" outlineLevel="1" x14ac:dyDescent="0.25">
      <c r="B126" t="s">
        <v>154</v>
      </c>
      <c r="C126" t="s">
        <v>170</v>
      </c>
      <c r="D126" s="21">
        <f>'Core Loads'!C$204*Process_exstg_CCF_per_lb_campus+'Core Loads'!C$224*Htg_exstg_CCF_per_MMBtu_campus+'Core Loads'!C$244*Clg_exstg_CCF_per_ton_campus</f>
        <v>278436.87957137165</v>
      </c>
      <c r="E126" s="69">
        <f>'Core Loads'!D$204*Process_exstg_CCF_per_lb_campus+'Core Loads'!D$224*Htg_exstg_CCF_per_MMBtu_campus+'Core Loads'!D$244*Clg_exstg_CCF_per_ton_campus</f>
        <v>297204.70349500491</v>
      </c>
      <c r="F126" s="21">
        <f>'Core Loads'!E$204*Process_exstg_CCF_per_lb_campus+'Core Loads'!E$224*Htg_exstg_CCF_per_MMBtu_campus+'Core Loads'!E$244*Clg_exstg_CCF_per_ton_campus</f>
        <v>0</v>
      </c>
      <c r="G126" s="21">
        <f>'Core Loads'!F$204*Process_exstg_CCF_per_lb_campus+'Core Loads'!F$224*Htg_exstg_CCF_per_MMBtu_campus+'Core Loads'!F$244*Clg_exstg_CCF_per_ton_campus</f>
        <v>0</v>
      </c>
      <c r="H126" s="21">
        <f>'Core Loads'!G$204*Process_exstg_CCF_per_lb_campus+'Core Loads'!G$224*Htg_exstg_CCF_per_MMBtu_campus+'Core Loads'!G$244*Clg_exstg_CCF_per_ton_campus</f>
        <v>0</v>
      </c>
      <c r="I126" s="21">
        <f>'Core Loads'!H$204*Process_exstg_CCF_per_lb_campus+'Core Loads'!H$224*Htg_exstg_CCF_per_MMBtu_campus+'Core Loads'!H$244*Clg_exstg_CCF_per_ton_campus</f>
        <v>0</v>
      </c>
      <c r="J126" s="21">
        <f>'Core Loads'!I$204*Process_exstg_CCF_per_lb_campus+'Core Loads'!I$224*Htg_exstg_CCF_per_MMBtu_campus+'Core Loads'!I$244*Clg_exstg_CCF_per_ton_campus</f>
        <v>0</v>
      </c>
      <c r="K126" s="21">
        <f>'Core Loads'!J$204*Process_exstg_CCF_per_lb_campus+'Core Loads'!J$224*Htg_exstg_CCF_per_MMBtu_campus+'Core Loads'!J$244*Clg_exstg_CCF_per_ton_campus</f>
        <v>0</v>
      </c>
      <c r="L126" s="21">
        <f>'Core Loads'!K$204*Process_exstg_CCF_per_lb_campus+'Core Loads'!K$224*Htg_exstg_CCF_per_MMBtu_campus+'Core Loads'!K$244*Clg_exstg_CCF_per_ton_campus</f>
        <v>0</v>
      </c>
      <c r="M126" s="21">
        <f>'Core Loads'!L$204*Process_exstg_CCF_per_lb_campus+'Core Loads'!L$224*Htg_exstg_CCF_per_MMBtu_campus+'Core Loads'!L$244*Clg_exstg_CCF_per_ton_campus</f>
        <v>0</v>
      </c>
      <c r="N126" s="21">
        <f>'Core Loads'!M$204*Process_exstg_CCF_per_lb_campus+'Core Loads'!M$224*Htg_exstg_CCF_per_MMBtu_campus+'Core Loads'!M$244*Clg_exstg_CCF_per_ton_campus</f>
        <v>0</v>
      </c>
      <c r="O126" s="21">
        <f>'Core Loads'!N$204*Process_exstg_CCF_per_lb_campus+'Core Loads'!N$224*Htg_exstg_CCF_per_MMBtu_campus+'Core Loads'!N$244*Clg_exstg_CCF_per_ton_campus</f>
        <v>0</v>
      </c>
      <c r="P126" s="21">
        <f>'Core Loads'!O$204*Process_exstg_CCF_per_lb_campus+'Core Loads'!O$224*Htg_exstg_CCF_per_MMBtu_campus+'Core Loads'!O$244*Clg_exstg_CCF_per_ton_campus</f>
        <v>0</v>
      </c>
      <c r="Q126" s="21">
        <f>'Core Loads'!P$204*Process_exstg_CCF_per_lb_campus+'Core Loads'!P$224*Htg_exstg_CCF_per_MMBtu_campus+'Core Loads'!P$244*Clg_exstg_CCF_per_ton_campus</f>
        <v>0</v>
      </c>
      <c r="R126" s="21">
        <f>'Core Loads'!Q$204*Process_exstg_CCF_per_lb_campus+'Core Loads'!Q$224*Htg_exstg_CCF_per_MMBtu_campus+'Core Loads'!Q$244*Clg_exstg_CCF_per_ton_campus</f>
        <v>0</v>
      </c>
      <c r="S126" s="21">
        <f>'Core Loads'!R$204*Process_exstg_CCF_per_lb_campus+'Core Loads'!R$224*Htg_exstg_CCF_per_MMBtu_campus+'Core Loads'!R$244*Clg_exstg_CCF_per_ton_campus</f>
        <v>0</v>
      </c>
      <c r="T126" s="21">
        <f>'Core Loads'!S$204*Process_exstg_CCF_per_lb_campus+'Core Loads'!S$224*Htg_exstg_CCF_per_MMBtu_campus+'Core Loads'!S$244*Clg_exstg_CCF_per_ton_campus</f>
        <v>0</v>
      </c>
      <c r="U126" s="21">
        <f>'Core Loads'!T$204*Process_exstg_CCF_per_lb_campus+'Core Loads'!T$224*Htg_exstg_CCF_per_MMBtu_campus+'Core Loads'!T$244*Clg_exstg_CCF_per_ton_campus</f>
        <v>0</v>
      </c>
      <c r="V126" s="21">
        <f>'Core Loads'!U$204*Process_exstg_CCF_per_lb_campus+'Core Loads'!U$224*Htg_exstg_CCF_per_MMBtu_campus+'Core Loads'!U$244*Clg_exstg_CCF_per_ton_campus</f>
        <v>0</v>
      </c>
      <c r="W126" s="21">
        <f>'Core Loads'!V$204*Process_exstg_CCF_per_lb_campus+'Core Loads'!V$224*Htg_exstg_CCF_per_MMBtu_campus+'Core Loads'!V$244*Clg_exstg_CCF_per_ton_campus</f>
        <v>0</v>
      </c>
      <c r="X126" s="21">
        <f>'Core Loads'!W$204*Process_exstg_CCF_per_lb_campus+'Core Loads'!W$224*Htg_exstg_CCF_per_MMBtu_campus+'Core Loads'!W$244*Clg_exstg_CCF_per_ton_campus</f>
        <v>0</v>
      </c>
      <c r="Y126" s="21">
        <f>'Core Loads'!X$204*Process_exstg_CCF_per_lb_campus+'Core Loads'!X$224*Htg_exstg_CCF_per_MMBtu_campus+'Core Loads'!X$244*Clg_exstg_CCF_per_ton_campus</f>
        <v>0</v>
      </c>
      <c r="Z126" s="21">
        <f>'Core Loads'!Y$204*Process_exstg_CCF_per_lb_campus+'Core Loads'!Y$224*Htg_exstg_CCF_per_MMBtu_campus+'Core Loads'!Y$244*Clg_exstg_CCF_per_ton_campus</f>
        <v>0</v>
      </c>
      <c r="AA126" s="21">
        <f>'Core Loads'!Z$204*Process_exstg_CCF_per_lb_campus+'Core Loads'!Z$224*Htg_exstg_CCF_per_MMBtu_campus+'Core Loads'!Z$244*Clg_exstg_CCF_per_ton_campus</f>
        <v>0</v>
      </c>
      <c r="AB126" s="21">
        <f>'Core Loads'!AA$204*Process_exstg_CCF_per_lb_campus+'Core Loads'!AA$224*Htg_exstg_CCF_per_MMBtu_campus+'Core Loads'!AA$244*Clg_exstg_CCF_per_ton_campus</f>
        <v>0</v>
      </c>
      <c r="AC126" s="21">
        <f>'Core Loads'!AB$204*Process_exstg_CCF_per_lb_campus+'Core Loads'!AB$224*Htg_exstg_CCF_per_MMBtu_campus+'Core Loads'!AB$244*Clg_exstg_CCF_per_ton_campus</f>
        <v>0</v>
      </c>
      <c r="AD126" s="21">
        <f>'Core Loads'!AC$204*Process_exstg_CCF_per_lb_campus+'Core Loads'!AC$224*Htg_exstg_CCF_per_MMBtu_campus+'Core Loads'!AC$244*Clg_exstg_CCF_per_ton_campus</f>
        <v>0</v>
      </c>
      <c r="AE126" s="21">
        <f>'Core Loads'!AD$204*Process_exstg_CCF_per_lb_campus+'Core Loads'!AD$224*Htg_exstg_CCF_per_MMBtu_campus+'Core Loads'!AD$244*Clg_exstg_CCF_per_ton_campus</f>
        <v>0</v>
      </c>
      <c r="AF126" s="21">
        <f>'Core Loads'!AE$204*Process_exstg_CCF_per_lb_campus+'Core Loads'!AE$224*Htg_exstg_CCF_per_MMBtu_campus+'Core Loads'!AE$244*Clg_exstg_CCF_per_ton_campus</f>
        <v>0</v>
      </c>
      <c r="AG126" s="21">
        <f>'Core Loads'!AF$204*Process_exstg_CCF_per_lb_campus+'Core Loads'!AF$224*Htg_exstg_CCF_per_MMBtu_campus+'Core Loads'!AF$244*Clg_exstg_CCF_per_ton_campus</f>
        <v>0</v>
      </c>
      <c r="AH126"/>
      <c r="AI126" s="23" t="s">
        <v>293</v>
      </c>
    </row>
    <row r="127" spans="2:35" hidden="1" outlineLevel="1" x14ac:dyDescent="0.25"/>
    <row r="128" spans="2:35" s="1" customFormat="1" ht="17.25" hidden="1" outlineLevel="1" thickBot="1" x14ac:dyDescent="0.3">
      <c r="B128" s="19" t="s">
        <v>280</v>
      </c>
      <c r="C128" s="19"/>
      <c r="D128" s="19"/>
      <c r="E128" s="67"/>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row>
    <row r="129" spans="2:35" s="1" customFormat="1" ht="16.5" hidden="1" outlineLevel="1" thickTop="1" thickBot="1" x14ac:dyDescent="0.3">
      <c r="B129" s="20" t="s">
        <v>292</v>
      </c>
      <c r="C129" s="20" t="s">
        <v>13</v>
      </c>
      <c r="D129" s="20" t="s">
        <v>17</v>
      </c>
      <c r="E129" s="68"/>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t="s">
        <v>15</v>
      </c>
    </row>
    <row r="130" spans="2:35" hidden="1" outlineLevel="1" x14ac:dyDescent="0.25">
      <c r="D130" s="8">
        <f>'Core Loads'!$C$14</f>
        <v>2025</v>
      </c>
      <c r="E130" s="62">
        <f>'Core Loads'!$D$14</f>
        <v>2026</v>
      </c>
      <c r="F130" s="8">
        <f>'Core Loads'!$E$14</f>
        <v>2027</v>
      </c>
      <c r="G130" s="8">
        <f>'Core Loads'!$F$14</f>
        <v>2028</v>
      </c>
      <c r="H130" s="8">
        <f>'Core Loads'!$G$14</f>
        <v>2029</v>
      </c>
      <c r="I130" s="8">
        <f>'Core Loads'!$H$14</f>
        <v>2030</v>
      </c>
      <c r="J130" s="8">
        <f>'Core Loads'!$I$14</f>
        <v>2031</v>
      </c>
      <c r="K130" s="8">
        <f>'Core Loads'!$J$14</f>
        <v>2032</v>
      </c>
      <c r="L130" s="8">
        <f>'Core Loads'!$K$14</f>
        <v>2033</v>
      </c>
      <c r="M130" s="8">
        <f>'Core Loads'!$L$14</f>
        <v>2034</v>
      </c>
      <c r="N130" s="8">
        <f>'Core Loads'!$M$14</f>
        <v>2035</v>
      </c>
      <c r="O130" s="8">
        <f>'Core Loads'!$N$14</f>
        <v>2036</v>
      </c>
      <c r="P130" s="8">
        <f>'Core Loads'!$O$14</f>
        <v>2037</v>
      </c>
      <c r="Q130" s="8">
        <f>'Core Loads'!$P$14</f>
        <v>2038</v>
      </c>
      <c r="R130" s="8">
        <f>'Core Loads'!$Q$14</f>
        <v>2039</v>
      </c>
      <c r="S130" s="8">
        <f>'Core Loads'!$R$14</f>
        <v>2040</v>
      </c>
      <c r="T130" s="8">
        <f>'Core Loads'!$S$14</f>
        <v>2041</v>
      </c>
      <c r="U130" s="8">
        <f>'Core Loads'!$T$14</f>
        <v>2042</v>
      </c>
      <c r="V130" s="8">
        <f>'Core Loads'!$U$14</f>
        <v>2043</v>
      </c>
      <c r="W130" s="8">
        <f>'Core Loads'!$V$14</f>
        <v>2044</v>
      </c>
      <c r="X130" s="8">
        <f>'Core Loads'!$W$14</f>
        <v>2045</v>
      </c>
      <c r="Y130" s="8">
        <f>'Core Loads'!$X$14</f>
        <v>2046</v>
      </c>
      <c r="Z130" s="8">
        <f>'Core Loads'!$Y$14</f>
        <v>2047</v>
      </c>
      <c r="AA130" s="8">
        <f>'Core Loads'!$Z$14</f>
        <v>2048</v>
      </c>
      <c r="AB130" s="8">
        <f>'Core Loads'!$AA$14</f>
        <v>2049</v>
      </c>
      <c r="AC130" s="8">
        <f>'Core Loads'!$AB$14</f>
        <v>2050</v>
      </c>
      <c r="AD130" s="8">
        <f>'Core Loads'!$AC$14</f>
        <v>2051</v>
      </c>
      <c r="AE130" s="8">
        <f>'Core Loads'!$AD$14</f>
        <v>2052</v>
      </c>
      <c r="AF130" s="8">
        <f>'Core Loads'!$AE$14</f>
        <v>2053</v>
      </c>
      <c r="AG130" s="8">
        <f>'Core Loads'!$AF$14</f>
        <v>2054</v>
      </c>
    </row>
    <row r="131" spans="2:35" s="1" customFormat="1" hidden="1" outlineLevel="1" x14ac:dyDescent="0.25">
      <c r="B131" t="s">
        <v>141</v>
      </c>
      <c r="C131" t="s">
        <v>109</v>
      </c>
      <c r="D131" s="21">
        <f>MAX('Core Loads'!C$193*Elec_2_kWh_per_kWh_campus+'Core Loads'!C$213*Process_2_kWh_per_lb_campus+'Core Loads'!C$233*Htg_2_kWh_per_MMBtu_campus+'Core Loads'!C$253*Clg_2_kWh_per_ton_campus-CogenElecOutputNew,0)</f>
        <v>0</v>
      </c>
      <c r="E131" s="21">
        <f>MAX('Core Loads'!D$193*Elec_2_kWh_per_kWh_campus+'Core Loads'!D$213*Process_2_kWh_per_lb_campus+'Core Loads'!D$233*Htg_2_kWh_per_MMBtu_campus+'Core Loads'!D$253*Clg_2_kWh_per_ton_campus-CogenElecOutputNew,0)</f>
        <v>0</v>
      </c>
      <c r="F131" s="21">
        <f>MAX('Core Loads'!E$193*Elec_2_kWh_per_kWh_campus+'Core Loads'!E$213*Process_2_kWh_per_lb_campus+'Core Loads'!E$233*Htg_2_kWh_per_MMBtu_campus+'Core Loads'!E$253*Clg_2_kWh_per_ton_campus-CogenElecOutputNew,0)</f>
        <v>0</v>
      </c>
      <c r="G131" s="21">
        <f>MAX('Core Loads'!F$193*Elec_2_kWh_per_kWh_campus+'Core Loads'!F$213*Process_2_kWh_per_lb_campus+'Core Loads'!F$233*Htg_2_kWh_per_MMBtu_campus+'Core Loads'!F$253*Clg_2_kWh_per_ton_campus-CogenElecOutputNew,0)</f>
        <v>0</v>
      </c>
      <c r="H131" s="21">
        <f>MAX('Core Loads'!G$193*Elec_2_kWh_per_kWh_campus+'Core Loads'!G$213*Process_2_kWh_per_lb_campus+'Core Loads'!G$233*Htg_2_kWh_per_MMBtu_campus+'Core Loads'!G$253*Clg_2_kWh_per_ton_campus-CogenElecOutputNew,0)</f>
        <v>0</v>
      </c>
      <c r="I131" s="21">
        <f>MAX('Core Loads'!H$193*Elec_2_kWh_per_kWh_campus+'Core Loads'!H$213*Process_2_kWh_per_lb_campus+'Core Loads'!H$233*Htg_2_kWh_per_MMBtu_campus+'Core Loads'!H$253*Clg_2_kWh_per_ton_campus-CogenElecOutputNew,0)</f>
        <v>0</v>
      </c>
      <c r="J131" s="21">
        <f>MAX('Core Loads'!I$193*Elec_2_kWh_per_kWh_campus+'Core Loads'!I$213*Process_2_kWh_per_lb_campus+'Core Loads'!I$233*Htg_2_kWh_per_MMBtu_campus+'Core Loads'!I$253*Clg_2_kWh_per_ton_campus-CogenElecOutputNew,0)</f>
        <v>0</v>
      </c>
      <c r="K131" s="21">
        <f>MAX('Core Loads'!J$193*Elec_2_kWh_per_kWh_campus+'Core Loads'!J$213*Process_2_kWh_per_lb_campus+'Core Loads'!J$233*Htg_2_kWh_per_MMBtu_campus+'Core Loads'!J$253*Clg_2_kWh_per_ton_campus-CogenElecOutputNew,0)</f>
        <v>0</v>
      </c>
      <c r="L131" s="21">
        <f>MAX('Core Loads'!K$193*Elec_2_kWh_per_kWh_campus+'Core Loads'!K$213*Process_2_kWh_per_lb_campus+'Core Loads'!K$233*Htg_2_kWh_per_MMBtu_campus+'Core Loads'!K$253*Clg_2_kWh_per_ton_campus-CogenElecOutputNew,0)</f>
        <v>0</v>
      </c>
      <c r="M131" s="21">
        <f>MAX('Core Loads'!L$193*Elec_2_kWh_per_kWh_campus+'Core Loads'!L$213*Process_2_kWh_per_lb_campus+'Core Loads'!L$233*Htg_2_kWh_per_MMBtu_campus+'Core Loads'!L$253*Clg_2_kWh_per_ton_campus-CogenElecOutputNew,0)</f>
        <v>0</v>
      </c>
      <c r="N131" s="21">
        <f>MAX('Core Loads'!M$193*Elec_2_kWh_per_kWh_campus+'Core Loads'!M$213*Process_2_kWh_per_lb_campus+'Core Loads'!M$233*Htg_2_kWh_per_MMBtu_campus+'Core Loads'!M$253*Clg_2_kWh_per_ton_campus-CogenElecOutputNew,0)</f>
        <v>0</v>
      </c>
      <c r="O131" s="21">
        <f>MAX('Core Loads'!N$193*Elec_2_kWh_per_kWh_campus+'Core Loads'!N$213*Process_2_kWh_per_lb_campus+'Core Loads'!N$233*Htg_2_kWh_per_MMBtu_campus+'Core Loads'!N$253*Clg_2_kWh_per_ton_campus-CogenElecOutputNew,0)</f>
        <v>0</v>
      </c>
      <c r="P131" s="21">
        <f>MAX('Core Loads'!O$193*Elec_2_kWh_per_kWh_campus+'Core Loads'!O$213*Process_2_kWh_per_lb_campus+'Core Loads'!O$233*Htg_2_kWh_per_MMBtu_campus+'Core Loads'!O$253*Clg_2_kWh_per_ton_campus-CogenElecOutputNew,0)</f>
        <v>0</v>
      </c>
      <c r="Q131" s="21">
        <f>MAX('Core Loads'!P$193*Elec_2_kWh_per_kWh_campus+'Core Loads'!P$213*Process_2_kWh_per_lb_campus+'Core Loads'!P$233*Htg_2_kWh_per_MMBtu_campus+'Core Loads'!P$253*Clg_2_kWh_per_ton_campus-CogenElecOutputNew,0)</f>
        <v>0</v>
      </c>
      <c r="R131" s="21">
        <f>MAX('Core Loads'!Q$193*Elec_2_kWh_per_kWh_campus+'Core Loads'!Q$213*Process_2_kWh_per_lb_campus+'Core Loads'!Q$233*Htg_2_kWh_per_MMBtu_campus+'Core Loads'!Q$253*Clg_2_kWh_per_ton_campus-CogenElecOutputNew,0)</f>
        <v>0</v>
      </c>
      <c r="S131" s="21">
        <f>MAX('Core Loads'!R$193*Elec_2_kWh_per_kWh_campus+'Core Loads'!R$213*Process_2_kWh_per_lb_campus+'Core Loads'!R$233*Htg_2_kWh_per_MMBtu_campus+'Core Loads'!R$253*Clg_2_kWh_per_ton_campus-CogenElecOutputNew,0)</f>
        <v>0</v>
      </c>
      <c r="T131" s="21">
        <f>MAX('Core Loads'!S$193*Elec_2_kWh_per_kWh_campus+'Core Loads'!S$213*Process_2_kWh_per_lb_campus+'Core Loads'!S$233*Htg_2_kWh_per_MMBtu_campus+'Core Loads'!S$253*Clg_2_kWh_per_ton_campus-CogenElecOutputNew,0)</f>
        <v>0</v>
      </c>
      <c r="U131" s="21">
        <f>MAX('Core Loads'!T$193*Elec_2_kWh_per_kWh_campus+'Core Loads'!T$213*Process_2_kWh_per_lb_campus+'Core Loads'!T$233*Htg_2_kWh_per_MMBtu_campus+'Core Loads'!T$253*Clg_2_kWh_per_ton_campus-CogenElecOutputNew,0)</f>
        <v>0</v>
      </c>
      <c r="V131" s="21">
        <f>MAX('Core Loads'!U$193*Elec_2_kWh_per_kWh_campus+'Core Loads'!U$213*Process_2_kWh_per_lb_campus+'Core Loads'!U$233*Htg_2_kWh_per_MMBtu_campus+'Core Loads'!U$253*Clg_2_kWh_per_ton_campus-CogenElecOutputNew,0)</f>
        <v>0</v>
      </c>
      <c r="W131" s="21">
        <f>MAX('Core Loads'!V$193*Elec_2_kWh_per_kWh_campus+'Core Loads'!V$213*Process_2_kWh_per_lb_campus+'Core Loads'!V$233*Htg_2_kWh_per_MMBtu_campus+'Core Loads'!V$253*Clg_2_kWh_per_ton_campus-CogenElecOutputNew,0)</f>
        <v>0</v>
      </c>
      <c r="X131" s="21">
        <f>MAX('Core Loads'!W$193*Elec_2_kWh_per_kWh_campus+'Core Loads'!W$213*Process_2_kWh_per_lb_campus+'Core Loads'!W$233*Htg_2_kWh_per_MMBtu_campus+'Core Loads'!W$253*Clg_2_kWh_per_ton_campus-CogenElecOutputNew,0)</f>
        <v>0</v>
      </c>
      <c r="Y131" s="21">
        <f>MAX('Core Loads'!X$193*Elec_2_kWh_per_kWh_campus+'Core Loads'!X$213*Process_2_kWh_per_lb_campus+'Core Loads'!X$233*Htg_2_kWh_per_MMBtu_campus+'Core Loads'!X$253*Clg_2_kWh_per_ton_campus-CogenElecOutputNew,0)</f>
        <v>0</v>
      </c>
      <c r="Z131" s="21">
        <f>MAX('Core Loads'!Y$193*Elec_2_kWh_per_kWh_campus+'Core Loads'!Y$213*Process_2_kWh_per_lb_campus+'Core Loads'!Y$233*Htg_2_kWh_per_MMBtu_campus+'Core Loads'!Y$253*Clg_2_kWh_per_ton_campus-CogenElecOutputNew,0)</f>
        <v>0</v>
      </c>
      <c r="AA131" s="21">
        <f>MAX('Core Loads'!Z$193*Elec_2_kWh_per_kWh_campus+'Core Loads'!Z$213*Process_2_kWh_per_lb_campus+'Core Loads'!Z$233*Htg_2_kWh_per_MMBtu_campus+'Core Loads'!Z$253*Clg_2_kWh_per_ton_campus-CogenElecOutputNew,0)</f>
        <v>0</v>
      </c>
      <c r="AB131" s="21">
        <f>MAX('Core Loads'!AA$193*Elec_2_kWh_per_kWh_campus+'Core Loads'!AA$213*Process_2_kWh_per_lb_campus+'Core Loads'!AA$233*Htg_2_kWh_per_MMBtu_campus+'Core Loads'!AA$253*Clg_2_kWh_per_ton_campus-CogenElecOutputNew,0)</f>
        <v>0</v>
      </c>
      <c r="AC131" s="21">
        <f>MAX('Core Loads'!AB$193*Elec_2_kWh_per_kWh_campus+'Core Loads'!AB$213*Process_2_kWh_per_lb_campus+'Core Loads'!AB$233*Htg_2_kWh_per_MMBtu_campus+'Core Loads'!AB$253*Clg_2_kWh_per_ton_campus-CogenElecOutputNew,0)</f>
        <v>0</v>
      </c>
      <c r="AD131" s="21">
        <f>MAX('Core Loads'!AC$193*Elec_2_kWh_per_kWh_campus+'Core Loads'!AC$213*Process_2_kWh_per_lb_campus+'Core Loads'!AC$233*Htg_2_kWh_per_MMBtu_campus+'Core Loads'!AC$253*Clg_2_kWh_per_ton_campus-CogenElecOutputNew,0)</f>
        <v>0</v>
      </c>
      <c r="AE131" s="21">
        <f>MAX('Core Loads'!AD$193*Elec_2_kWh_per_kWh_campus+'Core Loads'!AD$213*Process_2_kWh_per_lb_campus+'Core Loads'!AD$233*Htg_2_kWh_per_MMBtu_campus+'Core Loads'!AD$253*Clg_2_kWh_per_ton_campus-CogenElecOutputNew,0)</f>
        <v>0</v>
      </c>
      <c r="AF131" s="21">
        <f>MAX('Core Loads'!AE$193*Elec_2_kWh_per_kWh_campus+'Core Loads'!AE$213*Process_2_kWh_per_lb_campus+'Core Loads'!AE$233*Htg_2_kWh_per_MMBtu_campus+'Core Loads'!AE$253*Clg_2_kWh_per_ton_campus-CogenElecOutputNew,0)</f>
        <v>0</v>
      </c>
      <c r="AG131" s="21">
        <f>MAX('Core Loads'!AF$193*Elec_2_kWh_per_kWh_campus+'Core Loads'!AF$213*Process_2_kWh_per_lb_campus+'Core Loads'!AF$233*Htg_2_kWh_per_MMBtu_campus+'Core Loads'!AF$253*Clg_2_kWh_per_ton_campus-CogenElecOutputNew,0)</f>
        <v>0</v>
      </c>
      <c r="AH131"/>
      <c r="AI131" s="23" t="s">
        <v>293</v>
      </c>
    </row>
    <row r="132" spans="2:35" s="1" customFormat="1" hidden="1" outlineLevel="1" x14ac:dyDescent="0.25">
      <c r="B132" t="s">
        <v>136</v>
      </c>
      <c r="C132" t="s">
        <v>169</v>
      </c>
      <c r="D132" s="21">
        <f>'Core Loads'!C$213*Process_2_therm_per_lb_campus+'Core Loads'!C$233*Htg_2_therm_per_MMBtu_campus</f>
        <v>0</v>
      </c>
      <c r="E132" s="69">
        <f>'Core Loads'!D$213*Process_2_therm_per_lb_campus+'Core Loads'!D$233*Htg_2_therm_per_MMBtu_campus</f>
        <v>0</v>
      </c>
      <c r="F132" s="21">
        <f>'Core Loads'!E$213*Process_2_therm_per_lb_campus+'Core Loads'!E$233*Htg_2_therm_per_MMBtu_campus</f>
        <v>13231647.348791353</v>
      </c>
      <c r="G132" s="21">
        <f>'Core Loads'!F$213*Process_2_therm_per_lb_campus+'Core Loads'!F$233*Htg_2_therm_per_MMBtu_campus</f>
        <v>12967671.873370046</v>
      </c>
      <c r="H132" s="21">
        <f>'Core Loads'!G$213*Process_2_therm_per_lb_campus+'Core Loads'!G$233*Htg_2_therm_per_MMBtu_campus</f>
        <v>12967671.873370046</v>
      </c>
      <c r="I132" s="21">
        <f>'Core Loads'!H$213*Process_2_therm_per_lb_campus+'Core Loads'!H$233*Htg_2_therm_per_MMBtu_campus</f>
        <v>12750842.004018847</v>
      </c>
      <c r="J132" s="21">
        <f>'Core Loads'!I$213*Process_2_therm_per_lb_campus+'Core Loads'!I$233*Htg_2_therm_per_MMBtu_campus</f>
        <v>12750842.004018847</v>
      </c>
      <c r="K132" s="21">
        <f>'Core Loads'!J$213*Process_2_therm_per_lb_campus+'Core Loads'!J$233*Htg_2_therm_per_MMBtu_campus</f>
        <v>12218669.935102589</v>
      </c>
      <c r="L132" s="21">
        <f>'Core Loads'!K$213*Process_2_therm_per_lb_campus+'Core Loads'!K$233*Htg_2_therm_per_MMBtu_campus</f>
        <v>12218669.935102589</v>
      </c>
      <c r="M132" s="21">
        <f>'Core Loads'!L$213*Process_2_therm_per_lb_campus+'Core Loads'!L$233*Htg_2_therm_per_MMBtu_campus</f>
        <v>12043802.794555094</v>
      </c>
      <c r="N132" s="21">
        <f>'Core Loads'!M$213*Process_2_therm_per_lb_campus+'Core Loads'!M$233*Htg_2_therm_per_MMBtu_campus</f>
        <v>12043802.794555094</v>
      </c>
      <c r="O132" s="21">
        <f>'Core Loads'!N$213*Process_2_therm_per_lb_campus+'Core Loads'!N$233*Htg_2_therm_per_MMBtu_campus</f>
        <v>11773318.044142656</v>
      </c>
      <c r="P132" s="21">
        <f>'Core Loads'!O$213*Process_2_therm_per_lb_campus+'Core Loads'!O$233*Htg_2_therm_per_MMBtu_campus</f>
        <v>11773318.044142656</v>
      </c>
      <c r="Q132" s="21">
        <f>'Core Loads'!P$213*Process_2_therm_per_lb_campus+'Core Loads'!P$233*Htg_2_therm_per_MMBtu_campus</f>
        <v>11708380.608110853</v>
      </c>
      <c r="R132" s="21">
        <f>'Core Loads'!Q$213*Process_2_therm_per_lb_campus+'Core Loads'!Q$233*Htg_2_therm_per_MMBtu_campus</f>
        <v>11708380.608110853</v>
      </c>
      <c r="S132" s="21">
        <f>'Core Loads'!R$213*Process_2_therm_per_lb_campus+'Core Loads'!R$233*Htg_2_therm_per_MMBtu_campus</f>
        <v>12487631.497734144</v>
      </c>
      <c r="T132" s="21">
        <f>'Core Loads'!S$213*Process_2_therm_per_lb_campus+'Core Loads'!S$233*Htg_2_therm_per_MMBtu_campus</f>
        <v>12487631.497734144</v>
      </c>
      <c r="U132" s="21">
        <f>'Core Loads'!T$213*Process_2_therm_per_lb_campus+'Core Loads'!T$233*Htg_2_therm_per_MMBtu_campus</f>
        <v>12455788.749060519</v>
      </c>
      <c r="V132" s="21">
        <f>'Core Loads'!U$213*Process_2_therm_per_lb_campus+'Core Loads'!U$233*Htg_2_therm_per_MMBtu_campus</f>
        <v>12455788.749060519</v>
      </c>
      <c r="W132" s="21">
        <f>'Core Loads'!V$213*Process_2_therm_per_lb_campus+'Core Loads'!V$233*Htg_2_therm_per_MMBtu_campus</f>
        <v>12421037.488191342</v>
      </c>
      <c r="X132" s="21">
        <f>'Core Loads'!W$213*Process_2_therm_per_lb_campus+'Core Loads'!W$233*Htg_2_therm_per_MMBtu_campus</f>
        <v>12421037.488191342</v>
      </c>
      <c r="Y132" s="21">
        <f>'Core Loads'!X$213*Process_2_therm_per_lb_campus+'Core Loads'!X$233*Htg_2_therm_per_MMBtu_campus</f>
        <v>12421037.488191342</v>
      </c>
      <c r="Z132" s="21">
        <f>'Core Loads'!Y$213*Process_2_therm_per_lb_campus+'Core Loads'!Y$233*Htg_2_therm_per_MMBtu_campus</f>
        <v>12421037.488191342</v>
      </c>
      <c r="AA132" s="21">
        <f>'Core Loads'!Z$213*Process_2_therm_per_lb_campus+'Core Loads'!Z$233*Htg_2_therm_per_MMBtu_campus</f>
        <v>12421037.488191342</v>
      </c>
      <c r="AB132" s="21">
        <f>'Core Loads'!AA$213*Process_2_therm_per_lb_campus+'Core Loads'!AA$233*Htg_2_therm_per_MMBtu_campus</f>
        <v>12421037.488191342</v>
      </c>
      <c r="AC132" s="21">
        <f>'Core Loads'!AB$213*Process_2_therm_per_lb_campus+'Core Loads'!AB$233*Htg_2_therm_per_MMBtu_campus</f>
        <v>12386201.919284876</v>
      </c>
      <c r="AD132" s="21">
        <f>'Core Loads'!AC$213*Process_2_therm_per_lb_campus+'Core Loads'!AC$233*Htg_2_therm_per_MMBtu_campus</f>
        <v>12386201.919284876</v>
      </c>
      <c r="AE132" s="21">
        <f>'Core Loads'!AD$213*Process_2_therm_per_lb_campus+'Core Loads'!AD$233*Htg_2_therm_per_MMBtu_campus</f>
        <v>12386201.919284876</v>
      </c>
      <c r="AF132" s="21">
        <f>'Core Loads'!AE$213*Process_2_therm_per_lb_campus+'Core Loads'!AE$233*Htg_2_therm_per_MMBtu_campus</f>
        <v>12386201.919284876</v>
      </c>
      <c r="AG132" s="21">
        <f>'Core Loads'!AF$213*Process_2_therm_per_lb_campus+'Core Loads'!AF$233*Htg_2_therm_per_MMBtu_campus</f>
        <v>12386201.919284876</v>
      </c>
      <c r="AH132"/>
      <c r="AI132" s="23" t="s">
        <v>293</v>
      </c>
    </row>
    <row r="133" spans="2:35" s="1" customFormat="1" hidden="1" outlineLevel="1" x14ac:dyDescent="0.25">
      <c r="B133" t="s">
        <v>154</v>
      </c>
      <c r="C133" t="s">
        <v>170</v>
      </c>
      <c r="D133" s="21">
        <f>'Core Loads'!C$213*Process_2_CCF_per_lb_campus+'Core Loads'!C$233*Htg_2_CCF_per_MMBtu_campus+'Core Loads'!C$253*Clg_2_CCF_per_ton_campus</f>
        <v>0</v>
      </c>
      <c r="E133" s="21">
        <f>'Core Loads'!D$213*Process_2_CCF_per_lb_campus+'Core Loads'!D$233*Htg_2_CCF_per_MMBtu_campus+'Core Loads'!D$253*Clg_2_CCF_per_ton_campus</f>
        <v>0</v>
      </c>
      <c r="F133" s="21">
        <f>'Core Loads'!E$213*Process_2_CCF_per_lb_campus+'Core Loads'!E$233*Htg_2_CCF_per_MMBtu_campus+'Core Loads'!E$253*Clg_2_CCF_per_ton_campus</f>
        <v>168874.65072308262</v>
      </c>
      <c r="G133" s="21">
        <f>'Core Loads'!F$213*Process_2_CCF_per_lb_campus+'Core Loads'!F$233*Htg_2_CCF_per_MMBtu_campus+'Core Loads'!F$253*Clg_2_CCF_per_ton_campus</f>
        <v>189729.76823222468</v>
      </c>
      <c r="H133" s="21">
        <f>'Core Loads'!G$213*Process_2_CCF_per_lb_campus+'Core Loads'!G$233*Htg_2_CCF_per_MMBtu_campus+'Core Loads'!G$253*Clg_2_CCF_per_ton_campus</f>
        <v>189729.76823222468</v>
      </c>
      <c r="I133" s="21">
        <f>'Core Loads'!H$213*Process_2_CCF_per_lb_campus+'Core Loads'!H$233*Htg_2_CCF_per_MMBtu_campus+'Core Loads'!H$253*Clg_2_CCF_per_ton_campus</f>
        <v>210959.01780681187</v>
      </c>
      <c r="J133" s="21">
        <f>'Core Loads'!I$213*Process_2_CCF_per_lb_campus+'Core Loads'!I$233*Htg_2_CCF_per_MMBtu_campus+'Core Loads'!I$253*Clg_2_CCF_per_ton_campus</f>
        <v>210959.01780681187</v>
      </c>
      <c r="K133" s="21">
        <f>'Core Loads'!J$213*Process_2_CCF_per_lb_campus+'Core Loads'!J$233*Htg_2_CCF_per_MMBtu_campus+'Core Loads'!J$253*Clg_2_CCF_per_ton_campus</f>
        <v>204508.3938066377</v>
      </c>
      <c r="L133" s="21">
        <f>'Core Loads'!K$213*Process_2_CCF_per_lb_campus+'Core Loads'!K$233*Htg_2_CCF_per_MMBtu_campus+'Core Loads'!K$253*Clg_2_CCF_per_ton_campus</f>
        <v>204508.3938066377</v>
      </c>
      <c r="M133" s="21">
        <f>'Core Loads'!L$213*Process_2_CCF_per_lb_campus+'Core Loads'!L$233*Htg_2_CCF_per_MMBtu_campus+'Core Loads'!L$253*Clg_2_CCF_per_ton_campus</f>
        <v>206948.18031278072</v>
      </c>
      <c r="N133" s="21">
        <f>'Core Loads'!M$213*Process_2_CCF_per_lb_campus+'Core Loads'!M$233*Htg_2_CCF_per_MMBtu_campus+'Core Loads'!M$253*Clg_2_CCF_per_ton_campus</f>
        <v>206948.18031278072</v>
      </c>
      <c r="O133" s="21">
        <f>'Core Loads'!N$213*Process_2_CCF_per_lb_campus+'Core Loads'!N$233*Htg_2_CCF_per_MMBtu_campus+'Core Loads'!N$253*Clg_2_CCF_per_ton_campus</f>
        <v>205098.19315986955</v>
      </c>
      <c r="P133" s="21">
        <f>'Core Loads'!O$213*Process_2_CCF_per_lb_campus+'Core Loads'!O$233*Htg_2_CCF_per_MMBtu_campus+'Core Loads'!O$253*Clg_2_CCF_per_ton_campus</f>
        <v>205098.19315986955</v>
      </c>
      <c r="Q133" s="21">
        <f>'Core Loads'!P$213*Process_2_CCF_per_lb_campus+'Core Loads'!P$233*Htg_2_CCF_per_MMBtu_campus+'Core Loads'!P$253*Clg_2_CCF_per_ton_campus</f>
        <v>204677.11497469028</v>
      </c>
      <c r="R133" s="21">
        <f>'Core Loads'!Q$213*Process_2_CCF_per_lb_campus+'Core Loads'!Q$233*Htg_2_CCF_per_MMBtu_campus+'Core Loads'!Q$253*Clg_2_CCF_per_ton_campus</f>
        <v>204677.11497469028</v>
      </c>
      <c r="S133" s="21">
        <f>'Core Loads'!R$213*Process_2_CCF_per_lb_campus+'Core Loads'!R$233*Htg_2_CCF_per_MMBtu_campus+'Core Loads'!R$253*Clg_2_CCF_per_ton_campus</f>
        <v>235460.84056518428</v>
      </c>
      <c r="T133" s="21">
        <f>'Core Loads'!S$213*Process_2_CCF_per_lb_campus+'Core Loads'!S$233*Htg_2_CCF_per_MMBtu_campus+'Core Loads'!S$253*Clg_2_CCF_per_ton_campus</f>
        <v>235460.84056518428</v>
      </c>
      <c r="U133" s="21">
        <f>'Core Loads'!T$213*Process_2_CCF_per_lb_campus+'Core Loads'!T$233*Htg_2_CCF_per_MMBtu_campus+'Core Loads'!T$253*Clg_2_CCF_per_ton_campus</f>
        <v>235394.23290744744</v>
      </c>
      <c r="V133" s="21">
        <f>'Core Loads'!U$213*Process_2_CCF_per_lb_campus+'Core Loads'!U$233*Htg_2_CCF_per_MMBtu_campus+'Core Loads'!U$253*Clg_2_CCF_per_ton_campus</f>
        <v>235394.23290744744</v>
      </c>
      <c r="W133" s="21">
        <f>'Core Loads'!V$213*Process_2_CCF_per_lb_campus+'Core Loads'!V$233*Htg_2_CCF_per_MMBtu_campus+'Core Loads'!V$253*Clg_2_CCF_per_ton_campus</f>
        <v>234839.63347978302</v>
      </c>
      <c r="X133" s="21">
        <f>'Core Loads'!W$213*Process_2_CCF_per_lb_campus+'Core Loads'!W$233*Htg_2_CCF_per_MMBtu_campus+'Core Loads'!W$253*Clg_2_CCF_per_ton_campus</f>
        <v>234839.63347978302</v>
      </c>
      <c r="Y133" s="21">
        <f>'Core Loads'!X$213*Process_2_CCF_per_lb_campus+'Core Loads'!X$233*Htg_2_CCF_per_MMBtu_campus+'Core Loads'!X$253*Clg_2_CCF_per_ton_campus</f>
        <v>234839.63347978302</v>
      </c>
      <c r="Z133" s="21">
        <f>'Core Loads'!Y$213*Process_2_CCF_per_lb_campus+'Core Loads'!Y$233*Htg_2_CCF_per_MMBtu_campus+'Core Loads'!Y$253*Clg_2_CCF_per_ton_campus</f>
        <v>234839.63347978302</v>
      </c>
      <c r="AA133" s="21">
        <f>'Core Loads'!Z$213*Process_2_CCF_per_lb_campus+'Core Loads'!Z$233*Htg_2_CCF_per_MMBtu_campus+'Core Loads'!Z$253*Clg_2_CCF_per_ton_campus</f>
        <v>234839.63347978302</v>
      </c>
      <c r="AB133" s="21">
        <f>'Core Loads'!AA$213*Process_2_CCF_per_lb_campus+'Core Loads'!AA$233*Htg_2_CCF_per_MMBtu_campus+'Core Loads'!AA$253*Clg_2_CCF_per_ton_campus</f>
        <v>234839.63347978302</v>
      </c>
      <c r="AC133" s="21">
        <f>'Core Loads'!AB$213*Process_2_CCF_per_lb_campus+'Core Loads'!AB$233*Htg_2_CCF_per_MMBtu_campus+'Core Loads'!AB$253*Clg_2_CCF_per_ton_campus</f>
        <v>234104.83462259287</v>
      </c>
      <c r="AD133" s="21">
        <f>'Core Loads'!AC$213*Process_2_CCF_per_lb_campus+'Core Loads'!AC$233*Htg_2_CCF_per_MMBtu_campus+'Core Loads'!AC$253*Clg_2_CCF_per_ton_campus</f>
        <v>234104.83462259287</v>
      </c>
      <c r="AE133" s="21">
        <f>'Core Loads'!AD$213*Process_2_CCF_per_lb_campus+'Core Loads'!AD$233*Htg_2_CCF_per_MMBtu_campus+'Core Loads'!AD$253*Clg_2_CCF_per_ton_campus</f>
        <v>234104.83462259287</v>
      </c>
      <c r="AF133" s="21">
        <f>'Core Loads'!AE$213*Process_2_CCF_per_lb_campus+'Core Loads'!AE$233*Htg_2_CCF_per_MMBtu_campus+'Core Loads'!AE$253*Clg_2_CCF_per_ton_campus</f>
        <v>234104.83462259287</v>
      </c>
      <c r="AG133" s="21">
        <f>'Core Loads'!AF$213*Process_2_CCF_per_lb_campus+'Core Loads'!AF$233*Htg_2_CCF_per_MMBtu_campus+'Core Loads'!AF$253*Clg_2_CCF_per_ton_campus</f>
        <v>234104.83462259287</v>
      </c>
      <c r="AH133"/>
      <c r="AI133" s="23" t="s">
        <v>293</v>
      </c>
    </row>
    <row r="134" spans="2:35" ht="15.75" collapsed="1" thickTop="1" x14ac:dyDescent="0.25"/>
    <row r="136" spans="2:35" s="1" customFormat="1" ht="20.25" thickBot="1" x14ac:dyDescent="0.35">
      <c r="B136" s="18" t="s">
        <v>286</v>
      </c>
      <c r="C136" s="18"/>
      <c r="D136" s="18"/>
      <c r="E136" s="25"/>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row>
    <row r="137" spans="2:35" s="1" customFormat="1" ht="18" hidden="1" outlineLevel="1" thickTop="1" thickBot="1" x14ac:dyDescent="0.3">
      <c r="B137" s="19" t="s">
        <v>278</v>
      </c>
      <c r="C137" s="19"/>
      <c r="D137" s="19"/>
      <c r="E137" s="67"/>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row>
    <row r="138" spans="2:35" s="1" customFormat="1" ht="16.5" hidden="1" outlineLevel="1" thickTop="1" thickBot="1" x14ac:dyDescent="0.3">
      <c r="B138" s="20" t="s">
        <v>292</v>
      </c>
      <c r="C138" s="20" t="s">
        <v>13</v>
      </c>
      <c r="D138" s="20" t="s">
        <v>17</v>
      </c>
      <c r="E138" s="68"/>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t="s">
        <v>15</v>
      </c>
    </row>
    <row r="139" spans="2:35" hidden="1" outlineLevel="1" x14ac:dyDescent="0.25">
      <c r="D139" s="8">
        <f>'Core Loads'!$C$14</f>
        <v>2025</v>
      </c>
      <c r="E139" s="62">
        <f>'Core Loads'!$D$14</f>
        <v>2026</v>
      </c>
      <c r="F139" s="8">
        <f>'Core Loads'!$E$14</f>
        <v>2027</v>
      </c>
      <c r="G139" s="8">
        <f>'Core Loads'!$F$14</f>
        <v>2028</v>
      </c>
      <c r="H139" s="8">
        <f>'Core Loads'!$G$14</f>
        <v>2029</v>
      </c>
      <c r="I139" s="8">
        <f>'Core Loads'!$H$14</f>
        <v>2030</v>
      </c>
      <c r="J139" s="8">
        <f>'Core Loads'!$I$14</f>
        <v>2031</v>
      </c>
      <c r="K139" s="8">
        <f>'Core Loads'!$J$14</f>
        <v>2032</v>
      </c>
      <c r="L139" s="8">
        <f>'Core Loads'!$K$14</f>
        <v>2033</v>
      </c>
      <c r="M139" s="8">
        <f>'Core Loads'!$L$14</f>
        <v>2034</v>
      </c>
      <c r="N139" s="8">
        <f>'Core Loads'!$M$14</f>
        <v>2035</v>
      </c>
      <c r="O139" s="8">
        <f>'Core Loads'!$N$14</f>
        <v>2036</v>
      </c>
      <c r="P139" s="8">
        <f>'Core Loads'!$O$14</f>
        <v>2037</v>
      </c>
      <c r="Q139" s="8">
        <f>'Core Loads'!$P$14</f>
        <v>2038</v>
      </c>
      <c r="R139" s="8">
        <f>'Core Loads'!$Q$14</f>
        <v>2039</v>
      </c>
      <c r="S139" s="8">
        <f>'Core Loads'!$R$14</f>
        <v>2040</v>
      </c>
      <c r="T139" s="8">
        <f>'Core Loads'!$S$14</f>
        <v>2041</v>
      </c>
      <c r="U139" s="8">
        <f>'Core Loads'!$T$14</f>
        <v>2042</v>
      </c>
      <c r="V139" s="8">
        <f>'Core Loads'!$U$14</f>
        <v>2043</v>
      </c>
      <c r="W139" s="8">
        <f>'Core Loads'!$V$14</f>
        <v>2044</v>
      </c>
      <c r="X139" s="8">
        <f>'Core Loads'!$W$14</f>
        <v>2045</v>
      </c>
      <c r="Y139" s="8">
        <f>'Core Loads'!$X$14</f>
        <v>2046</v>
      </c>
      <c r="Z139" s="8">
        <f>'Core Loads'!$Y$14</f>
        <v>2047</v>
      </c>
      <c r="AA139" s="8">
        <f>'Core Loads'!$Z$14</f>
        <v>2048</v>
      </c>
      <c r="AB139" s="8">
        <f>'Core Loads'!$AA$14</f>
        <v>2049</v>
      </c>
      <c r="AC139" s="8">
        <f>'Core Loads'!$AB$14</f>
        <v>2050</v>
      </c>
      <c r="AD139" s="8">
        <f>'Core Loads'!$AC$14</f>
        <v>2051</v>
      </c>
      <c r="AE139" s="8">
        <f>'Core Loads'!$AD$14</f>
        <v>2052</v>
      </c>
      <c r="AF139" s="8">
        <f>'Core Loads'!$AE$14</f>
        <v>2053</v>
      </c>
      <c r="AG139" s="8">
        <f>'Core Loads'!$AF$14</f>
        <v>2054</v>
      </c>
    </row>
    <row r="140" spans="2:35" s="1" customFormat="1" hidden="1" outlineLevel="1" x14ac:dyDescent="0.25">
      <c r="B140" t="s">
        <v>141</v>
      </c>
      <c r="C140" t="s">
        <v>109</v>
      </c>
      <c r="D140" s="21">
        <f>MAX('Core Loads'!C$266*Elec_exstg_kWh_per_kWh_campus+'Core Loads'!C$286*Process_exstg_kWh_per_lb_campus+'Core Loads'!C$306*Htg_exstg_kWh_per_MMBtu_campus+MAX('Core Loads'!C$326-AbsChillerLoad,0)*Clg_exstg_kWh_per_ton_campus-CogenElecOutputExstg,0)</f>
        <v>0</v>
      </c>
      <c r="E140" s="69">
        <f>MAX('Core Loads'!D$266*Elec_exstg_kWh_per_kWh_campus+'Core Loads'!D$286*Process_exstg_kWh_per_lb_campus+'Core Loads'!D$306*Htg_exstg_kWh_per_MMBtu_campus+MAX('Core Loads'!D$326-AbsChillerLoad,0)*Clg_exstg_kWh_per_ton_campus-CogenElecOutputExstg,0)</f>
        <v>2865758.5345967412</v>
      </c>
      <c r="F140" s="21">
        <f>MAX('Core Loads'!E$266*Elec_exstg_kWh_per_kWh_campus+'Core Loads'!E$286*Process_exstg_kWh_per_lb_campus+'Core Loads'!E$306*Htg_exstg_kWh_per_MMBtu_campus+MAX('Core Loads'!E$326-AbsChillerLoad,0)*Clg_exstg_kWh_per_ton_campus-CogenElecOutputExstg,0)</f>
        <v>0</v>
      </c>
      <c r="G140" s="21">
        <f>MAX('Core Loads'!F$266*Elec_exstg_kWh_per_kWh_campus+'Core Loads'!F$286*Process_exstg_kWh_per_lb_campus+'Core Loads'!F$306*Htg_exstg_kWh_per_MMBtu_campus+MAX('Core Loads'!F$326-AbsChillerLoad,0)*Clg_exstg_kWh_per_ton_campus-CogenElecOutputExstg,0)</f>
        <v>0</v>
      </c>
      <c r="H140" s="21">
        <f>MAX('Core Loads'!G$266*Elec_exstg_kWh_per_kWh_campus+'Core Loads'!G$286*Process_exstg_kWh_per_lb_campus+'Core Loads'!G$306*Htg_exstg_kWh_per_MMBtu_campus+MAX('Core Loads'!G$326-AbsChillerLoad,0)*Clg_exstg_kWh_per_ton_campus-CogenElecOutputExstg,0)</f>
        <v>0</v>
      </c>
      <c r="I140" s="21">
        <f>MAX('Core Loads'!H$266*Elec_exstg_kWh_per_kWh_campus+'Core Loads'!H$286*Process_exstg_kWh_per_lb_campus+'Core Loads'!H$306*Htg_exstg_kWh_per_MMBtu_campus+MAX('Core Loads'!H$326-AbsChillerLoad,0)*Clg_exstg_kWh_per_ton_campus-CogenElecOutputExstg,0)</f>
        <v>0</v>
      </c>
      <c r="J140" s="21">
        <f>MAX('Core Loads'!I$266*Elec_exstg_kWh_per_kWh_campus+'Core Loads'!I$286*Process_exstg_kWh_per_lb_campus+'Core Loads'!I$306*Htg_exstg_kWh_per_MMBtu_campus+MAX('Core Loads'!I$326-AbsChillerLoad,0)*Clg_exstg_kWh_per_ton_campus-CogenElecOutputExstg,0)</f>
        <v>0</v>
      </c>
      <c r="K140" s="21">
        <f>MAX('Core Loads'!J$266*Elec_exstg_kWh_per_kWh_campus+'Core Loads'!J$286*Process_exstg_kWh_per_lb_campus+'Core Loads'!J$306*Htg_exstg_kWh_per_MMBtu_campus+MAX('Core Loads'!J$326-AbsChillerLoad,0)*Clg_exstg_kWh_per_ton_campus-CogenElecOutputExstg,0)</f>
        <v>0</v>
      </c>
      <c r="L140" s="21">
        <f>MAX('Core Loads'!K$266*Elec_exstg_kWh_per_kWh_campus+'Core Loads'!K$286*Process_exstg_kWh_per_lb_campus+'Core Loads'!K$306*Htg_exstg_kWh_per_MMBtu_campus+MAX('Core Loads'!K$326-AbsChillerLoad,0)*Clg_exstg_kWh_per_ton_campus-CogenElecOutputExstg,0)</f>
        <v>0</v>
      </c>
      <c r="M140" s="21">
        <f>MAX('Core Loads'!L$266*Elec_exstg_kWh_per_kWh_campus+'Core Loads'!L$286*Process_exstg_kWh_per_lb_campus+'Core Loads'!L$306*Htg_exstg_kWh_per_MMBtu_campus+MAX('Core Loads'!L$326-AbsChillerLoad,0)*Clg_exstg_kWh_per_ton_campus-CogenElecOutputExstg,0)</f>
        <v>0</v>
      </c>
      <c r="N140" s="21">
        <f>MAX('Core Loads'!M$266*Elec_exstg_kWh_per_kWh_campus+'Core Loads'!M$286*Process_exstg_kWh_per_lb_campus+'Core Loads'!M$306*Htg_exstg_kWh_per_MMBtu_campus+MAX('Core Loads'!M$326-AbsChillerLoad,0)*Clg_exstg_kWh_per_ton_campus-CogenElecOutputExstg,0)</f>
        <v>0</v>
      </c>
      <c r="O140" s="21">
        <f>MAX('Core Loads'!N$266*Elec_exstg_kWh_per_kWh_campus+'Core Loads'!N$286*Process_exstg_kWh_per_lb_campus+'Core Loads'!N$306*Htg_exstg_kWh_per_MMBtu_campus+MAX('Core Loads'!N$326-AbsChillerLoad,0)*Clg_exstg_kWh_per_ton_campus-CogenElecOutputExstg,0)</f>
        <v>0</v>
      </c>
      <c r="P140" s="21">
        <f>MAX('Core Loads'!O$266*Elec_exstg_kWh_per_kWh_campus+'Core Loads'!O$286*Process_exstg_kWh_per_lb_campus+'Core Loads'!O$306*Htg_exstg_kWh_per_MMBtu_campus+MAX('Core Loads'!O$326-AbsChillerLoad,0)*Clg_exstg_kWh_per_ton_campus-CogenElecOutputExstg,0)</f>
        <v>0</v>
      </c>
      <c r="Q140" s="21">
        <f>MAX('Core Loads'!P$266*Elec_exstg_kWh_per_kWh_campus+'Core Loads'!P$286*Process_exstg_kWh_per_lb_campus+'Core Loads'!P$306*Htg_exstg_kWh_per_MMBtu_campus+MAX('Core Loads'!P$326-AbsChillerLoad,0)*Clg_exstg_kWh_per_ton_campus-CogenElecOutputExstg,0)</f>
        <v>0</v>
      </c>
      <c r="R140" s="21">
        <f>MAX('Core Loads'!Q$266*Elec_exstg_kWh_per_kWh_campus+'Core Loads'!Q$286*Process_exstg_kWh_per_lb_campus+'Core Loads'!Q$306*Htg_exstg_kWh_per_MMBtu_campus+MAX('Core Loads'!Q$326-AbsChillerLoad,0)*Clg_exstg_kWh_per_ton_campus-CogenElecOutputExstg,0)</f>
        <v>0</v>
      </c>
      <c r="S140" s="21">
        <f>MAX('Core Loads'!R$266*Elec_exstg_kWh_per_kWh_campus+'Core Loads'!R$286*Process_exstg_kWh_per_lb_campus+'Core Loads'!R$306*Htg_exstg_kWh_per_MMBtu_campus+MAX('Core Loads'!R$326-AbsChillerLoad,0)*Clg_exstg_kWh_per_ton_campus-CogenElecOutputExstg,0)</f>
        <v>0</v>
      </c>
      <c r="T140" s="21">
        <f>MAX('Core Loads'!S$266*Elec_exstg_kWh_per_kWh_campus+'Core Loads'!S$286*Process_exstg_kWh_per_lb_campus+'Core Loads'!S$306*Htg_exstg_kWh_per_MMBtu_campus+MAX('Core Loads'!S$326-AbsChillerLoad,0)*Clg_exstg_kWh_per_ton_campus-CogenElecOutputExstg,0)</f>
        <v>0</v>
      </c>
      <c r="U140" s="21">
        <f>MAX('Core Loads'!T$266*Elec_exstg_kWh_per_kWh_campus+'Core Loads'!T$286*Process_exstg_kWh_per_lb_campus+'Core Loads'!T$306*Htg_exstg_kWh_per_MMBtu_campus+MAX('Core Loads'!T$326-AbsChillerLoad,0)*Clg_exstg_kWh_per_ton_campus-CogenElecOutputExstg,0)</f>
        <v>0</v>
      </c>
      <c r="V140" s="21">
        <f>MAX('Core Loads'!U$266*Elec_exstg_kWh_per_kWh_campus+'Core Loads'!U$286*Process_exstg_kWh_per_lb_campus+'Core Loads'!U$306*Htg_exstg_kWh_per_MMBtu_campus+MAX('Core Loads'!U$326-AbsChillerLoad,0)*Clg_exstg_kWh_per_ton_campus-CogenElecOutputExstg,0)</f>
        <v>0</v>
      </c>
      <c r="W140" s="21">
        <f>MAX('Core Loads'!V$266*Elec_exstg_kWh_per_kWh_campus+'Core Loads'!V$286*Process_exstg_kWh_per_lb_campus+'Core Loads'!V$306*Htg_exstg_kWh_per_MMBtu_campus+MAX('Core Loads'!V$326-AbsChillerLoad,0)*Clg_exstg_kWh_per_ton_campus-CogenElecOutputExstg,0)</f>
        <v>0</v>
      </c>
      <c r="X140" s="21">
        <f>MAX('Core Loads'!W$266*Elec_exstg_kWh_per_kWh_campus+'Core Loads'!W$286*Process_exstg_kWh_per_lb_campus+'Core Loads'!W$306*Htg_exstg_kWh_per_MMBtu_campus+MAX('Core Loads'!W$326-AbsChillerLoad,0)*Clg_exstg_kWh_per_ton_campus-CogenElecOutputExstg,0)</f>
        <v>0</v>
      </c>
      <c r="Y140" s="21">
        <f>MAX('Core Loads'!X$266*Elec_exstg_kWh_per_kWh_campus+'Core Loads'!X$286*Process_exstg_kWh_per_lb_campus+'Core Loads'!X$306*Htg_exstg_kWh_per_MMBtu_campus+MAX('Core Loads'!X$326-AbsChillerLoad,0)*Clg_exstg_kWh_per_ton_campus-CogenElecOutputExstg,0)</f>
        <v>0</v>
      </c>
      <c r="Z140" s="21">
        <f>MAX('Core Loads'!Y$266*Elec_exstg_kWh_per_kWh_campus+'Core Loads'!Y$286*Process_exstg_kWh_per_lb_campus+'Core Loads'!Y$306*Htg_exstg_kWh_per_MMBtu_campus+MAX('Core Loads'!Y$326-AbsChillerLoad,0)*Clg_exstg_kWh_per_ton_campus-CogenElecOutputExstg,0)</f>
        <v>0</v>
      </c>
      <c r="AA140" s="21">
        <f>MAX('Core Loads'!Z$266*Elec_exstg_kWh_per_kWh_campus+'Core Loads'!Z$286*Process_exstg_kWh_per_lb_campus+'Core Loads'!Z$306*Htg_exstg_kWh_per_MMBtu_campus+MAX('Core Loads'!Z$326-AbsChillerLoad,0)*Clg_exstg_kWh_per_ton_campus-CogenElecOutputExstg,0)</f>
        <v>0</v>
      </c>
      <c r="AB140" s="21">
        <f>MAX('Core Loads'!AA$266*Elec_exstg_kWh_per_kWh_campus+'Core Loads'!AA$286*Process_exstg_kWh_per_lb_campus+'Core Loads'!AA$306*Htg_exstg_kWh_per_MMBtu_campus+MAX('Core Loads'!AA$326-AbsChillerLoad,0)*Clg_exstg_kWh_per_ton_campus-CogenElecOutputExstg,0)</f>
        <v>0</v>
      </c>
      <c r="AC140" s="21">
        <f>MAX('Core Loads'!AB$266*Elec_exstg_kWh_per_kWh_campus+'Core Loads'!AB$286*Process_exstg_kWh_per_lb_campus+'Core Loads'!AB$306*Htg_exstg_kWh_per_MMBtu_campus+MAX('Core Loads'!AB$326-AbsChillerLoad,0)*Clg_exstg_kWh_per_ton_campus-CogenElecOutputExstg,0)</f>
        <v>0</v>
      </c>
      <c r="AD140" s="21">
        <f>MAX('Core Loads'!AC$266*Elec_exstg_kWh_per_kWh_campus+'Core Loads'!AC$286*Process_exstg_kWh_per_lb_campus+'Core Loads'!AC$306*Htg_exstg_kWh_per_MMBtu_campus+MAX('Core Loads'!AC$326-AbsChillerLoad,0)*Clg_exstg_kWh_per_ton_campus-CogenElecOutputExstg,0)</f>
        <v>0</v>
      </c>
      <c r="AE140" s="21">
        <f>MAX('Core Loads'!AD$266*Elec_exstg_kWh_per_kWh_campus+'Core Loads'!AD$286*Process_exstg_kWh_per_lb_campus+'Core Loads'!AD$306*Htg_exstg_kWh_per_MMBtu_campus+MAX('Core Loads'!AD$326-AbsChillerLoad,0)*Clg_exstg_kWh_per_ton_campus-CogenElecOutputExstg,0)</f>
        <v>0</v>
      </c>
      <c r="AF140" s="21">
        <f>MAX('Core Loads'!AE$266*Elec_exstg_kWh_per_kWh_campus+'Core Loads'!AE$286*Process_exstg_kWh_per_lb_campus+'Core Loads'!AE$306*Htg_exstg_kWh_per_MMBtu_campus+MAX('Core Loads'!AE$326-AbsChillerLoad,0)*Clg_exstg_kWh_per_ton_campus-CogenElecOutputExstg,0)</f>
        <v>0</v>
      </c>
      <c r="AG140" s="21">
        <f>MAX('Core Loads'!AF$266*Elec_exstg_kWh_per_kWh_campus+'Core Loads'!AF$286*Process_exstg_kWh_per_lb_campus+'Core Loads'!AF$306*Htg_exstg_kWh_per_MMBtu_campus+MAX('Core Loads'!AF$326-AbsChillerLoad,0)*Clg_exstg_kWh_per_ton_campus-CogenElecOutputExstg,0)</f>
        <v>0</v>
      </c>
      <c r="AH140"/>
      <c r="AI140" s="23" t="s">
        <v>293</v>
      </c>
    </row>
    <row r="141" spans="2:35" s="1" customFormat="1" hidden="1" outlineLevel="1" x14ac:dyDescent="0.25">
      <c r="B141" t="s">
        <v>136</v>
      </c>
      <c r="C141" t="s">
        <v>169</v>
      </c>
      <c r="D141" s="21">
        <f>'Core Loads'!C$286*Process_exstg_therm_per_lb_campus+'Core Loads'!C$306*Htg_exstg_therm_per_MMBtu_campus+MIN('Core Loads'!C$326,AbsChillerLoad)*Clg_exstg_therm_per_ton_campus</f>
        <v>31258877.283118241</v>
      </c>
      <c r="E141" s="21">
        <f>'Core Loads'!D$286*Process_exstg_therm_per_lb_campus+'Core Loads'!D$306*Htg_exstg_therm_per_MMBtu_campus+MIN('Core Loads'!D$326,AbsChillerLoad)*Clg_exstg_therm_per_ton_campus</f>
        <v>31258877.283118241</v>
      </c>
      <c r="F141" s="21">
        <f>'Core Loads'!E$286*Process_exstg_therm_per_lb_campus+'Core Loads'!E$306*Htg_exstg_therm_per_MMBtu_campus+MIN('Core Loads'!E$326,AbsChillerLoad)*Clg_exstg_therm_per_ton_campus</f>
        <v>0</v>
      </c>
      <c r="G141" s="21">
        <f>'Core Loads'!F$286*Process_exstg_therm_per_lb_campus+'Core Loads'!F$306*Htg_exstg_therm_per_MMBtu_campus+MIN('Core Loads'!F$326,AbsChillerLoad)*Clg_exstg_therm_per_ton_campus</f>
        <v>0</v>
      </c>
      <c r="H141" s="21">
        <f>'Core Loads'!G$286*Process_exstg_therm_per_lb_campus+'Core Loads'!G$306*Htg_exstg_therm_per_MMBtu_campus+MIN('Core Loads'!G$326,AbsChillerLoad)*Clg_exstg_therm_per_ton_campus</f>
        <v>0</v>
      </c>
      <c r="I141" s="21">
        <f>'Core Loads'!H$286*Process_exstg_therm_per_lb_campus+'Core Loads'!H$306*Htg_exstg_therm_per_MMBtu_campus+MIN('Core Loads'!H$326,AbsChillerLoad)*Clg_exstg_therm_per_ton_campus</f>
        <v>0</v>
      </c>
      <c r="J141" s="21">
        <f>'Core Loads'!I$286*Process_exstg_therm_per_lb_campus+'Core Loads'!I$306*Htg_exstg_therm_per_MMBtu_campus+MIN('Core Loads'!I$326,AbsChillerLoad)*Clg_exstg_therm_per_ton_campus</f>
        <v>0</v>
      </c>
      <c r="K141" s="21">
        <f>'Core Loads'!J$286*Process_exstg_therm_per_lb_campus+'Core Loads'!J$306*Htg_exstg_therm_per_MMBtu_campus+MIN('Core Loads'!J$326,AbsChillerLoad)*Clg_exstg_therm_per_ton_campus</f>
        <v>0</v>
      </c>
      <c r="L141" s="21">
        <f>'Core Loads'!K$286*Process_exstg_therm_per_lb_campus+'Core Loads'!K$306*Htg_exstg_therm_per_MMBtu_campus+MIN('Core Loads'!K$326,AbsChillerLoad)*Clg_exstg_therm_per_ton_campus</f>
        <v>0</v>
      </c>
      <c r="M141" s="21">
        <f>'Core Loads'!L$286*Process_exstg_therm_per_lb_campus+'Core Loads'!L$306*Htg_exstg_therm_per_MMBtu_campus+MIN('Core Loads'!L$326,AbsChillerLoad)*Clg_exstg_therm_per_ton_campus</f>
        <v>0</v>
      </c>
      <c r="N141" s="21">
        <f>'Core Loads'!M$286*Process_exstg_therm_per_lb_campus+'Core Loads'!M$306*Htg_exstg_therm_per_MMBtu_campus+MIN('Core Loads'!M$326,AbsChillerLoad)*Clg_exstg_therm_per_ton_campus</f>
        <v>0</v>
      </c>
      <c r="O141" s="21">
        <f>'Core Loads'!N$286*Process_exstg_therm_per_lb_campus+'Core Loads'!N$306*Htg_exstg_therm_per_MMBtu_campus+MIN('Core Loads'!N$326,AbsChillerLoad)*Clg_exstg_therm_per_ton_campus</f>
        <v>0</v>
      </c>
      <c r="P141" s="21">
        <f>'Core Loads'!O$286*Process_exstg_therm_per_lb_campus+'Core Loads'!O$306*Htg_exstg_therm_per_MMBtu_campus+MIN('Core Loads'!O$326,AbsChillerLoad)*Clg_exstg_therm_per_ton_campus</f>
        <v>0</v>
      </c>
      <c r="Q141" s="21">
        <f>'Core Loads'!P$286*Process_exstg_therm_per_lb_campus+'Core Loads'!P$306*Htg_exstg_therm_per_MMBtu_campus+MIN('Core Loads'!P$326,AbsChillerLoad)*Clg_exstg_therm_per_ton_campus</f>
        <v>0</v>
      </c>
      <c r="R141" s="21">
        <f>'Core Loads'!Q$286*Process_exstg_therm_per_lb_campus+'Core Loads'!Q$306*Htg_exstg_therm_per_MMBtu_campus+MIN('Core Loads'!Q$326,AbsChillerLoad)*Clg_exstg_therm_per_ton_campus</f>
        <v>0</v>
      </c>
      <c r="S141" s="21">
        <f>'Core Loads'!R$286*Process_exstg_therm_per_lb_campus+'Core Loads'!R$306*Htg_exstg_therm_per_MMBtu_campus+MIN('Core Loads'!R$326,AbsChillerLoad)*Clg_exstg_therm_per_ton_campus</f>
        <v>0</v>
      </c>
      <c r="T141" s="21">
        <f>'Core Loads'!S$286*Process_exstg_therm_per_lb_campus+'Core Loads'!S$306*Htg_exstg_therm_per_MMBtu_campus+MIN('Core Loads'!S$326,AbsChillerLoad)*Clg_exstg_therm_per_ton_campus</f>
        <v>0</v>
      </c>
      <c r="U141" s="21">
        <f>'Core Loads'!T$286*Process_exstg_therm_per_lb_campus+'Core Loads'!T$306*Htg_exstg_therm_per_MMBtu_campus+MIN('Core Loads'!T$326,AbsChillerLoad)*Clg_exstg_therm_per_ton_campus</f>
        <v>0</v>
      </c>
      <c r="V141" s="21">
        <f>'Core Loads'!U$286*Process_exstg_therm_per_lb_campus+'Core Loads'!U$306*Htg_exstg_therm_per_MMBtu_campus+MIN('Core Loads'!U$326,AbsChillerLoad)*Clg_exstg_therm_per_ton_campus</f>
        <v>0</v>
      </c>
      <c r="W141" s="21">
        <f>'Core Loads'!V$286*Process_exstg_therm_per_lb_campus+'Core Loads'!V$306*Htg_exstg_therm_per_MMBtu_campus+MIN('Core Loads'!V$326,AbsChillerLoad)*Clg_exstg_therm_per_ton_campus</f>
        <v>0</v>
      </c>
      <c r="X141" s="21">
        <f>'Core Loads'!W$286*Process_exstg_therm_per_lb_campus+'Core Loads'!W$306*Htg_exstg_therm_per_MMBtu_campus+MIN('Core Loads'!W$326,AbsChillerLoad)*Clg_exstg_therm_per_ton_campus</f>
        <v>0</v>
      </c>
      <c r="Y141" s="21">
        <f>'Core Loads'!X$286*Process_exstg_therm_per_lb_campus+'Core Loads'!X$306*Htg_exstg_therm_per_MMBtu_campus+MIN('Core Loads'!X$326,AbsChillerLoad)*Clg_exstg_therm_per_ton_campus</f>
        <v>0</v>
      </c>
      <c r="Z141" s="21">
        <f>'Core Loads'!Y$286*Process_exstg_therm_per_lb_campus+'Core Loads'!Y$306*Htg_exstg_therm_per_MMBtu_campus+MIN('Core Loads'!Y$326,AbsChillerLoad)*Clg_exstg_therm_per_ton_campus</f>
        <v>0</v>
      </c>
      <c r="AA141" s="21">
        <f>'Core Loads'!Z$286*Process_exstg_therm_per_lb_campus+'Core Loads'!Z$306*Htg_exstg_therm_per_MMBtu_campus+MIN('Core Loads'!Z$326,AbsChillerLoad)*Clg_exstg_therm_per_ton_campus</f>
        <v>0</v>
      </c>
      <c r="AB141" s="21">
        <f>'Core Loads'!AA$286*Process_exstg_therm_per_lb_campus+'Core Loads'!AA$306*Htg_exstg_therm_per_MMBtu_campus+MIN('Core Loads'!AA$326,AbsChillerLoad)*Clg_exstg_therm_per_ton_campus</f>
        <v>0</v>
      </c>
      <c r="AC141" s="21">
        <f>'Core Loads'!AB$286*Process_exstg_therm_per_lb_campus+'Core Loads'!AB$306*Htg_exstg_therm_per_MMBtu_campus+MIN('Core Loads'!AB$326,AbsChillerLoad)*Clg_exstg_therm_per_ton_campus</f>
        <v>0</v>
      </c>
      <c r="AD141" s="21">
        <f>'Core Loads'!AC$286*Process_exstg_therm_per_lb_campus+'Core Loads'!AC$306*Htg_exstg_therm_per_MMBtu_campus+MIN('Core Loads'!AC$326,AbsChillerLoad)*Clg_exstg_therm_per_ton_campus</f>
        <v>0</v>
      </c>
      <c r="AE141" s="21">
        <f>'Core Loads'!AD$286*Process_exstg_therm_per_lb_campus+'Core Loads'!AD$306*Htg_exstg_therm_per_MMBtu_campus+MIN('Core Loads'!AD$326,AbsChillerLoad)*Clg_exstg_therm_per_ton_campus</f>
        <v>0</v>
      </c>
      <c r="AF141" s="21">
        <f>'Core Loads'!AE$286*Process_exstg_therm_per_lb_campus+'Core Loads'!AE$306*Htg_exstg_therm_per_MMBtu_campus+MIN('Core Loads'!AE$326,AbsChillerLoad)*Clg_exstg_therm_per_ton_campus</f>
        <v>0</v>
      </c>
      <c r="AG141" s="21">
        <f>'Core Loads'!AF$286*Process_exstg_therm_per_lb_campus+'Core Loads'!AF$306*Htg_exstg_therm_per_MMBtu_campus+MIN('Core Loads'!AF$326,AbsChillerLoad)*Clg_exstg_therm_per_ton_campus</f>
        <v>0</v>
      </c>
      <c r="AH141"/>
      <c r="AI141" s="23" t="s">
        <v>293</v>
      </c>
    </row>
    <row r="142" spans="2:35" s="1" customFormat="1" hidden="1" outlineLevel="1" x14ac:dyDescent="0.25">
      <c r="B142" t="s">
        <v>154</v>
      </c>
      <c r="C142" t="s">
        <v>170</v>
      </c>
      <c r="D142" s="21">
        <f>'Core Loads'!C$286*Process_exstg_CCF_per_lb_campus+'Core Loads'!C$306*Htg_exstg_CCF_per_MMBtu_campus+'Core Loads'!C$326*Clg_exstg_CCF_per_ton_campus</f>
        <v>278436.87957137165</v>
      </c>
      <c r="E142" s="21">
        <f>'Core Loads'!D$286*Process_exstg_CCF_per_lb_campus+'Core Loads'!D$306*Htg_exstg_CCF_per_MMBtu_campus+'Core Loads'!D$326*Clg_exstg_CCF_per_ton_campus</f>
        <v>297204.70349500491</v>
      </c>
      <c r="F142" s="21">
        <f>'Core Loads'!E$286*Process_exstg_CCF_per_lb_campus+'Core Loads'!E$306*Htg_exstg_CCF_per_MMBtu_campus+'Core Loads'!E$326*Clg_exstg_CCF_per_ton_campus</f>
        <v>0</v>
      </c>
      <c r="G142" s="21">
        <f>'Core Loads'!F$286*Process_exstg_CCF_per_lb_campus+'Core Loads'!F$306*Htg_exstg_CCF_per_MMBtu_campus+'Core Loads'!F$326*Clg_exstg_CCF_per_ton_campus</f>
        <v>0</v>
      </c>
      <c r="H142" s="21">
        <f>'Core Loads'!G$286*Process_exstg_CCF_per_lb_campus+'Core Loads'!G$306*Htg_exstg_CCF_per_MMBtu_campus+'Core Loads'!G$326*Clg_exstg_CCF_per_ton_campus</f>
        <v>0</v>
      </c>
      <c r="I142" s="21">
        <f>'Core Loads'!H$286*Process_exstg_CCF_per_lb_campus+'Core Loads'!H$306*Htg_exstg_CCF_per_MMBtu_campus+'Core Loads'!H$326*Clg_exstg_CCF_per_ton_campus</f>
        <v>0</v>
      </c>
      <c r="J142" s="21">
        <f>'Core Loads'!I$286*Process_exstg_CCF_per_lb_campus+'Core Loads'!I$306*Htg_exstg_CCF_per_MMBtu_campus+'Core Loads'!I$326*Clg_exstg_CCF_per_ton_campus</f>
        <v>0</v>
      </c>
      <c r="K142" s="21">
        <f>'Core Loads'!J$286*Process_exstg_CCF_per_lb_campus+'Core Loads'!J$306*Htg_exstg_CCF_per_MMBtu_campus+'Core Loads'!J$326*Clg_exstg_CCF_per_ton_campus</f>
        <v>0</v>
      </c>
      <c r="L142" s="21">
        <f>'Core Loads'!K$286*Process_exstg_CCF_per_lb_campus+'Core Loads'!K$306*Htg_exstg_CCF_per_MMBtu_campus+'Core Loads'!K$326*Clg_exstg_CCF_per_ton_campus</f>
        <v>0</v>
      </c>
      <c r="M142" s="21">
        <f>'Core Loads'!L$286*Process_exstg_CCF_per_lb_campus+'Core Loads'!L$306*Htg_exstg_CCF_per_MMBtu_campus+'Core Loads'!L$326*Clg_exstg_CCF_per_ton_campus</f>
        <v>0</v>
      </c>
      <c r="N142" s="21">
        <f>'Core Loads'!M$286*Process_exstg_CCF_per_lb_campus+'Core Loads'!M$306*Htg_exstg_CCF_per_MMBtu_campus+'Core Loads'!M$326*Clg_exstg_CCF_per_ton_campus</f>
        <v>0</v>
      </c>
      <c r="O142" s="21">
        <f>'Core Loads'!N$286*Process_exstg_CCF_per_lb_campus+'Core Loads'!N$306*Htg_exstg_CCF_per_MMBtu_campus+'Core Loads'!N$326*Clg_exstg_CCF_per_ton_campus</f>
        <v>0</v>
      </c>
      <c r="P142" s="21">
        <f>'Core Loads'!O$286*Process_exstg_CCF_per_lb_campus+'Core Loads'!O$306*Htg_exstg_CCF_per_MMBtu_campus+'Core Loads'!O$326*Clg_exstg_CCF_per_ton_campus</f>
        <v>0</v>
      </c>
      <c r="Q142" s="21">
        <f>'Core Loads'!P$286*Process_exstg_CCF_per_lb_campus+'Core Loads'!P$306*Htg_exstg_CCF_per_MMBtu_campus+'Core Loads'!P$326*Clg_exstg_CCF_per_ton_campus</f>
        <v>0</v>
      </c>
      <c r="R142" s="21">
        <f>'Core Loads'!Q$286*Process_exstg_CCF_per_lb_campus+'Core Loads'!Q$306*Htg_exstg_CCF_per_MMBtu_campus+'Core Loads'!Q$326*Clg_exstg_CCF_per_ton_campus</f>
        <v>0</v>
      </c>
      <c r="S142" s="21">
        <f>'Core Loads'!R$286*Process_exstg_CCF_per_lb_campus+'Core Loads'!R$306*Htg_exstg_CCF_per_MMBtu_campus+'Core Loads'!R$326*Clg_exstg_CCF_per_ton_campus</f>
        <v>0</v>
      </c>
      <c r="T142" s="21">
        <f>'Core Loads'!S$286*Process_exstg_CCF_per_lb_campus+'Core Loads'!S$306*Htg_exstg_CCF_per_MMBtu_campus+'Core Loads'!S$326*Clg_exstg_CCF_per_ton_campus</f>
        <v>0</v>
      </c>
      <c r="U142" s="21">
        <f>'Core Loads'!T$286*Process_exstg_CCF_per_lb_campus+'Core Loads'!T$306*Htg_exstg_CCF_per_MMBtu_campus+'Core Loads'!T$326*Clg_exstg_CCF_per_ton_campus</f>
        <v>0</v>
      </c>
      <c r="V142" s="21">
        <f>'Core Loads'!U$286*Process_exstg_CCF_per_lb_campus+'Core Loads'!U$306*Htg_exstg_CCF_per_MMBtu_campus+'Core Loads'!U$326*Clg_exstg_CCF_per_ton_campus</f>
        <v>0</v>
      </c>
      <c r="W142" s="21">
        <f>'Core Loads'!V$286*Process_exstg_CCF_per_lb_campus+'Core Loads'!V$306*Htg_exstg_CCF_per_MMBtu_campus+'Core Loads'!V$326*Clg_exstg_CCF_per_ton_campus</f>
        <v>0</v>
      </c>
      <c r="X142" s="21">
        <f>'Core Loads'!W$286*Process_exstg_CCF_per_lb_campus+'Core Loads'!W$306*Htg_exstg_CCF_per_MMBtu_campus+'Core Loads'!W$326*Clg_exstg_CCF_per_ton_campus</f>
        <v>0</v>
      </c>
      <c r="Y142" s="21">
        <f>'Core Loads'!X$286*Process_exstg_CCF_per_lb_campus+'Core Loads'!X$306*Htg_exstg_CCF_per_MMBtu_campus+'Core Loads'!X$326*Clg_exstg_CCF_per_ton_campus</f>
        <v>0</v>
      </c>
      <c r="Z142" s="21">
        <f>'Core Loads'!Y$286*Process_exstg_CCF_per_lb_campus+'Core Loads'!Y$306*Htg_exstg_CCF_per_MMBtu_campus+'Core Loads'!Y$326*Clg_exstg_CCF_per_ton_campus</f>
        <v>0</v>
      </c>
      <c r="AA142" s="21">
        <f>'Core Loads'!Z$286*Process_exstg_CCF_per_lb_campus+'Core Loads'!Z$306*Htg_exstg_CCF_per_MMBtu_campus+'Core Loads'!Z$326*Clg_exstg_CCF_per_ton_campus</f>
        <v>0</v>
      </c>
      <c r="AB142" s="21">
        <f>'Core Loads'!AA$286*Process_exstg_CCF_per_lb_campus+'Core Loads'!AA$306*Htg_exstg_CCF_per_MMBtu_campus+'Core Loads'!AA$326*Clg_exstg_CCF_per_ton_campus</f>
        <v>0</v>
      </c>
      <c r="AC142" s="21">
        <f>'Core Loads'!AB$286*Process_exstg_CCF_per_lb_campus+'Core Loads'!AB$306*Htg_exstg_CCF_per_MMBtu_campus+'Core Loads'!AB$326*Clg_exstg_CCF_per_ton_campus</f>
        <v>0</v>
      </c>
      <c r="AD142" s="21">
        <f>'Core Loads'!AC$286*Process_exstg_CCF_per_lb_campus+'Core Loads'!AC$306*Htg_exstg_CCF_per_MMBtu_campus+'Core Loads'!AC$326*Clg_exstg_CCF_per_ton_campus</f>
        <v>0</v>
      </c>
      <c r="AE142" s="21">
        <f>'Core Loads'!AD$286*Process_exstg_CCF_per_lb_campus+'Core Loads'!AD$306*Htg_exstg_CCF_per_MMBtu_campus+'Core Loads'!AD$326*Clg_exstg_CCF_per_ton_campus</f>
        <v>0</v>
      </c>
      <c r="AF142" s="21">
        <f>'Core Loads'!AE$286*Process_exstg_CCF_per_lb_campus+'Core Loads'!AE$306*Htg_exstg_CCF_per_MMBtu_campus+'Core Loads'!AE$326*Clg_exstg_CCF_per_ton_campus</f>
        <v>0</v>
      </c>
      <c r="AG142" s="21">
        <f>'Core Loads'!AF$286*Process_exstg_CCF_per_lb_campus+'Core Loads'!AF$306*Htg_exstg_CCF_per_MMBtu_campus+'Core Loads'!AF$326*Clg_exstg_CCF_per_ton_campus</f>
        <v>0</v>
      </c>
      <c r="AH142"/>
      <c r="AI142" s="23" t="s">
        <v>293</v>
      </c>
    </row>
    <row r="143" spans="2:35" hidden="1" outlineLevel="1" x14ac:dyDescent="0.25"/>
    <row r="144" spans="2:35" s="1" customFormat="1" ht="17.25" hidden="1" outlineLevel="1" thickBot="1" x14ac:dyDescent="0.3">
      <c r="B144" s="19" t="s">
        <v>280</v>
      </c>
      <c r="C144" s="19"/>
      <c r="D144" s="19"/>
      <c r="E144" s="6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row>
    <row r="145" spans="2:35" s="1" customFormat="1" ht="16.5" hidden="1" outlineLevel="1" thickTop="1" thickBot="1" x14ac:dyDescent="0.3">
      <c r="B145" s="20" t="s">
        <v>292</v>
      </c>
      <c r="C145" s="20" t="s">
        <v>13</v>
      </c>
      <c r="D145" s="20" t="s">
        <v>17</v>
      </c>
      <c r="E145" s="68"/>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t="s">
        <v>15</v>
      </c>
    </row>
    <row r="146" spans="2:35" hidden="1" outlineLevel="1" x14ac:dyDescent="0.25">
      <c r="D146" s="8">
        <f>'Core Loads'!$C$14</f>
        <v>2025</v>
      </c>
      <c r="E146" s="62">
        <f>'Core Loads'!$D$14</f>
        <v>2026</v>
      </c>
      <c r="F146" s="8">
        <f>'Core Loads'!$E$14</f>
        <v>2027</v>
      </c>
      <c r="G146" s="8">
        <f>'Core Loads'!$F$14</f>
        <v>2028</v>
      </c>
      <c r="H146" s="8">
        <f>'Core Loads'!$G$14</f>
        <v>2029</v>
      </c>
      <c r="I146" s="8">
        <f>'Core Loads'!$H$14</f>
        <v>2030</v>
      </c>
      <c r="J146" s="8">
        <f>'Core Loads'!$I$14</f>
        <v>2031</v>
      </c>
      <c r="K146" s="8">
        <f>'Core Loads'!$J$14</f>
        <v>2032</v>
      </c>
      <c r="L146" s="8">
        <f>'Core Loads'!$K$14</f>
        <v>2033</v>
      </c>
      <c r="M146" s="8">
        <f>'Core Loads'!$L$14</f>
        <v>2034</v>
      </c>
      <c r="N146" s="8">
        <f>'Core Loads'!$M$14</f>
        <v>2035</v>
      </c>
      <c r="O146" s="8">
        <f>'Core Loads'!$N$14</f>
        <v>2036</v>
      </c>
      <c r="P146" s="8">
        <f>'Core Loads'!$O$14</f>
        <v>2037</v>
      </c>
      <c r="Q146" s="8">
        <f>'Core Loads'!$P$14</f>
        <v>2038</v>
      </c>
      <c r="R146" s="8">
        <f>'Core Loads'!$Q$14</f>
        <v>2039</v>
      </c>
      <c r="S146" s="8">
        <f>'Core Loads'!$R$14</f>
        <v>2040</v>
      </c>
      <c r="T146" s="8">
        <f>'Core Loads'!$S$14</f>
        <v>2041</v>
      </c>
      <c r="U146" s="8">
        <f>'Core Loads'!$T$14</f>
        <v>2042</v>
      </c>
      <c r="V146" s="8">
        <f>'Core Loads'!$U$14</f>
        <v>2043</v>
      </c>
      <c r="W146" s="8">
        <f>'Core Loads'!$V$14</f>
        <v>2044</v>
      </c>
      <c r="X146" s="8">
        <f>'Core Loads'!$W$14</f>
        <v>2045</v>
      </c>
      <c r="Y146" s="8">
        <f>'Core Loads'!$X$14</f>
        <v>2046</v>
      </c>
      <c r="Z146" s="8">
        <f>'Core Loads'!$Y$14</f>
        <v>2047</v>
      </c>
      <c r="AA146" s="8">
        <f>'Core Loads'!$Z$14</f>
        <v>2048</v>
      </c>
      <c r="AB146" s="8">
        <f>'Core Loads'!$AA$14</f>
        <v>2049</v>
      </c>
      <c r="AC146" s="8">
        <f>'Core Loads'!$AB$14</f>
        <v>2050</v>
      </c>
      <c r="AD146" s="8">
        <f>'Core Loads'!$AC$14</f>
        <v>2051</v>
      </c>
      <c r="AE146" s="8">
        <f>'Core Loads'!$AD$14</f>
        <v>2052</v>
      </c>
      <c r="AF146" s="8">
        <f>'Core Loads'!$AE$14</f>
        <v>2053</v>
      </c>
      <c r="AG146" s="8">
        <f>'Core Loads'!$AF$14</f>
        <v>2054</v>
      </c>
    </row>
    <row r="147" spans="2:35" s="1" customFormat="1" hidden="1" outlineLevel="1" x14ac:dyDescent="0.25">
      <c r="B147" t="s">
        <v>141</v>
      </c>
      <c r="C147" t="s">
        <v>109</v>
      </c>
      <c r="D147" s="21">
        <f>'Core Loads'!C$275*Elec_6_kWh_per_kWh_campus+'Core Loads'!C$295*Process_6_kWh_per_lb_campus+'Core Loads'!C$315*Htg_6_kWh_per_MMBtu_campus+'Core Loads'!C$335*Clg_6_kWh_per_ton_campus</f>
        <v>0</v>
      </c>
      <c r="E147" s="21">
        <f>'Core Loads'!D$275*Elec_6_kWh_per_kWh_campus+'Core Loads'!D$295*Process_6_kWh_per_lb_campus+'Core Loads'!D$315*Htg_6_kWh_per_MMBtu_campus+'Core Loads'!D$335*Clg_6_kWh_per_ton_campus</f>
        <v>0</v>
      </c>
      <c r="F147" s="21">
        <f>'Core Loads'!E$275*Elec_6_kWh_per_kWh_campus+'Core Loads'!E$295*Process_6_kWh_per_lb_campus+'Core Loads'!E$315*Htg_6_kWh_per_MMBtu_campus+'Core Loads'!E$335*Clg_6_kWh_per_ton_campus</f>
        <v>213515470.00814971</v>
      </c>
      <c r="G147" s="21">
        <f>'Core Loads'!F$275*Elec_6_kWh_per_kWh_campus+'Core Loads'!F$295*Process_6_kWh_per_lb_campus+'Core Loads'!F$315*Htg_6_kWh_per_MMBtu_campus+'Core Loads'!F$335*Clg_6_kWh_per_ton_campus</f>
        <v>229465787.09521624</v>
      </c>
      <c r="H147" s="21">
        <f>'Core Loads'!G$275*Elec_6_kWh_per_kWh_campus+'Core Loads'!G$295*Process_6_kWh_per_lb_campus+'Core Loads'!G$315*Htg_6_kWh_per_MMBtu_campus+'Core Loads'!G$335*Clg_6_kWh_per_ton_campus</f>
        <v>229465787.09521624</v>
      </c>
      <c r="I147" s="21">
        <f>'Core Loads'!H$275*Elec_6_kWh_per_kWh_campus+'Core Loads'!H$295*Process_6_kWh_per_lb_campus+'Core Loads'!H$315*Htg_6_kWh_per_MMBtu_campus+'Core Loads'!H$335*Clg_6_kWh_per_ton_campus</f>
        <v>234269958.37737536</v>
      </c>
      <c r="J147" s="21">
        <f>'Core Loads'!I$275*Elec_6_kWh_per_kWh_campus+'Core Loads'!I$295*Process_6_kWh_per_lb_campus+'Core Loads'!I$315*Htg_6_kWh_per_MMBtu_campus+'Core Loads'!I$335*Clg_6_kWh_per_ton_campus</f>
        <v>234269958.37737536</v>
      </c>
      <c r="K147" s="21">
        <f>'Core Loads'!J$275*Elec_6_kWh_per_kWh_campus+'Core Loads'!J$295*Process_6_kWh_per_lb_campus+'Core Loads'!J$315*Htg_6_kWh_per_MMBtu_campus+'Core Loads'!J$335*Clg_6_kWh_per_ton_campus</f>
        <v>223444695.67282408</v>
      </c>
      <c r="L147" s="21">
        <f>'Core Loads'!K$275*Elec_6_kWh_per_kWh_campus+'Core Loads'!K$295*Process_6_kWh_per_lb_campus+'Core Loads'!K$315*Htg_6_kWh_per_MMBtu_campus+'Core Loads'!K$335*Clg_6_kWh_per_ton_campus</f>
        <v>223444695.67282408</v>
      </c>
      <c r="M147" s="21">
        <f>'Core Loads'!L$275*Elec_6_kWh_per_kWh_campus+'Core Loads'!L$295*Process_6_kWh_per_lb_campus+'Core Loads'!L$315*Htg_6_kWh_per_MMBtu_campus+'Core Loads'!L$335*Clg_6_kWh_per_ton_campus</f>
        <v>223635944.05278075</v>
      </c>
      <c r="N147" s="21">
        <f>'Core Loads'!M$275*Elec_6_kWh_per_kWh_campus+'Core Loads'!M$295*Process_6_kWh_per_lb_campus+'Core Loads'!M$315*Htg_6_kWh_per_MMBtu_campus+'Core Loads'!M$335*Clg_6_kWh_per_ton_campus</f>
        <v>223635944.05278075</v>
      </c>
      <c r="O147" s="21">
        <f>'Core Loads'!N$275*Elec_6_kWh_per_kWh_campus+'Core Loads'!N$295*Process_6_kWh_per_lb_campus+'Core Loads'!N$315*Htg_6_kWh_per_MMBtu_campus+'Core Loads'!N$335*Clg_6_kWh_per_ton_campus</f>
        <v>221889618.50614679</v>
      </c>
      <c r="P147" s="21">
        <f>'Core Loads'!O$275*Elec_6_kWh_per_kWh_campus+'Core Loads'!O$295*Process_6_kWh_per_lb_campus+'Core Loads'!O$315*Htg_6_kWh_per_MMBtu_campus+'Core Loads'!O$335*Clg_6_kWh_per_ton_campus</f>
        <v>221889618.50614679</v>
      </c>
      <c r="Q147" s="21">
        <f>'Core Loads'!P$275*Elec_6_kWh_per_kWh_campus+'Core Loads'!P$295*Process_6_kWh_per_lb_campus+'Core Loads'!P$315*Htg_6_kWh_per_MMBtu_campus+'Core Loads'!P$335*Clg_6_kWh_per_ton_campus</f>
        <v>221508563.44931492</v>
      </c>
      <c r="R147" s="21">
        <f>'Core Loads'!Q$275*Elec_6_kWh_per_kWh_campus+'Core Loads'!Q$295*Process_6_kWh_per_lb_campus+'Core Loads'!Q$315*Htg_6_kWh_per_MMBtu_campus+'Core Loads'!Q$335*Clg_6_kWh_per_ton_campus</f>
        <v>221508563.44931492</v>
      </c>
      <c r="S147" s="21">
        <f>'Core Loads'!R$275*Elec_6_kWh_per_kWh_campus+'Core Loads'!R$295*Process_6_kWh_per_lb_campus+'Core Loads'!R$315*Htg_6_kWh_per_MMBtu_campus+'Core Loads'!R$335*Clg_6_kWh_per_ton_campus</f>
        <v>263195564.81473142</v>
      </c>
      <c r="T147" s="21">
        <f>'Core Loads'!S$275*Elec_6_kWh_per_kWh_campus+'Core Loads'!S$295*Process_6_kWh_per_lb_campus+'Core Loads'!S$315*Htg_6_kWh_per_MMBtu_campus+'Core Loads'!S$335*Clg_6_kWh_per_ton_campus</f>
        <v>263195564.81473142</v>
      </c>
      <c r="U147" s="21">
        <f>'Core Loads'!T$275*Elec_6_kWh_per_kWh_campus+'Core Loads'!T$295*Process_6_kWh_per_lb_campus+'Core Loads'!T$315*Htg_6_kWh_per_MMBtu_campus+'Core Loads'!T$335*Clg_6_kWh_per_ton_campus</f>
        <v>263082526.47690898</v>
      </c>
      <c r="V147" s="21">
        <f>'Core Loads'!U$275*Elec_6_kWh_per_kWh_campus+'Core Loads'!U$295*Process_6_kWh_per_lb_campus+'Core Loads'!U$315*Htg_6_kWh_per_MMBtu_campus+'Core Loads'!U$335*Clg_6_kWh_per_ton_campus</f>
        <v>263082526.47690898</v>
      </c>
      <c r="W147" s="21">
        <f>'Core Loads'!V$275*Elec_6_kWh_per_kWh_campus+'Core Loads'!V$295*Process_6_kWh_per_lb_campus+'Core Loads'!V$315*Htg_6_kWh_per_MMBtu_campus+'Core Loads'!V$335*Clg_6_kWh_per_ton_campus</f>
        <v>262508797.67526135</v>
      </c>
      <c r="X147" s="21">
        <f>'Core Loads'!W$275*Elec_6_kWh_per_kWh_campus+'Core Loads'!W$295*Process_6_kWh_per_lb_campus+'Core Loads'!W$315*Htg_6_kWh_per_MMBtu_campus+'Core Loads'!W$335*Clg_6_kWh_per_ton_campus</f>
        <v>262508797.67526135</v>
      </c>
      <c r="Y147" s="21">
        <f>'Core Loads'!X$275*Elec_6_kWh_per_kWh_campus+'Core Loads'!X$295*Process_6_kWh_per_lb_campus+'Core Loads'!X$315*Htg_6_kWh_per_MMBtu_campus+'Core Loads'!X$335*Clg_6_kWh_per_ton_campus</f>
        <v>262508797.67526135</v>
      </c>
      <c r="Z147" s="21">
        <f>'Core Loads'!Y$275*Elec_6_kWh_per_kWh_campus+'Core Loads'!Y$295*Process_6_kWh_per_lb_campus+'Core Loads'!Y$315*Htg_6_kWh_per_MMBtu_campus+'Core Loads'!Y$335*Clg_6_kWh_per_ton_campus</f>
        <v>262508797.67526135</v>
      </c>
      <c r="AA147" s="21">
        <f>'Core Loads'!Z$275*Elec_6_kWh_per_kWh_campus+'Core Loads'!Z$295*Process_6_kWh_per_lb_campus+'Core Loads'!Z$315*Htg_6_kWh_per_MMBtu_campus+'Core Loads'!Z$335*Clg_6_kWh_per_ton_campus</f>
        <v>262508797.67526135</v>
      </c>
      <c r="AB147" s="21">
        <f>'Core Loads'!AA$275*Elec_6_kWh_per_kWh_campus+'Core Loads'!AA$295*Process_6_kWh_per_lb_campus+'Core Loads'!AA$315*Htg_6_kWh_per_MMBtu_campus+'Core Loads'!AA$335*Clg_6_kWh_per_ton_campus</f>
        <v>262508797.67526135</v>
      </c>
      <c r="AC147" s="21">
        <f>'Core Loads'!AB$275*Elec_6_kWh_per_kWh_campus+'Core Loads'!AB$295*Process_6_kWh_per_lb_campus+'Core Loads'!AB$315*Htg_6_kWh_per_MMBtu_campus+'Core Loads'!AB$335*Clg_6_kWh_per_ton_campus</f>
        <v>261801987.10315412</v>
      </c>
      <c r="AD147" s="21">
        <f>'Core Loads'!AC$275*Elec_6_kWh_per_kWh_campus+'Core Loads'!AC$295*Process_6_kWh_per_lb_campus+'Core Loads'!AC$315*Htg_6_kWh_per_MMBtu_campus+'Core Loads'!AC$335*Clg_6_kWh_per_ton_campus</f>
        <v>261801987.10315412</v>
      </c>
      <c r="AE147" s="21">
        <f>'Core Loads'!AD$275*Elec_6_kWh_per_kWh_campus+'Core Loads'!AD$295*Process_6_kWh_per_lb_campus+'Core Loads'!AD$315*Htg_6_kWh_per_MMBtu_campus+'Core Loads'!AD$335*Clg_6_kWh_per_ton_campus</f>
        <v>261801987.10315412</v>
      </c>
      <c r="AF147" s="21">
        <f>'Core Loads'!AE$275*Elec_6_kWh_per_kWh_campus+'Core Loads'!AE$295*Process_6_kWh_per_lb_campus+'Core Loads'!AE$315*Htg_6_kWh_per_MMBtu_campus+'Core Loads'!AE$335*Clg_6_kWh_per_ton_campus</f>
        <v>261801987.10315412</v>
      </c>
      <c r="AG147" s="21">
        <f>'Core Loads'!AF$275*Elec_6_kWh_per_kWh_campus+'Core Loads'!AF$295*Process_6_kWh_per_lb_campus+'Core Loads'!AF$315*Htg_6_kWh_per_MMBtu_campus+'Core Loads'!AF$335*Clg_6_kWh_per_ton_campus</f>
        <v>261801987.10315412</v>
      </c>
      <c r="AH147"/>
      <c r="AI147" s="23" t="s">
        <v>293</v>
      </c>
    </row>
    <row r="148" spans="2:35" s="1" customFormat="1" hidden="1" outlineLevel="1" x14ac:dyDescent="0.25">
      <c r="B148" t="s">
        <v>136</v>
      </c>
      <c r="C148" t="s">
        <v>169</v>
      </c>
      <c r="D148" s="21">
        <f>'Core Loads'!C$295*Process_6_therm_per_lb_campus+'Core Loads'!C$315*Htg_6_therm_per_MMBtu_campus</f>
        <v>0</v>
      </c>
      <c r="E148" s="21">
        <f>'Core Loads'!D$295*Process_6_therm_per_lb_campus+'Core Loads'!D$315*Htg_6_therm_per_MMBtu_campus</f>
        <v>0</v>
      </c>
      <c r="F148" s="21">
        <f>'Core Loads'!E$295*Process_6_therm_per_lb_campus+'Core Loads'!E$315*Htg_6_therm_per_MMBtu_campus</f>
        <v>8313140.9880687799</v>
      </c>
      <c r="G148" s="21">
        <f>'Core Loads'!F$295*Process_6_therm_per_lb_campus+'Core Loads'!F$315*Htg_6_therm_per_MMBtu_campus</f>
        <v>8136703.1927119317</v>
      </c>
      <c r="H148" s="21">
        <f>'Core Loads'!G$295*Process_6_therm_per_lb_campus+'Core Loads'!G$315*Htg_6_therm_per_MMBtu_campus</f>
        <v>8136703.1927119317</v>
      </c>
      <c r="I148" s="21">
        <f>'Core Loads'!H$295*Process_6_therm_per_lb_campus+'Core Loads'!H$315*Htg_6_therm_per_MMBtu_campus</f>
        <v>8007874.6843401222</v>
      </c>
      <c r="J148" s="21">
        <f>'Core Loads'!I$295*Process_6_therm_per_lb_campus+'Core Loads'!I$315*Htg_6_therm_per_MMBtu_campus</f>
        <v>8007874.6843401222</v>
      </c>
      <c r="K148" s="21">
        <f>'Core Loads'!J$295*Process_6_therm_per_lb_campus+'Core Loads'!J$315*Htg_6_therm_per_MMBtu_campus</f>
        <v>7626218.3372912602</v>
      </c>
      <c r="L148" s="21">
        <f>'Core Loads'!K$295*Process_6_therm_per_lb_campus+'Core Loads'!K$315*Htg_6_therm_per_MMBtu_campus</f>
        <v>7626218.3372912602</v>
      </c>
      <c r="M148" s="21">
        <f>'Core Loads'!L$295*Process_6_therm_per_lb_campus+'Core Loads'!L$315*Htg_6_therm_per_MMBtu_campus</f>
        <v>7500809.3615512364</v>
      </c>
      <c r="N148" s="21">
        <f>'Core Loads'!M$295*Process_6_therm_per_lb_campus+'Core Loads'!M$315*Htg_6_therm_per_MMBtu_campus</f>
        <v>7500809.3615512364</v>
      </c>
      <c r="O148" s="21">
        <f>'Core Loads'!N$295*Process_6_therm_per_lb_campus+'Core Loads'!N$315*Htg_6_therm_per_MMBtu_campus</f>
        <v>7325257.4422050472</v>
      </c>
      <c r="P148" s="21">
        <f>'Core Loads'!O$295*Process_6_therm_per_lb_campus+'Core Loads'!O$315*Htg_6_therm_per_MMBtu_campus</f>
        <v>7325257.4422050472</v>
      </c>
      <c r="Q148" s="21">
        <f>'Core Loads'!P$295*Process_6_therm_per_lb_campus+'Core Loads'!P$315*Htg_6_therm_per_MMBtu_campus</f>
        <v>7286849.5097296908</v>
      </c>
      <c r="R148" s="21">
        <f>'Core Loads'!Q$295*Process_6_therm_per_lb_campus+'Core Loads'!Q$315*Htg_6_therm_per_MMBtu_campus</f>
        <v>7286849.5097296908</v>
      </c>
      <c r="S148" s="21">
        <f>'Core Loads'!R$295*Process_6_therm_per_lb_campus+'Core Loads'!R$315*Htg_6_therm_per_MMBtu_campus</f>
        <v>7806338.301771313</v>
      </c>
      <c r="T148" s="21">
        <f>'Core Loads'!S$295*Process_6_therm_per_lb_campus+'Core Loads'!S$315*Htg_6_therm_per_MMBtu_campus</f>
        <v>7806338.301771313</v>
      </c>
      <c r="U148" s="21">
        <f>'Core Loads'!T$295*Process_6_therm_per_lb_campus+'Core Loads'!T$315*Htg_6_therm_per_MMBtu_campus</f>
        <v>7786557.2135725571</v>
      </c>
      <c r="V148" s="21">
        <f>'Core Loads'!U$295*Process_6_therm_per_lb_campus+'Core Loads'!U$315*Htg_6_therm_per_MMBtu_campus</f>
        <v>7786557.2135725571</v>
      </c>
      <c r="W148" s="21">
        <f>'Core Loads'!V$295*Process_6_therm_per_lb_campus+'Core Loads'!V$315*Htg_6_therm_per_MMBtu_campus</f>
        <v>7761634.7494799159</v>
      </c>
      <c r="X148" s="21">
        <f>'Core Loads'!W$295*Process_6_therm_per_lb_campus+'Core Loads'!W$315*Htg_6_therm_per_MMBtu_campus</f>
        <v>7761634.7494799159</v>
      </c>
      <c r="Y148" s="21">
        <f>'Core Loads'!X$295*Process_6_therm_per_lb_campus+'Core Loads'!X$315*Htg_6_therm_per_MMBtu_campus</f>
        <v>7761634.7494799159</v>
      </c>
      <c r="Z148" s="21">
        <f>'Core Loads'!Y$295*Process_6_therm_per_lb_campus+'Core Loads'!Y$315*Htg_6_therm_per_MMBtu_campus</f>
        <v>7761634.7494799159</v>
      </c>
      <c r="AA148" s="21">
        <f>'Core Loads'!Z$295*Process_6_therm_per_lb_campus+'Core Loads'!Z$315*Htg_6_therm_per_MMBtu_campus</f>
        <v>7761634.7494799159</v>
      </c>
      <c r="AB148" s="21">
        <f>'Core Loads'!AA$295*Process_6_therm_per_lb_campus+'Core Loads'!AA$315*Htg_6_therm_per_MMBtu_campus</f>
        <v>7761634.7494799159</v>
      </c>
      <c r="AC148" s="21">
        <f>'Core Loads'!AB$295*Process_6_therm_per_lb_campus+'Core Loads'!AB$315*Htg_6_therm_per_MMBtu_campus</f>
        <v>7736651.8224291112</v>
      </c>
      <c r="AD148" s="21">
        <f>'Core Loads'!AC$295*Process_6_therm_per_lb_campus+'Core Loads'!AC$315*Htg_6_therm_per_MMBtu_campus</f>
        <v>7736651.8224291112</v>
      </c>
      <c r="AE148" s="21">
        <f>'Core Loads'!AD$295*Process_6_therm_per_lb_campus+'Core Loads'!AD$315*Htg_6_therm_per_MMBtu_campus</f>
        <v>7736651.8224291112</v>
      </c>
      <c r="AF148" s="21">
        <f>'Core Loads'!AE$295*Process_6_therm_per_lb_campus+'Core Loads'!AE$315*Htg_6_therm_per_MMBtu_campus</f>
        <v>7736651.8224291112</v>
      </c>
      <c r="AG148" s="21">
        <f>'Core Loads'!AF$295*Process_6_therm_per_lb_campus+'Core Loads'!AF$315*Htg_6_therm_per_MMBtu_campus</f>
        <v>7736651.8224291112</v>
      </c>
      <c r="AH148"/>
      <c r="AI148" s="23" t="s">
        <v>293</v>
      </c>
    </row>
    <row r="149" spans="2:35" s="1" customFormat="1" hidden="1" outlineLevel="1" x14ac:dyDescent="0.25">
      <c r="B149" t="s">
        <v>154</v>
      </c>
      <c r="C149" t="s">
        <v>170</v>
      </c>
      <c r="D149" s="21">
        <f>'Core Loads'!C$295*Process_6_CCF_per_lb_campus+'Core Loads'!C$315*Htg_6_CCF_per_MMBtu_campus+'Core Loads'!C$335*Clg_6_CCF_per_ton_campus</f>
        <v>0</v>
      </c>
      <c r="E149" s="21">
        <f>'Core Loads'!D$295*Process_6_CCF_per_lb_campus+'Core Loads'!D$315*Htg_6_CCF_per_MMBtu_campus+'Core Loads'!D$335*Clg_6_CCF_per_ton_campus</f>
        <v>0</v>
      </c>
      <c r="F149" s="21">
        <f>'Core Loads'!E$295*Process_6_CCF_per_lb_campus+'Core Loads'!E$315*Htg_6_CCF_per_MMBtu_campus+'Core Loads'!E$335*Clg_6_CCF_per_ton_campus</f>
        <v>168824.41307064128</v>
      </c>
      <c r="G149" s="21">
        <f>'Core Loads'!F$295*Process_6_CCF_per_lb_campus+'Core Loads'!F$315*Htg_6_CCF_per_MMBtu_campus+'Core Loads'!F$335*Clg_6_CCF_per_ton_campus</f>
        <v>189680.59682185159</v>
      </c>
      <c r="H149" s="21">
        <f>'Core Loads'!G$295*Process_6_CCF_per_lb_campus+'Core Loads'!G$315*Htg_6_CCF_per_MMBtu_campus+'Core Loads'!G$335*Clg_6_CCF_per_ton_campus</f>
        <v>189680.59682185159</v>
      </c>
      <c r="I149" s="21">
        <f>'Core Loads'!H$295*Process_6_CCF_per_lb_campus+'Core Loads'!H$315*Htg_6_CCF_per_MMBtu_campus+'Core Loads'!H$335*Clg_6_CCF_per_ton_campus</f>
        <v>210910.62492790326</v>
      </c>
      <c r="J149" s="21">
        <f>'Core Loads'!I$295*Process_6_CCF_per_lb_campus+'Core Loads'!I$315*Htg_6_CCF_per_MMBtu_campus+'Core Loads'!I$335*Clg_6_CCF_per_ton_campus</f>
        <v>210910.62492790326</v>
      </c>
      <c r="K149" s="21">
        <f>'Core Loads'!J$295*Process_6_CCF_per_lb_campus+'Core Loads'!J$315*Htg_6_CCF_per_MMBtu_campus+'Core Loads'!J$335*Clg_6_CCF_per_ton_campus</f>
        <v>204462.30733862033</v>
      </c>
      <c r="L149" s="21">
        <f>'Core Loads'!K$295*Process_6_CCF_per_lb_campus+'Core Loads'!K$315*Htg_6_CCF_per_MMBtu_campus+'Core Loads'!K$335*Clg_6_CCF_per_ton_campus</f>
        <v>204462.30733862033</v>
      </c>
      <c r="M149" s="21">
        <f>'Core Loads'!L$295*Process_6_CCF_per_lb_campus+'Core Loads'!L$315*Htg_6_CCF_per_MMBtu_campus+'Core Loads'!L$335*Clg_6_CCF_per_ton_campus</f>
        <v>206902.85171144037</v>
      </c>
      <c r="N149" s="21">
        <f>'Core Loads'!M$295*Process_6_CCF_per_lb_campus+'Core Loads'!M$315*Htg_6_CCF_per_MMBtu_campus+'Core Loads'!M$335*Clg_6_CCF_per_ton_campus</f>
        <v>206902.85171144037</v>
      </c>
      <c r="O149" s="21">
        <f>'Core Loads'!N$295*Process_6_CCF_per_lb_campus+'Core Loads'!N$315*Htg_6_CCF_per_MMBtu_campus+'Core Loads'!N$335*Clg_6_CCF_per_ton_campus</f>
        <v>205053.92544710572</v>
      </c>
      <c r="P149" s="21">
        <f>'Core Loads'!O$295*Process_6_CCF_per_lb_campus+'Core Loads'!O$315*Htg_6_CCF_per_MMBtu_campus+'Core Loads'!O$335*Clg_6_CCF_per_ton_campus</f>
        <v>205053.92544710572</v>
      </c>
      <c r="Q149" s="21">
        <f>'Core Loads'!P$295*Process_6_CCF_per_lb_campus+'Core Loads'!P$315*Htg_6_CCF_per_MMBtu_campus+'Core Loads'!P$335*Clg_6_CCF_per_ton_campus</f>
        <v>204633.07936726013</v>
      </c>
      <c r="R149" s="21">
        <f>'Core Loads'!Q$295*Process_6_CCF_per_lb_campus+'Core Loads'!Q$315*Htg_6_CCF_per_MMBtu_campus+'Core Loads'!Q$335*Clg_6_CCF_per_ton_campus</f>
        <v>204633.07936726013</v>
      </c>
      <c r="S149" s="21">
        <f>'Core Loads'!R$295*Process_6_CCF_per_lb_campus+'Core Loads'!R$315*Htg_6_CCF_per_MMBtu_campus+'Core Loads'!R$335*Clg_6_CCF_per_ton_campus</f>
        <v>235413.66560315649</v>
      </c>
      <c r="T149" s="21">
        <f>'Core Loads'!S$295*Process_6_CCF_per_lb_campus+'Core Loads'!S$315*Htg_6_CCF_per_MMBtu_campus+'Core Loads'!S$335*Clg_6_CCF_per_ton_campus</f>
        <v>235413.66560315649</v>
      </c>
      <c r="U149" s="21">
        <f>'Core Loads'!T$295*Process_6_CCF_per_lb_campus+'Core Loads'!T$315*Htg_6_CCF_per_MMBtu_campus+'Core Loads'!T$335*Clg_6_CCF_per_ton_campus</f>
        <v>235347.17748572759</v>
      </c>
      <c r="V149" s="21">
        <f>'Core Loads'!U$295*Process_6_CCF_per_lb_campus+'Core Loads'!U$315*Htg_6_CCF_per_MMBtu_campus+'Core Loads'!U$335*Clg_6_CCF_per_ton_campus</f>
        <v>235347.17748572759</v>
      </c>
      <c r="W149" s="21">
        <f>'Core Loads'!V$295*Process_6_CCF_per_lb_campus+'Core Loads'!V$315*Htg_6_CCF_per_MMBtu_campus+'Core Loads'!V$335*Clg_6_CCF_per_ton_campus</f>
        <v>234792.7286685353</v>
      </c>
      <c r="X149" s="21">
        <f>'Core Loads'!W$295*Process_6_CCF_per_lb_campus+'Core Loads'!W$315*Htg_6_CCF_per_MMBtu_campus+'Core Loads'!W$335*Clg_6_CCF_per_ton_campus</f>
        <v>234792.7286685353</v>
      </c>
      <c r="Y149" s="21">
        <f>'Core Loads'!X$295*Process_6_CCF_per_lb_campus+'Core Loads'!X$315*Htg_6_CCF_per_MMBtu_campus+'Core Loads'!X$335*Clg_6_CCF_per_ton_campus</f>
        <v>234792.7286685353</v>
      </c>
      <c r="Z149" s="21">
        <f>'Core Loads'!Y$295*Process_6_CCF_per_lb_campus+'Core Loads'!Y$315*Htg_6_CCF_per_MMBtu_campus+'Core Loads'!Y$335*Clg_6_CCF_per_ton_campus</f>
        <v>234792.7286685353</v>
      </c>
      <c r="AA149" s="21">
        <f>'Core Loads'!Z$295*Process_6_CCF_per_lb_campus+'Core Loads'!Z$315*Htg_6_CCF_per_MMBtu_campus+'Core Loads'!Z$335*Clg_6_CCF_per_ton_campus</f>
        <v>234792.7286685353</v>
      </c>
      <c r="AB149" s="21">
        <f>'Core Loads'!AA$295*Process_6_CCF_per_lb_campus+'Core Loads'!AA$315*Htg_6_CCF_per_MMBtu_campus+'Core Loads'!AA$335*Clg_6_CCF_per_ton_campus</f>
        <v>234792.7286685353</v>
      </c>
      <c r="AC149" s="21">
        <f>'Core Loads'!AB$295*Process_6_CCF_per_lb_campus+'Core Loads'!AB$315*Htg_6_CCF_per_MMBtu_campus+'Core Loads'!AB$335*Clg_6_CCF_per_ton_campus</f>
        <v>234058.0807872047</v>
      </c>
      <c r="AD149" s="21">
        <f>'Core Loads'!AC$295*Process_6_CCF_per_lb_campus+'Core Loads'!AC$315*Htg_6_CCF_per_MMBtu_campus+'Core Loads'!AC$335*Clg_6_CCF_per_ton_campus</f>
        <v>234058.0807872047</v>
      </c>
      <c r="AE149" s="21">
        <f>'Core Loads'!AD$295*Process_6_CCF_per_lb_campus+'Core Loads'!AD$315*Htg_6_CCF_per_MMBtu_campus+'Core Loads'!AD$335*Clg_6_CCF_per_ton_campus</f>
        <v>234058.0807872047</v>
      </c>
      <c r="AF149" s="21">
        <f>'Core Loads'!AE$295*Process_6_CCF_per_lb_campus+'Core Loads'!AE$315*Htg_6_CCF_per_MMBtu_campus+'Core Loads'!AE$335*Clg_6_CCF_per_ton_campus</f>
        <v>234058.0807872047</v>
      </c>
      <c r="AG149" s="21">
        <f>'Core Loads'!AF$295*Process_6_CCF_per_lb_campus+'Core Loads'!AF$315*Htg_6_CCF_per_MMBtu_campus+'Core Loads'!AF$335*Clg_6_CCF_per_ton_campus</f>
        <v>234058.0807872047</v>
      </c>
      <c r="AH149"/>
      <c r="AI149" s="23" t="s">
        <v>293</v>
      </c>
    </row>
    <row r="150" spans="2:35" ht="15.75" collapsed="1" thickTop="1" x14ac:dyDescent="0.25"/>
    <row r="152" spans="2:35" s="1" customFormat="1" ht="20.25" thickBot="1" x14ac:dyDescent="0.35">
      <c r="B152" s="18" t="s">
        <v>298</v>
      </c>
      <c r="C152" s="18"/>
      <c r="D152" s="18"/>
      <c r="E152" s="25"/>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row>
    <row r="153" spans="2:35" s="1" customFormat="1" ht="18" hidden="1" outlineLevel="1" thickTop="1" thickBot="1" x14ac:dyDescent="0.3">
      <c r="B153" s="19" t="s">
        <v>278</v>
      </c>
      <c r="C153" s="19"/>
      <c r="D153" s="19"/>
      <c r="E153" s="67"/>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row>
    <row r="154" spans="2:35" s="1" customFormat="1" ht="16.5" hidden="1" outlineLevel="1" thickTop="1" thickBot="1" x14ac:dyDescent="0.3">
      <c r="B154" s="20" t="s">
        <v>292</v>
      </c>
      <c r="C154" s="20" t="s">
        <v>13</v>
      </c>
      <c r="D154" s="20" t="s">
        <v>17</v>
      </c>
      <c r="E154" s="68"/>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t="s">
        <v>15</v>
      </c>
    </row>
    <row r="155" spans="2:35" hidden="1" outlineLevel="1" x14ac:dyDescent="0.25">
      <c r="D155" s="8">
        <f>'Core Loads'!$C$14</f>
        <v>2025</v>
      </c>
      <c r="E155" s="62">
        <f>'Core Loads'!$D$14</f>
        <v>2026</v>
      </c>
      <c r="F155" s="8">
        <f>'Core Loads'!$E$14</f>
        <v>2027</v>
      </c>
      <c r="G155" s="8">
        <f>'Core Loads'!$F$14</f>
        <v>2028</v>
      </c>
      <c r="H155" s="8">
        <f>'Core Loads'!$G$14</f>
        <v>2029</v>
      </c>
      <c r="I155" s="8">
        <f>'Core Loads'!$H$14</f>
        <v>2030</v>
      </c>
      <c r="J155" s="8">
        <f>'Core Loads'!$I$14</f>
        <v>2031</v>
      </c>
      <c r="K155" s="8">
        <f>'Core Loads'!$J$14</f>
        <v>2032</v>
      </c>
      <c r="L155" s="8">
        <f>'Core Loads'!$K$14</f>
        <v>2033</v>
      </c>
      <c r="M155" s="8">
        <f>'Core Loads'!$L$14</f>
        <v>2034</v>
      </c>
      <c r="N155" s="8">
        <f>'Core Loads'!$M$14</f>
        <v>2035</v>
      </c>
      <c r="O155" s="8">
        <f>'Core Loads'!$N$14</f>
        <v>2036</v>
      </c>
      <c r="P155" s="8">
        <f>'Core Loads'!$O$14</f>
        <v>2037</v>
      </c>
      <c r="Q155" s="8">
        <f>'Core Loads'!$P$14</f>
        <v>2038</v>
      </c>
      <c r="R155" s="8">
        <f>'Core Loads'!$Q$14</f>
        <v>2039</v>
      </c>
      <c r="S155" s="8">
        <f>'Core Loads'!$R$14</f>
        <v>2040</v>
      </c>
      <c r="T155" s="8">
        <f>'Core Loads'!$S$14</f>
        <v>2041</v>
      </c>
      <c r="U155" s="8">
        <f>'Core Loads'!$T$14</f>
        <v>2042</v>
      </c>
      <c r="V155" s="8">
        <f>'Core Loads'!$U$14</f>
        <v>2043</v>
      </c>
      <c r="W155" s="8">
        <f>'Core Loads'!$V$14</f>
        <v>2044</v>
      </c>
      <c r="X155" s="8">
        <f>'Core Loads'!$W$14</f>
        <v>2045</v>
      </c>
      <c r="Y155" s="8">
        <f>'Core Loads'!$X$14</f>
        <v>2046</v>
      </c>
      <c r="Z155" s="8">
        <f>'Core Loads'!$Y$14</f>
        <v>2047</v>
      </c>
      <c r="AA155" s="8">
        <f>'Core Loads'!$Z$14</f>
        <v>2048</v>
      </c>
      <c r="AB155" s="8">
        <f>'Core Loads'!$AA$14</f>
        <v>2049</v>
      </c>
      <c r="AC155" s="8">
        <f>'Core Loads'!$AB$14</f>
        <v>2050</v>
      </c>
      <c r="AD155" s="8">
        <f>'Core Loads'!$AC$14</f>
        <v>2051</v>
      </c>
      <c r="AE155" s="8">
        <f>'Core Loads'!$AD$14</f>
        <v>2052</v>
      </c>
      <c r="AF155" s="8">
        <f>'Core Loads'!$AE$14</f>
        <v>2053</v>
      </c>
      <c r="AG155" s="8">
        <f>'Core Loads'!$AF$14</f>
        <v>2054</v>
      </c>
    </row>
    <row r="156" spans="2:35" s="1" customFormat="1" hidden="1" outlineLevel="1" x14ac:dyDescent="0.25">
      <c r="B156" t="s">
        <v>141</v>
      </c>
      <c r="C156" t="s">
        <v>109</v>
      </c>
      <c r="D156" s="21">
        <f>MAX('Core Loads'!C$348*Elec_exstg_kWh_per_kWh_campus+'Core Loads'!C$368*Process_exstg_kWh_per_lb_campus+'Core Loads'!C$388*Htg_exstg_kWh_per_MMBtu_campus+MAX('Core Loads'!C$408-AbsChillerLoad,0)*Clg_exstg_kWh_per_ton_campus-CogenElecOutputExstg,0)</f>
        <v>0</v>
      </c>
      <c r="E156" s="69">
        <f>MAX('Core Loads'!D$348*Elec_exstg_kWh_per_kWh_campus+'Core Loads'!D$368*Process_exstg_kWh_per_lb_campus+'Core Loads'!D$388*Htg_exstg_kWh_per_MMBtu_campus+MAX('Core Loads'!D$408-AbsChillerLoad,0)*Clg_exstg_kWh_per_ton_campus-CogenElecOutputExstg,0)</f>
        <v>2865758.5345967412</v>
      </c>
      <c r="F156" s="21">
        <f>MAX('Core Loads'!E$348*Elec_exstg_kWh_per_kWh_campus+'Core Loads'!E$368*Process_exstg_kWh_per_lb_campus+'Core Loads'!E$388*Htg_exstg_kWh_per_MMBtu_campus+MAX('Core Loads'!E$408-AbsChillerLoad,0)*Clg_exstg_kWh_per_ton_campus-CogenElecOutputExstg,0)</f>
        <v>2865758.5345967412</v>
      </c>
      <c r="G156" s="21">
        <f>MAX('Core Loads'!F$348*Elec_exstg_kWh_per_kWh_campus+'Core Loads'!F$368*Process_exstg_kWh_per_lb_campus+'Core Loads'!F$388*Htg_exstg_kWh_per_MMBtu_campus+MAX('Core Loads'!F$408-AbsChillerLoad,0)*Clg_exstg_kWh_per_ton_campus-CogenElecOutputExstg,0)</f>
        <v>20224353.799504697</v>
      </c>
      <c r="H156" s="21">
        <f>MAX('Core Loads'!G$348*Elec_exstg_kWh_per_kWh_campus+'Core Loads'!G$368*Process_exstg_kWh_per_lb_campus+'Core Loads'!G$388*Htg_exstg_kWh_per_MMBtu_campus+MAX('Core Loads'!G$408-AbsChillerLoad,0)*Clg_exstg_kWh_per_ton_campus-CogenElecOutputExstg,0)</f>
        <v>20224353.799504697</v>
      </c>
      <c r="I156" s="21">
        <f>MAX('Core Loads'!H$348*Elec_exstg_kWh_per_kWh_campus+'Core Loads'!H$368*Process_exstg_kWh_per_lb_campus+'Core Loads'!H$388*Htg_exstg_kWh_per_MMBtu_campus+MAX('Core Loads'!H$408-AbsChillerLoad,0)*Clg_exstg_kWh_per_ton_campus-CogenElecOutputExstg,0)</f>
        <v>0</v>
      </c>
      <c r="J156" s="21">
        <f>MAX('Core Loads'!I$348*Elec_exstg_kWh_per_kWh_campus+'Core Loads'!I$368*Process_exstg_kWh_per_lb_campus+'Core Loads'!I$388*Htg_exstg_kWh_per_MMBtu_campus+MAX('Core Loads'!I$408-AbsChillerLoad,0)*Clg_exstg_kWh_per_ton_campus-CogenElecOutputExstg,0)</f>
        <v>0</v>
      </c>
      <c r="K156" s="21">
        <f>MAX('Core Loads'!J$348*Elec_exstg_kWh_per_kWh_campus+'Core Loads'!J$368*Process_exstg_kWh_per_lb_campus+'Core Loads'!J$388*Htg_exstg_kWh_per_MMBtu_campus+MAX('Core Loads'!J$408-AbsChillerLoad,0)*Clg_exstg_kWh_per_ton_campus-CogenElecOutputExstg,0)</f>
        <v>0</v>
      </c>
      <c r="L156" s="21">
        <f>MAX('Core Loads'!K$348*Elec_exstg_kWh_per_kWh_campus+'Core Loads'!K$368*Process_exstg_kWh_per_lb_campus+'Core Loads'!K$388*Htg_exstg_kWh_per_MMBtu_campus+MAX('Core Loads'!K$408-AbsChillerLoad,0)*Clg_exstg_kWh_per_ton_campus-CogenElecOutputExstg,0)</f>
        <v>0</v>
      </c>
      <c r="M156" s="21">
        <f>MAX('Core Loads'!L$348*Elec_exstg_kWh_per_kWh_campus+'Core Loads'!L$368*Process_exstg_kWh_per_lb_campus+'Core Loads'!L$388*Htg_exstg_kWh_per_MMBtu_campus+MAX('Core Loads'!L$408-AbsChillerLoad,0)*Clg_exstg_kWh_per_ton_campus-CogenElecOutputExstg,0)</f>
        <v>0</v>
      </c>
      <c r="N156" s="21">
        <f>MAX('Core Loads'!M$348*Elec_exstg_kWh_per_kWh_campus+'Core Loads'!M$368*Process_exstg_kWh_per_lb_campus+'Core Loads'!M$388*Htg_exstg_kWh_per_MMBtu_campus+MAX('Core Loads'!M$408-AbsChillerLoad,0)*Clg_exstg_kWh_per_ton_campus-CogenElecOutputExstg,0)</f>
        <v>0</v>
      </c>
      <c r="O156" s="21">
        <f>MAX('Core Loads'!N$348*Elec_exstg_kWh_per_kWh_campus+'Core Loads'!N$368*Process_exstg_kWh_per_lb_campus+'Core Loads'!N$388*Htg_exstg_kWh_per_MMBtu_campus+MAX('Core Loads'!N$408-AbsChillerLoad,0)*Clg_exstg_kWh_per_ton_campus-CogenElecOutputExstg,0)</f>
        <v>0</v>
      </c>
      <c r="P156" s="21">
        <f>MAX('Core Loads'!O$348*Elec_exstg_kWh_per_kWh_campus+'Core Loads'!O$368*Process_exstg_kWh_per_lb_campus+'Core Loads'!O$388*Htg_exstg_kWh_per_MMBtu_campus+MAX('Core Loads'!O$408-AbsChillerLoad,0)*Clg_exstg_kWh_per_ton_campus-CogenElecOutputExstg,0)</f>
        <v>0</v>
      </c>
      <c r="Q156" s="21">
        <f>MAX('Core Loads'!P$348*Elec_exstg_kWh_per_kWh_campus+'Core Loads'!P$368*Process_exstg_kWh_per_lb_campus+'Core Loads'!P$388*Htg_exstg_kWh_per_MMBtu_campus+MAX('Core Loads'!P$408-AbsChillerLoad,0)*Clg_exstg_kWh_per_ton_campus-CogenElecOutputExstg,0)</f>
        <v>0</v>
      </c>
      <c r="R156" s="21">
        <f>MAX('Core Loads'!Q$348*Elec_exstg_kWh_per_kWh_campus+'Core Loads'!Q$368*Process_exstg_kWh_per_lb_campus+'Core Loads'!Q$388*Htg_exstg_kWh_per_MMBtu_campus+MAX('Core Loads'!Q$408-AbsChillerLoad,0)*Clg_exstg_kWh_per_ton_campus-CogenElecOutputExstg,0)</f>
        <v>0</v>
      </c>
      <c r="S156" s="21">
        <f>MAX('Core Loads'!R$348*Elec_exstg_kWh_per_kWh_campus+'Core Loads'!R$368*Process_exstg_kWh_per_lb_campus+'Core Loads'!R$388*Htg_exstg_kWh_per_MMBtu_campus+MAX('Core Loads'!R$408-AbsChillerLoad,0)*Clg_exstg_kWh_per_ton_campus-CogenElecOutputExstg,0)</f>
        <v>0</v>
      </c>
      <c r="T156" s="21">
        <f>MAX('Core Loads'!S$348*Elec_exstg_kWh_per_kWh_campus+'Core Loads'!S$368*Process_exstg_kWh_per_lb_campus+'Core Loads'!S$388*Htg_exstg_kWh_per_MMBtu_campus+MAX('Core Loads'!S$408-AbsChillerLoad,0)*Clg_exstg_kWh_per_ton_campus-CogenElecOutputExstg,0)</f>
        <v>0</v>
      </c>
      <c r="U156" s="21">
        <f>MAX('Core Loads'!T$348*Elec_exstg_kWh_per_kWh_campus+'Core Loads'!T$368*Process_exstg_kWh_per_lb_campus+'Core Loads'!T$388*Htg_exstg_kWh_per_MMBtu_campus+MAX('Core Loads'!T$408-AbsChillerLoad,0)*Clg_exstg_kWh_per_ton_campus-CogenElecOutputExstg,0)</f>
        <v>0</v>
      </c>
      <c r="V156" s="21">
        <f>MAX('Core Loads'!U$348*Elec_exstg_kWh_per_kWh_campus+'Core Loads'!U$368*Process_exstg_kWh_per_lb_campus+'Core Loads'!U$388*Htg_exstg_kWh_per_MMBtu_campus+MAX('Core Loads'!U$408-AbsChillerLoad,0)*Clg_exstg_kWh_per_ton_campus-CogenElecOutputExstg,0)</f>
        <v>0</v>
      </c>
      <c r="W156" s="21">
        <f>MAX('Core Loads'!V$348*Elec_exstg_kWh_per_kWh_campus+'Core Loads'!V$368*Process_exstg_kWh_per_lb_campus+'Core Loads'!V$388*Htg_exstg_kWh_per_MMBtu_campus+MAX('Core Loads'!V$408-AbsChillerLoad,0)*Clg_exstg_kWh_per_ton_campus-CogenElecOutputExstg,0)</f>
        <v>0</v>
      </c>
      <c r="X156" s="21">
        <f>MAX('Core Loads'!W$348*Elec_exstg_kWh_per_kWh_campus+'Core Loads'!W$368*Process_exstg_kWh_per_lb_campus+'Core Loads'!W$388*Htg_exstg_kWh_per_MMBtu_campus+MAX('Core Loads'!W$408-AbsChillerLoad,0)*Clg_exstg_kWh_per_ton_campus-CogenElecOutputExstg,0)</f>
        <v>0</v>
      </c>
      <c r="Y156" s="21">
        <f>MAX('Core Loads'!X$348*Elec_exstg_kWh_per_kWh_campus+'Core Loads'!X$368*Process_exstg_kWh_per_lb_campus+'Core Loads'!X$388*Htg_exstg_kWh_per_MMBtu_campus+MAX('Core Loads'!X$408-AbsChillerLoad,0)*Clg_exstg_kWh_per_ton_campus-CogenElecOutputExstg,0)</f>
        <v>0</v>
      </c>
      <c r="Z156" s="21">
        <f>MAX('Core Loads'!Y$348*Elec_exstg_kWh_per_kWh_campus+'Core Loads'!Y$368*Process_exstg_kWh_per_lb_campus+'Core Loads'!Y$388*Htg_exstg_kWh_per_MMBtu_campus+MAX('Core Loads'!Y$408-AbsChillerLoad,0)*Clg_exstg_kWh_per_ton_campus-CogenElecOutputExstg,0)</f>
        <v>0</v>
      </c>
      <c r="AA156" s="21">
        <f>MAX('Core Loads'!Z$348*Elec_exstg_kWh_per_kWh_campus+'Core Loads'!Z$368*Process_exstg_kWh_per_lb_campus+'Core Loads'!Z$388*Htg_exstg_kWh_per_MMBtu_campus+MAX('Core Loads'!Z$408-AbsChillerLoad,0)*Clg_exstg_kWh_per_ton_campus-CogenElecOutputExstg,0)</f>
        <v>0</v>
      </c>
      <c r="AB156" s="21">
        <f>MAX('Core Loads'!AA$348*Elec_exstg_kWh_per_kWh_campus+'Core Loads'!AA$368*Process_exstg_kWh_per_lb_campus+'Core Loads'!AA$388*Htg_exstg_kWh_per_MMBtu_campus+MAX('Core Loads'!AA$408-AbsChillerLoad,0)*Clg_exstg_kWh_per_ton_campus-CogenElecOutputExstg,0)</f>
        <v>0</v>
      </c>
      <c r="AC156" s="21">
        <f>MAX('Core Loads'!AB$348*Elec_exstg_kWh_per_kWh_campus+'Core Loads'!AB$368*Process_exstg_kWh_per_lb_campus+'Core Loads'!AB$388*Htg_exstg_kWh_per_MMBtu_campus+MAX('Core Loads'!AB$408-AbsChillerLoad,0)*Clg_exstg_kWh_per_ton_campus-CogenElecOutputExstg,0)</f>
        <v>0</v>
      </c>
      <c r="AD156" s="21">
        <f>MAX('Core Loads'!AC$348*Elec_exstg_kWh_per_kWh_campus+'Core Loads'!AC$368*Process_exstg_kWh_per_lb_campus+'Core Loads'!AC$388*Htg_exstg_kWh_per_MMBtu_campus+MAX('Core Loads'!AC$408-AbsChillerLoad,0)*Clg_exstg_kWh_per_ton_campus-CogenElecOutputExstg,0)</f>
        <v>0</v>
      </c>
      <c r="AE156" s="21">
        <f>MAX('Core Loads'!AD$348*Elec_exstg_kWh_per_kWh_campus+'Core Loads'!AD$368*Process_exstg_kWh_per_lb_campus+'Core Loads'!AD$388*Htg_exstg_kWh_per_MMBtu_campus+MAX('Core Loads'!AD$408-AbsChillerLoad,0)*Clg_exstg_kWh_per_ton_campus-CogenElecOutputExstg,0)</f>
        <v>0</v>
      </c>
      <c r="AF156" s="21">
        <f>MAX('Core Loads'!AE$348*Elec_exstg_kWh_per_kWh_campus+'Core Loads'!AE$368*Process_exstg_kWh_per_lb_campus+'Core Loads'!AE$388*Htg_exstg_kWh_per_MMBtu_campus+MAX('Core Loads'!AE$408-AbsChillerLoad,0)*Clg_exstg_kWh_per_ton_campus-CogenElecOutputExstg,0)</f>
        <v>0</v>
      </c>
      <c r="AG156" s="21">
        <f>MAX('Core Loads'!AF$348*Elec_exstg_kWh_per_kWh_campus+'Core Loads'!AF$368*Process_exstg_kWh_per_lb_campus+'Core Loads'!AF$388*Htg_exstg_kWh_per_MMBtu_campus+MAX('Core Loads'!AF$408-AbsChillerLoad,0)*Clg_exstg_kWh_per_ton_campus-CogenElecOutputExstg,0)</f>
        <v>0</v>
      </c>
      <c r="AH156"/>
      <c r="AI156" s="23" t="s">
        <v>293</v>
      </c>
    </row>
    <row r="157" spans="2:35" s="1" customFormat="1" hidden="1" outlineLevel="1" x14ac:dyDescent="0.25">
      <c r="B157" t="s">
        <v>136</v>
      </c>
      <c r="C157" t="s">
        <v>169</v>
      </c>
      <c r="D157" s="21">
        <f>'Core Loads'!C$368*Process_exstg_therm_per_lb_campus+'Core Loads'!C$388*Htg_exstg_therm_per_MMBtu_campus+MIN('Core Loads'!C$408,AbsChillerLoad)*Clg_exstg_therm_per_ton_campus</f>
        <v>31258877.283118241</v>
      </c>
      <c r="E157" s="69">
        <f>'Core Loads'!D$368*Process_exstg_therm_per_lb_campus+'Core Loads'!D$388*Htg_exstg_therm_per_MMBtu_campus+MIN('Core Loads'!D$408,AbsChillerLoad)*Clg_exstg_therm_per_ton_campus</f>
        <v>31258877.283118241</v>
      </c>
      <c r="F157" s="21">
        <f>'Core Loads'!E$368*Process_exstg_therm_per_lb_campus+'Core Loads'!E$388*Htg_exstg_therm_per_MMBtu_campus+MIN('Core Loads'!E$408,AbsChillerLoad)*Clg_exstg_therm_per_ton_campus</f>
        <v>31258877.283118241</v>
      </c>
      <c r="G157" s="21">
        <f>'Core Loads'!F$368*Process_exstg_therm_per_lb_campus+'Core Loads'!F$388*Htg_exstg_therm_per_MMBtu_campus+MIN('Core Loads'!F$408,AbsChillerLoad)*Clg_exstg_therm_per_ton_campus</f>
        <v>30779136.751878824</v>
      </c>
      <c r="H157" s="21">
        <f>'Core Loads'!G$368*Process_exstg_therm_per_lb_campus+'Core Loads'!G$388*Htg_exstg_therm_per_MMBtu_campus+MIN('Core Loads'!G$408,AbsChillerLoad)*Clg_exstg_therm_per_ton_campus</f>
        <v>30779136.751878824</v>
      </c>
      <c r="I157" s="21">
        <f>'Core Loads'!H$368*Process_exstg_therm_per_lb_campus+'Core Loads'!H$388*Htg_exstg_therm_per_MMBtu_campus+MIN('Core Loads'!H$408,AbsChillerLoad)*Clg_exstg_therm_per_ton_campus</f>
        <v>26715362.436630234</v>
      </c>
      <c r="J157" s="21">
        <f>'Core Loads'!I$368*Process_exstg_therm_per_lb_campus+'Core Loads'!I$388*Htg_exstg_therm_per_MMBtu_campus+MIN('Core Loads'!I$408,AbsChillerLoad)*Clg_exstg_therm_per_ton_campus</f>
        <v>26715362.436630234</v>
      </c>
      <c r="K157" s="21">
        <f>'Core Loads'!J$368*Process_exstg_therm_per_lb_campus+'Core Loads'!J$388*Htg_exstg_therm_per_MMBtu_campus+MIN('Core Loads'!J$408,AbsChillerLoad)*Clg_exstg_therm_per_ton_campus</f>
        <v>26000353.613023683</v>
      </c>
      <c r="L157" s="21">
        <f>'Core Loads'!K$368*Process_exstg_therm_per_lb_campus+'Core Loads'!K$388*Htg_exstg_therm_per_MMBtu_campus+MIN('Core Loads'!K$408,AbsChillerLoad)*Clg_exstg_therm_per_ton_campus</f>
        <v>26000353.613023683</v>
      </c>
      <c r="M157" s="21">
        <f>'Core Loads'!L$368*Process_exstg_therm_per_lb_campus+'Core Loads'!L$388*Htg_exstg_therm_per_MMBtu_campus+MIN('Core Loads'!L$408,AbsChillerLoad)*Clg_exstg_therm_per_ton_campus</f>
        <v>25689816.405707758</v>
      </c>
      <c r="N157" s="21">
        <f>'Core Loads'!M$368*Process_exstg_therm_per_lb_campus+'Core Loads'!M$388*Htg_exstg_therm_per_MMBtu_campus+MIN('Core Loads'!M$408,AbsChillerLoad)*Clg_exstg_therm_per_ton_campus</f>
        <v>17369500.84125939</v>
      </c>
      <c r="O157" s="21">
        <f>'Core Loads'!N$368*Process_exstg_therm_per_lb_campus+'Core Loads'!N$388*Htg_exstg_therm_per_MMBtu_campus+MIN('Core Loads'!N$408,AbsChillerLoad)*Clg_exstg_therm_per_ton_campus</f>
        <v>17280686.43057394</v>
      </c>
      <c r="P157" s="21">
        <f>'Core Loads'!O$368*Process_exstg_therm_per_lb_campus+'Core Loads'!O$388*Htg_exstg_therm_per_MMBtu_campus+MIN('Core Loads'!O$408,AbsChillerLoad)*Clg_exstg_therm_per_ton_campus</f>
        <v>17280686.43057394</v>
      </c>
      <c r="Q157" s="21">
        <f>'Core Loads'!P$368*Process_exstg_therm_per_lb_campus+'Core Loads'!P$388*Htg_exstg_therm_per_MMBtu_campus+MIN('Core Loads'!P$408,AbsChillerLoad)*Clg_exstg_therm_per_ton_campus</f>
        <v>17265421.55075188</v>
      </c>
      <c r="R157" s="21">
        <f>'Core Loads'!Q$368*Process_exstg_therm_per_lb_campus+'Core Loads'!Q$388*Htg_exstg_therm_per_MMBtu_campus+MIN('Core Loads'!Q$408,AbsChillerLoad)*Clg_exstg_therm_per_ton_campus</f>
        <v>0</v>
      </c>
      <c r="S157" s="21">
        <f>'Core Loads'!R$368*Process_exstg_therm_per_lb_campus+'Core Loads'!R$388*Htg_exstg_therm_per_MMBtu_campus+MIN('Core Loads'!R$408,AbsChillerLoad)*Clg_exstg_therm_per_ton_campus</f>
        <v>0</v>
      </c>
      <c r="T157" s="21">
        <f>'Core Loads'!S$368*Process_exstg_therm_per_lb_campus+'Core Loads'!S$388*Htg_exstg_therm_per_MMBtu_campus+MIN('Core Loads'!S$408,AbsChillerLoad)*Clg_exstg_therm_per_ton_campus</f>
        <v>0</v>
      </c>
      <c r="U157" s="21">
        <f>'Core Loads'!T$368*Process_exstg_therm_per_lb_campus+'Core Loads'!T$388*Htg_exstg_therm_per_MMBtu_campus+MIN('Core Loads'!T$408,AbsChillerLoad)*Clg_exstg_therm_per_ton_campus</f>
        <v>0</v>
      </c>
      <c r="V157" s="21">
        <f>'Core Loads'!U$368*Process_exstg_therm_per_lb_campus+'Core Loads'!U$388*Htg_exstg_therm_per_MMBtu_campus+MIN('Core Loads'!U$408,AbsChillerLoad)*Clg_exstg_therm_per_ton_campus</f>
        <v>0</v>
      </c>
      <c r="W157" s="21">
        <f>'Core Loads'!V$368*Process_exstg_therm_per_lb_campus+'Core Loads'!V$388*Htg_exstg_therm_per_MMBtu_campus+MIN('Core Loads'!V$408,AbsChillerLoad)*Clg_exstg_therm_per_ton_campus</f>
        <v>0</v>
      </c>
      <c r="X157" s="21">
        <f>'Core Loads'!W$368*Process_exstg_therm_per_lb_campus+'Core Loads'!W$388*Htg_exstg_therm_per_MMBtu_campus+MIN('Core Loads'!W$408,AbsChillerLoad)*Clg_exstg_therm_per_ton_campus</f>
        <v>0</v>
      </c>
      <c r="Y157" s="21">
        <f>'Core Loads'!X$368*Process_exstg_therm_per_lb_campus+'Core Loads'!X$388*Htg_exstg_therm_per_MMBtu_campus+MIN('Core Loads'!X$408,AbsChillerLoad)*Clg_exstg_therm_per_ton_campus</f>
        <v>0</v>
      </c>
      <c r="Z157" s="21">
        <f>'Core Loads'!Y$368*Process_exstg_therm_per_lb_campus+'Core Loads'!Y$388*Htg_exstg_therm_per_MMBtu_campus+MIN('Core Loads'!Y$408,AbsChillerLoad)*Clg_exstg_therm_per_ton_campus</f>
        <v>0</v>
      </c>
      <c r="AA157" s="21">
        <f>'Core Loads'!Z$368*Process_exstg_therm_per_lb_campus+'Core Loads'!Z$388*Htg_exstg_therm_per_MMBtu_campus+MIN('Core Loads'!Z$408,AbsChillerLoad)*Clg_exstg_therm_per_ton_campus</f>
        <v>0</v>
      </c>
      <c r="AB157" s="21">
        <f>'Core Loads'!AA$368*Process_exstg_therm_per_lb_campus+'Core Loads'!AA$388*Htg_exstg_therm_per_MMBtu_campus+MIN('Core Loads'!AA$408,AbsChillerLoad)*Clg_exstg_therm_per_ton_campus</f>
        <v>0</v>
      </c>
      <c r="AC157" s="21">
        <f>'Core Loads'!AB$368*Process_exstg_therm_per_lb_campus+'Core Loads'!AB$388*Htg_exstg_therm_per_MMBtu_campus+MIN('Core Loads'!AB$408,AbsChillerLoad)*Clg_exstg_therm_per_ton_campus</f>
        <v>0</v>
      </c>
      <c r="AD157" s="21">
        <f>'Core Loads'!AC$368*Process_exstg_therm_per_lb_campus+'Core Loads'!AC$388*Htg_exstg_therm_per_MMBtu_campus+MIN('Core Loads'!AC$408,AbsChillerLoad)*Clg_exstg_therm_per_ton_campus</f>
        <v>0</v>
      </c>
      <c r="AE157" s="21">
        <f>'Core Loads'!AD$368*Process_exstg_therm_per_lb_campus+'Core Loads'!AD$388*Htg_exstg_therm_per_MMBtu_campus+MIN('Core Loads'!AD$408,AbsChillerLoad)*Clg_exstg_therm_per_ton_campus</f>
        <v>0</v>
      </c>
      <c r="AF157" s="21">
        <f>'Core Loads'!AE$368*Process_exstg_therm_per_lb_campus+'Core Loads'!AE$388*Htg_exstg_therm_per_MMBtu_campus+MIN('Core Loads'!AE$408,AbsChillerLoad)*Clg_exstg_therm_per_ton_campus</f>
        <v>0</v>
      </c>
      <c r="AG157" s="21">
        <f>'Core Loads'!AF$368*Process_exstg_therm_per_lb_campus+'Core Loads'!AF$388*Htg_exstg_therm_per_MMBtu_campus+MIN('Core Loads'!AF$408,AbsChillerLoad)*Clg_exstg_therm_per_ton_campus</f>
        <v>0</v>
      </c>
      <c r="AH157"/>
      <c r="AI157" s="23" t="s">
        <v>293</v>
      </c>
    </row>
    <row r="158" spans="2:35" s="1" customFormat="1" hidden="1" outlineLevel="1" x14ac:dyDescent="0.25">
      <c r="B158" t="s">
        <v>154</v>
      </c>
      <c r="C158" t="s">
        <v>170</v>
      </c>
      <c r="D158" s="21">
        <f>'Core Loads'!C$368*Process_exstg_CCF_per_lb_campus+'Core Loads'!C$388*Htg_exstg_CCF_per_MMBtu_campus+'Core Loads'!C$408*Clg_exstg_CCF_per_ton_campus</f>
        <v>278436.87957137165</v>
      </c>
      <c r="E158" s="69">
        <f>'Core Loads'!D$368*Process_exstg_CCF_per_lb_campus+'Core Loads'!D$388*Htg_exstg_CCF_per_MMBtu_campus+'Core Loads'!D$408*Clg_exstg_CCF_per_ton_campus</f>
        <v>297204.70349500491</v>
      </c>
      <c r="F158" s="21">
        <f>'Core Loads'!E$368*Process_exstg_CCF_per_lb_campus+'Core Loads'!E$388*Htg_exstg_CCF_per_MMBtu_campus+'Core Loads'!E$408*Clg_exstg_CCF_per_ton_campus</f>
        <v>297204.70349500491</v>
      </c>
      <c r="G158" s="21">
        <f>'Core Loads'!F$368*Process_exstg_CCF_per_lb_campus+'Core Loads'!F$388*Htg_exstg_CCF_per_MMBtu_campus+'Core Loads'!F$408*Clg_exstg_CCF_per_ton_campus</f>
        <v>315431.18617302546</v>
      </c>
      <c r="H158" s="21">
        <f>'Core Loads'!G$368*Process_exstg_CCF_per_lb_campus+'Core Loads'!G$388*Htg_exstg_CCF_per_MMBtu_campus+'Core Loads'!G$408*Clg_exstg_CCF_per_ton_campus</f>
        <v>315431.18617302546</v>
      </c>
      <c r="I158" s="21">
        <f>'Core Loads'!H$368*Process_exstg_CCF_per_lb_campus+'Core Loads'!H$388*Htg_exstg_CCF_per_MMBtu_campus+'Core Loads'!H$408*Clg_exstg_CCF_per_ton_campus</f>
        <v>265644.10214045027</v>
      </c>
      <c r="J158" s="21">
        <f>'Core Loads'!I$368*Process_exstg_CCF_per_lb_campus+'Core Loads'!I$388*Htg_exstg_CCF_per_MMBtu_campus+'Core Loads'!I$408*Clg_exstg_CCF_per_ton_campus</f>
        <v>265644.10214045027</v>
      </c>
      <c r="K158" s="21">
        <f>'Core Loads'!J$368*Process_exstg_CCF_per_lb_campus+'Core Loads'!J$388*Htg_exstg_CCF_per_MMBtu_campus+'Core Loads'!J$408*Clg_exstg_CCF_per_ton_campus</f>
        <v>257229.09027630099</v>
      </c>
      <c r="L158" s="21">
        <f>'Core Loads'!K$368*Process_exstg_CCF_per_lb_campus+'Core Loads'!K$388*Htg_exstg_CCF_per_MMBtu_campus+'Core Loads'!K$408*Clg_exstg_CCF_per_ton_campus</f>
        <v>257229.09027630099</v>
      </c>
      <c r="M158" s="21">
        <f>'Core Loads'!L$368*Process_exstg_CCF_per_lb_campus+'Core Loads'!L$388*Htg_exstg_CCF_per_MMBtu_campus+'Core Loads'!L$408*Clg_exstg_CCF_per_ton_campus</f>
        <v>257872.45822069552</v>
      </c>
      <c r="N158" s="21">
        <f>'Core Loads'!M$368*Process_exstg_CCF_per_lb_campus+'Core Loads'!M$388*Htg_exstg_CCF_per_MMBtu_campus+'Core Loads'!M$408*Clg_exstg_CCF_per_ton_campus</f>
        <v>163921.26104779396</v>
      </c>
      <c r="O158" s="21">
        <f>'Core Loads'!N$368*Process_exstg_CCF_per_lb_campus+'Core Loads'!N$388*Htg_exstg_CCF_per_MMBtu_campus+'Core Loads'!N$408*Clg_exstg_CCF_per_ton_campus</f>
        <v>163061.68653913093</v>
      </c>
      <c r="P158" s="21">
        <f>'Core Loads'!O$368*Process_exstg_CCF_per_lb_campus+'Core Loads'!O$388*Htg_exstg_CCF_per_MMBtu_campus+'Core Loads'!O$408*Clg_exstg_CCF_per_ton_campus</f>
        <v>163061.68653913093</v>
      </c>
      <c r="Q158" s="21">
        <f>'Core Loads'!P$368*Process_exstg_CCF_per_lb_campus+'Core Loads'!P$388*Htg_exstg_CCF_per_MMBtu_campus+'Core Loads'!P$408*Clg_exstg_CCF_per_ton_campus</f>
        <v>162873.07462729324</v>
      </c>
      <c r="R158" s="21">
        <f>'Core Loads'!Q$368*Process_exstg_CCF_per_lb_campus+'Core Loads'!Q$388*Htg_exstg_CCF_per_MMBtu_campus+'Core Loads'!Q$408*Clg_exstg_CCF_per_ton_campus</f>
        <v>0</v>
      </c>
      <c r="S158" s="21">
        <f>'Core Loads'!R$368*Process_exstg_CCF_per_lb_campus+'Core Loads'!R$388*Htg_exstg_CCF_per_MMBtu_campus+'Core Loads'!R$408*Clg_exstg_CCF_per_ton_campus</f>
        <v>0</v>
      </c>
      <c r="T158" s="21">
        <f>'Core Loads'!S$368*Process_exstg_CCF_per_lb_campus+'Core Loads'!S$388*Htg_exstg_CCF_per_MMBtu_campus+'Core Loads'!S$408*Clg_exstg_CCF_per_ton_campus</f>
        <v>0</v>
      </c>
      <c r="U158" s="21">
        <f>'Core Loads'!T$368*Process_exstg_CCF_per_lb_campus+'Core Loads'!T$388*Htg_exstg_CCF_per_MMBtu_campus+'Core Loads'!T$408*Clg_exstg_CCF_per_ton_campus</f>
        <v>0</v>
      </c>
      <c r="V158" s="21">
        <f>'Core Loads'!U$368*Process_exstg_CCF_per_lb_campus+'Core Loads'!U$388*Htg_exstg_CCF_per_MMBtu_campus+'Core Loads'!U$408*Clg_exstg_CCF_per_ton_campus</f>
        <v>0</v>
      </c>
      <c r="W158" s="21">
        <f>'Core Loads'!V$368*Process_exstg_CCF_per_lb_campus+'Core Loads'!V$388*Htg_exstg_CCF_per_MMBtu_campus+'Core Loads'!V$408*Clg_exstg_CCF_per_ton_campus</f>
        <v>0</v>
      </c>
      <c r="X158" s="21">
        <f>'Core Loads'!W$368*Process_exstg_CCF_per_lb_campus+'Core Loads'!W$388*Htg_exstg_CCF_per_MMBtu_campus+'Core Loads'!W$408*Clg_exstg_CCF_per_ton_campus</f>
        <v>0</v>
      </c>
      <c r="Y158" s="21">
        <f>'Core Loads'!X$368*Process_exstg_CCF_per_lb_campus+'Core Loads'!X$388*Htg_exstg_CCF_per_MMBtu_campus+'Core Loads'!X$408*Clg_exstg_CCF_per_ton_campus</f>
        <v>0</v>
      </c>
      <c r="Z158" s="21">
        <f>'Core Loads'!Y$368*Process_exstg_CCF_per_lb_campus+'Core Loads'!Y$388*Htg_exstg_CCF_per_MMBtu_campus+'Core Loads'!Y$408*Clg_exstg_CCF_per_ton_campus</f>
        <v>0</v>
      </c>
      <c r="AA158" s="21">
        <f>'Core Loads'!Z$368*Process_exstg_CCF_per_lb_campus+'Core Loads'!Z$388*Htg_exstg_CCF_per_MMBtu_campus+'Core Loads'!Z$408*Clg_exstg_CCF_per_ton_campus</f>
        <v>0</v>
      </c>
      <c r="AB158" s="21">
        <f>'Core Loads'!AA$368*Process_exstg_CCF_per_lb_campus+'Core Loads'!AA$388*Htg_exstg_CCF_per_MMBtu_campus+'Core Loads'!AA$408*Clg_exstg_CCF_per_ton_campus</f>
        <v>0</v>
      </c>
      <c r="AC158" s="21">
        <f>'Core Loads'!AB$368*Process_exstg_CCF_per_lb_campus+'Core Loads'!AB$388*Htg_exstg_CCF_per_MMBtu_campus+'Core Loads'!AB$408*Clg_exstg_CCF_per_ton_campus</f>
        <v>0</v>
      </c>
      <c r="AD158" s="21">
        <f>'Core Loads'!AC$368*Process_exstg_CCF_per_lb_campus+'Core Loads'!AC$388*Htg_exstg_CCF_per_MMBtu_campus+'Core Loads'!AC$408*Clg_exstg_CCF_per_ton_campus</f>
        <v>0</v>
      </c>
      <c r="AE158" s="21">
        <f>'Core Loads'!AD$368*Process_exstg_CCF_per_lb_campus+'Core Loads'!AD$388*Htg_exstg_CCF_per_MMBtu_campus+'Core Loads'!AD$408*Clg_exstg_CCF_per_ton_campus</f>
        <v>0</v>
      </c>
      <c r="AF158" s="21">
        <f>'Core Loads'!AE$368*Process_exstg_CCF_per_lb_campus+'Core Loads'!AE$388*Htg_exstg_CCF_per_MMBtu_campus+'Core Loads'!AE$408*Clg_exstg_CCF_per_ton_campus</f>
        <v>0</v>
      </c>
      <c r="AG158" s="21">
        <f>'Core Loads'!AF$368*Process_exstg_CCF_per_lb_campus+'Core Loads'!AF$388*Htg_exstg_CCF_per_MMBtu_campus+'Core Loads'!AF$408*Clg_exstg_CCF_per_ton_campus</f>
        <v>0</v>
      </c>
      <c r="AH158"/>
      <c r="AI158" s="23" t="s">
        <v>293</v>
      </c>
    </row>
    <row r="159" spans="2:35" hidden="1" outlineLevel="1" x14ac:dyDescent="0.25"/>
    <row r="160" spans="2:35" s="1" customFormat="1" ht="17.25" hidden="1" outlineLevel="1" thickBot="1" x14ac:dyDescent="0.3">
      <c r="B160" s="19" t="s">
        <v>280</v>
      </c>
      <c r="C160" s="19"/>
      <c r="D160" s="19"/>
      <c r="E160" s="67"/>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row>
    <row r="161" spans="2:35" s="1" customFormat="1" ht="16.5" hidden="1" outlineLevel="1" thickTop="1" thickBot="1" x14ac:dyDescent="0.3">
      <c r="B161" s="20" t="s">
        <v>292</v>
      </c>
      <c r="C161" s="20" t="s">
        <v>13</v>
      </c>
      <c r="D161" s="20" t="s">
        <v>17</v>
      </c>
      <c r="E161" s="68"/>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t="s">
        <v>15</v>
      </c>
    </row>
    <row r="162" spans="2:35" hidden="1" outlineLevel="1" x14ac:dyDescent="0.25">
      <c r="D162" s="8">
        <f>'Core Loads'!$C$14</f>
        <v>2025</v>
      </c>
      <c r="E162" s="62">
        <f>'Core Loads'!$D$14</f>
        <v>2026</v>
      </c>
      <c r="F162" s="8">
        <f>'Core Loads'!$E$14</f>
        <v>2027</v>
      </c>
      <c r="G162" s="8">
        <f>'Core Loads'!$F$14</f>
        <v>2028</v>
      </c>
      <c r="H162" s="8">
        <f>'Core Loads'!$G$14</f>
        <v>2029</v>
      </c>
      <c r="I162" s="8">
        <f>'Core Loads'!$H$14</f>
        <v>2030</v>
      </c>
      <c r="J162" s="8">
        <f>'Core Loads'!$I$14</f>
        <v>2031</v>
      </c>
      <c r="K162" s="8">
        <f>'Core Loads'!$J$14</f>
        <v>2032</v>
      </c>
      <c r="L162" s="8">
        <f>'Core Loads'!$K$14</f>
        <v>2033</v>
      </c>
      <c r="M162" s="8">
        <f>'Core Loads'!$L$14</f>
        <v>2034</v>
      </c>
      <c r="N162" s="8">
        <f>'Core Loads'!$M$14</f>
        <v>2035</v>
      </c>
      <c r="O162" s="8">
        <f>'Core Loads'!$N$14</f>
        <v>2036</v>
      </c>
      <c r="P162" s="8">
        <f>'Core Loads'!$O$14</f>
        <v>2037</v>
      </c>
      <c r="Q162" s="8">
        <f>'Core Loads'!$P$14</f>
        <v>2038</v>
      </c>
      <c r="R162" s="8">
        <f>'Core Loads'!$Q$14</f>
        <v>2039</v>
      </c>
      <c r="S162" s="8">
        <f>'Core Loads'!$R$14</f>
        <v>2040</v>
      </c>
      <c r="T162" s="8">
        <f>'Core Loads'!$S$14</f>
        <v>2041</v>
      </c>
      <c r="U162" s="8">
        <f>'Core Loads'!$T$14</f>
        <v>2042</v>
      </c>
      <c r="V162" s="8">
        <f>'Core Loads'!$U$14</f>
        <v>2043</v>
      </c>
      <c r="W162" s="8">
        <f>'Core Loads'!$V$14</f>
        <v>2044</v>
      </c>
      <c r="X162" s="8">
        <f>'Core Loads'!$W$14</f>
        <v>2045</v>
      </c>
      <c r="Y162" s="8">
        <f>'Core Loads'!$X$14</f>
        <v>2046</v>
      </c>
      <c r="Z162" s="8">
        <f>'Core Loads'!$Y$14</f>
        <v>2047</v>
      </c>
      <c r="AA162" s="8">
        <f>'Core Loads'!$Z$14</f>
        <v>2048</v>
      </c>
      <c r="AB162" s="8">
        <f>'Core Loads'!$AA$14</f>
        <v>2049</v>
      </c>
      <c r="AC162" s="8">
        <f>'Core Loads'!$AB$14</f>
        <v>2050</v>
      </c>
      <c r="AD162" s="8">
        <f>'Core Loads'!$AC$14</f>
        <v>2051</v>
      </c>
      <c r="AE162" s="8">
        <f>'Core Loads'!$AD$14</f>
        <v>2052</v>
      </c>
      <c r="AF162" s="8">
        <f>'Core Loads'!$AE$14</f>
        <v>2053</v>
      </c>
      <c r="AG162" s="8">
        <f>'Core Loads'!$AF$14</f>
        <v>2054</v>
      </c>
    </row>
    <row r="163" spans="2:35" s="1" customFormat="1" hidden="1" outlineLevel="1" x14ac:dyDescent="0.25">
      <c r="B163" t="s">
        <v>141</v>
      </c>
      <c r="C163" t="s">
        <v>109</v>
      </c>
      <c r="D163" s="21">
        <f>'Core Loads'!C$357*Elec_8A_kWh_per_kWh_campus+'Core Loads'!C$377*Process_8A_kWh_per_lb_campus+'Core Loads'!C$397*Htg_8A_kWh_per_MMBtu_campus+'Core Loads'!C$417*Clg_8A_kWh_per_ton_campus</f>
        <v>0</v>
      </c>
      <c r="E163" s="21">
        <f>'Core Loads'!D$357*Elec_8A_kWh_per_kWh_campus+'Core Loads'!D$377*Process_8A_kWh_per_lb_campus+'Core Loads'!D$397*Htg_8A_kWh_per_MMBtu_campus+'Core Loads'!D$417*Clg_8A_kWh_per_ton_campus</f>
        <v>0</v>
      </c>
      <c r="F163" s="21">
        <f>'Core Loads'!E$357*Elec_8A_kWh_per_kWh_campus+'Core Loads'!E$377*Process_8A_kWh_per_lb_campus+'Core Loads'!E$397*Htg_8A_kWh_per_MMBtu_campus+'Core Loads'!E$417*Clg_8A_kWh_per_ton_campus</f>
        <v>0</v>
      </c>
      <c r="G163" s="21">
        <f>'Core Loads'!F$357*Elec_8A_kWh_per_kWh_campus+'Core Loads'!F$377*Process_8A_kWh_per_lb_campus+'Core Loads'!F$397*Htg_8A_kWh_per_MMBtu_campus+'Core Loads'!F$417*Clg_8A_kWh_per_ton_campus</f>
        <v>0</v>
      </c>
      <c r="H163" s="21">
        <f>'Core Loads'!G$357*Elec_8A_kWh_per_kWh_campus+'Core Loads'!G$377*Process_8A_kWh_per_lb_campus+'Core Loads'!G$397*Htg_8A_kWh_per_MMBtu_campus+'Core Loads'!G$417*Clg_8A_kWh_per_ton_campus</f>
        <v>0</v>
      </c>
      <c r="I163" s="21">
        <f>'Core Loads'!H$357*Elec_8A_kWh_per_kWh_campus+'Core Loads'!H$377*Process_8A_kWh_per_lb_campus+'Core Loads'!H$397*Htg_8A_kWh_per_MMBtu_campus+'Core Loads'!H$417*Clg_8A_kWh_per_ton_campus</f>
        <v>111765402.88531494</v>
      </c>
      <c r="J163" s="21">
        <f>'Core Loads'!I$357*Elec_8A_kWh_per_kWh_campus+'Core Loads'!I$377*Process_8A_kWh_per_lb_campus+'Core Loads'!I$397*Htg_8A_kWh_per_MMBtu_campus+'Core Loads'!I$417*Clg_8A_kWh_per_ton_campus</f>
        <v>111765402.88531494</v>
      </c>
      <c r="K163" s="21">
        <f>'Core Loads'!J$357*Elec_8A_kWh_per_kWh_campus+'Core Loads'!J$377*Process_8A_kWh_per_lb_campus+'Core Loads'!J$397*Htg_8A_kWh_per_MMBtu_campus+'Core Loads'!J$417*Clg_8A_kWh_per_ton_campus</f>
        <v>104086948.93205152</v>
      </c>
      <c r="L163" s="21">
        <f>'Core Loads'!K$357*Elec_8A_kWh_per_kWh_campus+'Core Loads'!K$377*Process_8A_kWh_per_lb_campus+'Core Loads'!K$397*Htg_8A_kWh_per_MMBtu_campus+'Core Loads'!K$417*Clg_8A_kWh_per_ton_campus</f>
        <v>104086948.93205152</v>
      </c>
      <c r="M163" s="21">
        <f>'Core Loads'!L$357*Elec_8A_kWh_per_kWh_campus+'Core Loads'!L$377*Process_8A_kWh_per_lb_campus+'Core Loads'!L$397*Htg_8A_kWh_per_MMBtu_campus+'Core Loads'!L$417*Clg_8A_kWh_per_ton_campus</f>
        <v>104086948.93205152</v>
      </c>
      <c r="N163" s="21">
        <f>'Core Loads'!M$357*Elec_8A_kWh_per_kWh_campus+'Core Loads'!M$377*Process_8A_kWh_per_lb_campus+'Core Loads'!M$397*Htg_8A_kWh_per_MMBtu_campus+'Core Loads'!M$417*Clg_8A_kWh_per_ton_campus</f>
        <v>234810349.11198238</v>
      </c>
      <c r="O163" s="21">
        <f>'Core Loads'!N$357*Elec_8A_kWh_per_kWh_campus+'Core Loads'!N$377*Process_8A_kWh_per_lb_campus+'Core Loads'!N$397*Htg_8A_kWh_per_MMBtu_campus+'Core Loads'!N$417*Clg_8A_kWh_per_ton_campus</f>
        <v>229501819.84741306</v>
      </c>
      <c r="P163" s="21">
        <f>'Core Loads'!O$357*Elec_8A_kWh_per_kWh_campus+'Core Loads'!O$377*Process_8A_kWh_per_lb_campus+'Core Loads'!O$397*Htg_8A_kWh_per_MMBtu_campus+'Core Loads'!O$417*Clg_8A_kWh_per_ton_campus</f>
        <v>229501819.84741306</v>
      </c>
      <c r="Q163" s="21">
        <f>'Core Loads'!P$357*Elec_8A_kWh_per_kWh_campus+'Core Loads'!P$377*Process_8A_kWh_per_lb_campus+'Core Loads'!P$397*Htg_8A_kWh_per_MMBtu_campus+'Core Loads'!P$417*Clg_8A_kWh_per_ton_campus</f>
        <v>228289943.04577079</v>
      </c>
      <c r="R163" s="21">
        <f>'Core Loads'!Q$357*Elec_8A_kWh_per_kWh_campus+'Core Loads'!Q$377*Process_8A_kWh_per_lb_campus+'Core Loads'!Q$397*Htg_8A_kWh_per_MMBtu_campus+'Core Loads'!Q$417*Clg_8A_kWh_per_ton_campus</f>
        <v>419973326.82016635</v>
      </c>
      <c r="S163" s="21">
        <f>'Core Loads'!R$357*Elec_8A_kWh_per_kWh_campus+'Core Loads'!R$377*Process_8A_kWh_per_lb_campus+'Core Loads'!R$397*Htg_8A_kWh_per_MMBtu_campus+'Core Loads'!R$417*Clg_8A_kWh_per_ton_campus</f>
        <v>475809134.20232391</v>
      </c>
      <c r="T163" s="21">
        <f>'Core Loads'!S$357*Elec_8A_kWh_per_kWh_campus+'Core Loads'!S$377*Process_8A_kWh_per_lb_campus+'Core Loads'!S$397*Htg_8A_kWh_per_MMBtu_campus+'Core Loads'!S$417*Clg_8A_kWh_per_ton_campus</f>
        <v>475809134.20232391</v>
      </c>
      <c r="U163" s="21">
        <f>'Core Loads'!T$357*Elec_8A_kWh_per_kWh_campus+'Core Loads'!T$377*Process_8A_kWh_per_lb_campus+'Core Loads'!T$397*Htg_8A_kWh_per_MMBtu_campus+'Core Loads'!T$417*Clg_8A_kWh_per_ton_campus</f>
        <v>475157337.79308224</v>
      </c>
      <c r="V163" s="21">
        <f>'Core Loads'!U$357*Elec_8A_kWh_per_kWh_campus+'Core Loads'!U$377*Process_8A_kWh_per_lb_campus+'Core Loads'!U$397*Htg_8A_kWh_per_MMBtu_campus+'Core Loads'!U$417*Clg_8A_kWh_per_ton_campus</f>
        <v>475157337.79308224</v>
      </c>
      <c r="W163" s="21">
        <f>'Core Loads'!V$357*Elec_8A_kWh_per_kWh_campus+'Core Loads'!V$377*Process_8A_kWh_per_lb_campus+'Core Loads'!V$397*Htg_8A_kWh_per_MMBtu_campus+'Core Loads'!V$417*Clg_8A_kWh_per_ton_campus</f>
        <v>473904820.31435812</v>
      </c>
      <c r="X163" s="21">
        <f>'Core Loads'!W$357*Elec_8A_kWh_per_kWh_campus+'Core Loads'!W$377*Process_8A_kWh_per_lb_campus+'Core Loads'!W$397*Htg_8A_kWh_per_MMBtu_campus+'Core Loads'!W$417*Clg_8A_kWh_per_ton_campus</f>
        <v>473904820.31435812</v>
      </c>
      <c r="Y163" s="21">
        <f>'Core Loads'!X$357*Elec_8A_kWh_per_kWh_campus+'Core Loads'!X$377*Process_8A_kWh_per_lb_campus+'Core Loads'!X$397*Htg_8A_kWh_per_MMBtu_campus+'Core Loads'!X$417*Clg_8A_kWh_per_ton_campus</f>
        <v>473904820.31435812</v>
      </c>
      <c r="Z163" s="21">
        <f>'Core Loads'!Y$357*Elec_8A_kWh_per_kWh_campus+'Core Loads'!Y$377*Process_8A_kWh_per_lb_campus+'Core Loads'!Y$397*Htg_8A_kWh_per_MMBtu_campus+'Core Loads'!Y$417*Clg_8A_kWh_per_ton_campus</f>
        <v>473904820.31435812</v>
      </c>
      <c r="AA163" s="21">
        <f>'Core Loads'!Z$357*Elec_8A_kWh_per_kWh_campus+'Core Loads'!Z$377*Process_8A_kWh_per_lb_campus+'Core Loads'!Z$397*Htg_8A_kWh_per_MMBtu_campus+'Core Loads'!Z$417*Clg_8A_kWh_per_ton_campus</f>
        <v>473904820.31435812</v>
      </c>
      <c r="AB163" s="21">
        <f>'Core Loads'!AA$357*Elec_8A_kWh_per_kWh_campus+'Core Loads'!AA$377*Process_8A_kWh_per_lb_campus+'Core Loads'!AA$397*Htg_8A_kWh_per_MMBtu_campus+'Core Loads'!AA$417*Clg_8A_kWh_per_ton_campus</f>
        <v>473904820.31435812</v>
      </c>
      <c r="AC163" s="21">
        <f>'Core Loads'!AB$357*Elec_8A_kWh_per_kWh_campus+'Core Loads'!AB$377*Process_8A_kWh_per_lb_campus+'Core Loads'!AB$397*Htg_8A_kWh_per_MMBtu_campus+'Core Loads'!AB$417*Clg_8A_kWh_per_ton_campus</f>
        <v>472517574.29496628</v>
      </c>
      <c r="AD163" s="21">
        <f>'Core Loads'!AC$357*Elec_8A_kWh_per_kWh_campus+'Core Loads'!AC$377*Process_8A_kWh_per_lb_campus+'Core Loads'!AC$397*Htg_8A_kWh_per_MMBtu_campus+'Core Loads'!AC$417*Clg_8A_kWh_per_ton_campus</f>
        <v>472517574.29496628</v>
      </c>
      <c r="AE163" s="21">
        <f>'Core Loads'!AD$357*Elec_8A_kWh_per_kWh_campus+'Core Loads'!AD$377*Process_8A_kWh_per_lb_campus+'Core Loads'!AD$397*Htg_8A_kWh_per_MMBtu_campus+'Core Loads'!AD$417*Clg_8A_kWh_per_ton_campus</f>
        <v>472517574.29496628</v>
      </c>
      <c r="AF163" s="21">
        <f>'Core Loads'!AE$357*Elec_8A_kWh_per_kWh_campus+'Core Loads'!AE$377*Process_8A_kWh_per_lb_campus+'Core Loads'!AE$397*Htg_8A_kWh_per_MMBtu_campus+'Core Loads'!AE$417*Clg_8A_kWh_per_ton_campus</f>
        <v>472517574.29496628</v>
      </c>
      <c r="AG163" s="21">
        <f>'Core Loads'!AF$357*Elec_8A_kWh_per_kWh_campus+'Core Loads'!AF$377*Process_8A_kWh_per_lb_campus+'Core Loads'!AF$397*Htg_8A_kWh_per_MMBtu_campus+'Core Loads'!AF$417*Clg_8A_kWh_per_ton_campus</f>
        <v>472517574.29496628</v>
      </c>
      <c r="AH163"/>
      <c r="AI163" s="23" t="s">
        <v>293</v>
      </c>
    </row>
    <row r="164" spans="2:35" s="1" customFormat="1" hidden="1" outlineLevel="1" x14ac:dyDescent="0.25">
      <c r="B164" t="s">
        <v>136</v>
      </c>
      <c r="C164" t="s">
        <v>169</v>
      </c>
      <c r="D164" s="21">
        <f>'Core Loads'!C$377*Process_8A_therm_per_lb_campus+'Core Loads'!C$397*Htg_8A_therm_per_MMBtu_campus</f>
        <v>0</v>
      </c>
      <c r="E164" s="21">
        <f>'Core Loads'!D$377*Process_8A_therm_per_lb_campus+'Core Loads'!D$397*Htg_8A_therm_per_MMBtu_campus</f>
        <v>0</v>
      </c>
      <c r="F164" s="21">
        <f>'Core Loads'!E$377*Process_8A_therm_per_lb_campus+'Core Loads'!E$397*Htg_8A_therm_per_MMBtu_campus</f>
        <v>0</v>
      </c>
      <c r="G164" s="21">
        <f>'Core Loads'!F$377*Process_8A_therm_per_lb_campus+'Core Loads'!F$397*Htg_8A_therm_per_MMBtu_campus</f>
        <v>0</v>
      </c>
      <c r="H164" s="21">
        <f>'Core Loads'!G$377*Process_8A_therm_per_lb_campus+'Core Loads'!G$397*Htg_8A_therm_per_MMBtu_campus</f>
        <v>0</v>
      </c>
      <c r="I164" s="21">
        <f>'Core Loads'!H$377*Process_8A_therm_per_lb_campus+'Core Loads'!H$397*Htg_8A_therm_per_MMBtu_campus</f>
        <v>0</v>
      </c>
      <c r="J164" s="21">
        <f>'Core Loads'!I$377*Process_8A_therm_per_lb_campus+'Core Loads'!I$397*Htg_8A_therm_per_MMBtu_campus</f>
        <v>0</v>
      </c>
      <c r="K164" s="21">
        <f>'Core Loads'!J$377*Process_8A_therm_per_lb_campus+'Core Loads'!J$397*Htg_8A_therm_per_MMBtu_campus</f>
        <v>0</v>
      </c>
      <c r="L164" s="21">
        <f>'Core Loads'!K$377*Process_8A_therm_per_lb_campus+'Core Loads'!K$397*Htg_8A_therm_per_MMBtu_campus</f>
        <v>0</v>
      </c>
      <c r="M164" s="21">
        <f>'Core Loads'!L$377*Process_8A_therm_per_lb_campus+'Core Loads'!L$397*Htg_8A_therm_per_MMBtu_campus</f>
        <v>0</v>
      </c>
      <c r="N164" s="21">
        <f>'Core Loads'!M$377*Process_8A_therm_per_lb_campus+'Core Loads'!M$397*Htg_8A_therm_per_MMBtu_campus</f>
        <v>0</v>
      </c>
      <c r="O164" s="21">
        <f>'Core Loads'!N$377*Process_8A_therm_per_lb_campus+'Core Loads'!N$397*Htg_8A_therm_per_MMBtu_campus</f>
        <v>0</v>
      </c>
      <c r="P164" s="21">
        <f>'Core Loads'!O$377*Process_8A_therm_per_lb_campus+'Core Loads'!O$397*Htg_8A_therm_per_MMBtu_campus</f>
        <v>0</v>
      </c>
      <c r="Q164" s="21">
        <f>'Core Loads'!P$377*Process_8A_therm_per_lb_campus+'Core Loads'!P$397*Htg_8A_therm_per_MMBtu_campus</f>
        <v>0</v>
      </c>
      <c r="R164" s="21">
        <f>'Core Loads'!Q$377*Process_8A_therm_per_lb_campus+'Core Loads'!Q$397*Htg_8A_therm_per_MMBtu_campus</f>
        <v>0</v>
      </c>
      <c r="S164" s="21">
        <f>'Core Loads'!R$377*Process_8A_therm_per_lb_campus+'Core Loads'!R$397*Htg_8A_therm_per_MMBtu_campus</f>
        <v>0</v>
      </c>
      <c r="T164" s="21">
        <f>'Core Loads'!S$377*Process_8A_therm_per_lb_campus+'Core Loads'!S$397*Htg_8A_therm_per_MMBtu_campus</f>
        <v>0</v>
      </c>
      <c r="U164" s="21">
        <f>'Core Loads'!T$377*Process_8A_therm_per_lb_campus+'Core Loads'!T$397*Htg_8A_therm_per_MMBtu_campus</f>
        <v>0</v>
      </c>
      <c r="V164" s="21">
        <f>'Core Loads'!U$377*Process_8A_therm_per_lb_campus+'Core Loads'!U$397*Htg_8A_therm_per_MMBtu_campus</f>
        <v>0</v>
      </c>
      <c r="W164" s="21">
        <f>'Core Loads'!V$377*Process_8A_therm_per_lb_campus+'Core Loads'!V$397*Htg_8A_therm_per_MMBtu_campus</f>
        <v>0</v>
      </c>
      <c r="X164" s="21">
        <f>'Core Loads'!W$377*Process_8A_therm_per_lb_campus+'Core Loads'!W$397*Htg_8A_therm_per_MMBtu_campus</f>
        <v>0</v>
      </c>
      <c r="Y164" s="21">
        <f>'Core Loads'!X$377*Process_8A_therm_per_lb_campus+'Core Loads'!X$397*Htg_8A_therm_per_MMBtu_campus</f>
        <v>0</v>
      </c>
      <c r="Z164" s="21">
        <f>'Core Loads'!Y$377*Process_8A_therm_per_lb_campus+'Core Loads'!Y$397*Htg_8A_therm_per_MMBtu_campus</f>
        <v>0</v>
      </c>
      <c r="AA164" s="21">
        <f>'Core Loads'!Z$377*Process_8A_therm_per_lb_campus+'Core Loads'!Z$397*Htg_8A_therm_per_MMBtu_campus</f>
        <v>0</v>
      </c>
      <c r="AB164" s="21">
        <f>'Core Loads'!AA$377*Process_8A_therm_per_lb_campus+'Core Loads'!AA$397*Htg_8A_therm_per_MMBtu_campus</f>
        <v>0</v>
      </c>
      <c r="AC164" s="21">
        <f>'Core Loads'!AB$377*Process_8A_therm_per_lb_campus+'Core Loads'!AB$397*Htg_8A_therm_per_MMBtu_campus</f>
        <v>0</v>
      </c>
      <c r="AD164" s="21">
        <f>'Core Loads'!AC$377*Process_8A_therm_per_lb_campus+'Core Loads'!AC$397*Htg_8A_therm_per_MMBtu_campus</f>
        <v>0</v>
      </c>
      <c r="AE164" s="21">
        <f>'Core Loads'!AD$377*Process_8A_therm_per_lb_campus+'Core Loads'!AD$397*Htg_8A_therm_per_MMBtu_campus</f>
        <v>0</v>
      </c>
      <c r="AF164" s="21">
        <f>'Core Loads'!AE$377*Process_8A_therm_per_lb_campus+'Core Loads'!AE$397*Htg_8A_therm_per_MMBtu_campus</f>
        <v>0</v>
      </c>
      <c r="AG164" s="21">
        <f>'Core Loads'!AF$377*Process_8A_therm_per_lb_campus+'Core Loads'!AF$397*Htg_8A_therm_per_MMBtu_campus</f>
        <v>0</v>
      </c>
      <c r="AH164"/>
      <c r="AI164" s="23" t="s">
        <v>293</v>
      </c>
    </row>
    <row r="165" spans="2:35" s="1" customFormat="1" hidden="1" outlineLevel="1" x14ac:dyDescent="0.25">
      <c r="B165" t="s">
        <v>154</v>
      </c>
      <c r="C165" t="s">
        <v>170</v>
      </c>
      <c r="D165" s="21">
        <f>'Core Loads'!C$377*Process_8A_CCF_per_lb_campus+'Core Loads'!C$397*Htg_8A_CCF_per_MMBtu_campus+'Core Loads'!C$417*Clg_8A_CCF_per_ton_campus</f>
        <v>0</v>
      </c>
      <c r="E165" s="21">
        <f>'Core Loads'!D$377*Process_8A_CCF_per_lb_campus+'Core Loads'!D$397*Htg_8A_CCF_per_MMBtu_campus+'Core Loads'!D$417*Clg_8A_CCF_per_ton_campus</f>
        <v>0</v>
      </c>
      <c r="F165" s="21">
        <f>'Core Loads'!E$377*Process_8A_CCF_per_lb_campus+'Core Loads'!E$397*Htg_8A_CCF_per_MMBtu_campus+'Core Loads'!E$417*Clg_8A_CCF_per_ton_campus</f>
        <v>0</v>
      </c>
      <c r="G165" s="21">
        <f>'Core Loads'!F$377*Process_8A_CCF_per_lb_campus+'Core Loads'!F$397*Htg_8A_CCF_per_MMBtu_campus+'Core Loads'!F$417*Clg_8A_CCF_per_ton_campus</f>
        <v>0</v>
      </c>
      <c r="H165" s="21">
        <f>'Core Loads'!G$377*Process_8A_CCF_per_lb_campus+'Core Loads'!G$397*Htg_8A_CCF_per_MMBtu_campus+'Core Loads'!G$417*Clg_8A_CCF_per_ton_campus</f>
        <v>0</v>
      </c>
      <c r="I165" s="21">
        <f>'Core Loads'!H$377*Process_8A_CCF_per_lb_campus+'Core Loads'!H$397*Htg_8A_CCF_per_MMBtu_campus+'Core Loads'!H$417*Clg_8A_CCF_per_ton_campus</f>
        <v>48260.29863104644</v>
      </c>
      <c r="J165" s="21">
        <f>'Core Loads'!I$377*Process_8A_CCF_per_lb_campus+'Core Loads'!I$397*Htg_8A_CCF_per_MMBtu_campus+'Core Loads'!I$417*Clg_8A_CCF_per_ton_campus</f>
        <v>48260.29863104644</v>
      </c>
      <c r="K165" s="21">
        <f>'Core Loads'!J$377*Process_8A_CCF_per_lb_campus+'Core Loads'!J$397*Htg_8A_CCF_per_MMBtu_campus+'Core Loads'!J$417*Clg_8A_CCF_per_ton_campus</f>
        <v>46089.012098367675</v>
      </c>
      <c r="L165" s="21">
        <f>'Core Loads'!K$377*Process_8A_CCF_per_lb_campus+'Core Loads'!K$397*Htg_8A_CCF_per_MMBtu_campus+'Core Loads'!K$417*Clg_8A_CCF_per_ton_campus</f>
        <v>46089.012098367675</v>
      </c>
      <c r="M165" s="21">
        <f>'Core Loads'!L$377*Process_8A_CCF_per_lb_campus+'Core Loads'!L$397*Htg_8A_CCF_per_MMBtu_campus+'Core Loads'!L$417*Clg_8A_CCF_per_ton_campus</f>
        <v>46089.012098367675</v>
      </c>
      <c r="N165" s="21">
        <f>'Core Loads'!M$377*Process_8A_CCF_per_lb_campus+'Core Loads'!M$397*Htg_8A_CCF_per_MMBtu_campus+'Core Loads'!M$417*Clg_8A_CCF_per_ton_campus</f>
        <v>97954.037301243225</v>
      </c>
      <c r="O165" s="21">
        <f>'Core Loads'!N$377*Process_8A_CCF_per_lb_campus+'Core Loads'!N$397*Htg_8A_CCF_per_MMBtu_campus+'Core Loads'!N$417*Clg_8A_CCF_per_ton_campus</f>
        <v>96450.688634322301</v>
      </c>
      <c r="P165" s="21">
        <f>'Core Loads'!O$377*Process_8A_CCF_per_lb_campus+'Core Loads'!O$397*Htg_8A_CCF_per_MMBtu_campus+'Core Loads'!O$417*Clg_8A_CCF_per_ton_campus</f>
        <v>96450.688634322301</v>
      </c>
      <c r="Q165" s="21">
        <f>'Core Loads'!P$377*Process_8A_CCF_per_lb_campus+'Core Loads'!P$397*Htg_8A_CCF_per_MMBtu_campus+'Core Loads'!P$417*Clg_8A_CCF_per_ton_campus</f>
        <v>96130.11180864679</v>
      </c>
      <c r="R165" s="21">
        <f>'Core Loads'!Q$377*Process_8A_CCF_per_lb_campus+'Core Loads'!Q$397*Htg_8A_CCF_per_MMBtu_campus+'Core Loads'!Q$417*Clg_8A_CCF_per_ton_campus</f>
        <v>204633.07936726013</v>
      </c>
      <c r="S165" s="21">
        <f>'Core Loads'!R$377*Process_8A_CCF_per_lb_campus+'Core Loads'!R$397*Htg_8A_CCF_per_MMBtu_campus+'Core Loads'!R$417*Clg_8A_CCF_per_ton_campus</f>
        <v>235413.66560315649</v>
      </c>
      <c r="T165" s="21">
        <f>'Core Loads'!S$377*Process_8A_CCF_per_lb_campus+'Core Loads'!S$397*Htg_8A_CCF_per_MMBtu_campus+'Core Loads'!S$417*Clg_8A_CCF_per_ton_campus</f>
        <v>235413.66560315649</v>
      </c>
      <c r="U165" s="21">
        <f>'Core Loads'!T$377*Process_8A_CCF_per_lb_campus+'Core Loads'!T$397*Htg_8A_CCF_per_MMBtu_campus+'Core Loads'!T$417*Clg_8A_CCF_per_ton_campus</f>
        <v>235347.17748572759</v>
      </c>
      <c r="V165" s="21">
        <f>'Core Loads'!U$377*Process_8A_CCF_per_lb_campus+'Core Loads'!U$397*Htg_8A_CCF_per_MMBtu_campus+'Core Loads'!U$417*Clg_8A_CCF_per_ton_campus</f>
        <v>235347.17748572759</v>
      </c>
      <c r="W165" s="21">
        <f>'Core Loads'!V$377*Process_8A_CCF_per_lb_campus+'Core Loads'!V$397*Htg_8A_CCF_per_MMBtu_campus+'Core Loads'!V$417*Clg_8A_CCF_per_ton_campus</f>
        <v>234792.7286685353</v>
      </c>
      <c r="X165" s="21">
        <f>'Core Loads'!W$377*Process_8A_CCF_per_lb_campus+'Core Loads'!W$397*Htg_8A_CCF_per_MMBtu_campus+'Core Loads'!W$417*Clg_8A_CCF_per_ton_campus</f>
        <v>234792.7286685353</v>
      </c>
      <c r="Y165" s="21">
        <f>'Core Loads'!X$377*Process_8A_CCF_per_lb_campus+'Core Loads'!X$397*Htg_8A_CCF_per_MMBtu_campus+'Core Loads'!X$417*Clg_8A_CCF_per_ton_campus</f>
        <v>234792.7286685353</v>
      </c>
      <c r="Z165" s="21">
        <f>'Core Loads'!Y$377*Process_8A_CCF_per_lb_campus+'Core Loads'!Y$397*Htg_8A_CCF_per_MMBtu_campus+'Core Loads'!Y$417*Clg_8A_CCF_per_ton_campus</f>
        <v>234792.7286685353</v>
      </c>
      <c r="AA165" s="21">
        <f>'Core Loads'!Z$377*Process_8A_CCF_per_lb_campus+'Core Loads'!Z$397*Htg_8A_CCF_per_MMBtu_campus+'Core Loads'!Z$417*Clg_8A_CCF_per_ton_campus</f>
        <v>234792.7286685353</v>
      </c>
      <c r="AB165" s="21">
        <f>'Core Loads'!AA$377*Process_8A_CCF_per_lb_campus+'Core Loads'!AA$397*Htg_8A_CCF_per_MMBtu_campus+'Core Loads'!AA$417*Clg_8A_CCF_per_ton_campus</f>
        <v>234792.7286685353</v>
      </c>
      <c r="AC165" s="21">
        <f>'Core Loads'!AB$377*Process_8A_CCF_per_lb_campus+'Core Loads'!AB$397*Htg_8A_CCF_per_MMBtu_campus+'Core Loads'!AB$417*Clg_8A_CCF_per_ton_campus</f>
        <v>234058.0807872047</v>
      </c>
      <c r="AD165" s="21">
        <f>'Core Loads'!AC$377*Process_8A_CCF_per_lb_campus+'Core Loads'!AC$397*Htg_8A_CCF_per_MMBtu_campus+'Core Loads'!AC$417*Clg_8A_CCF_per_ton_campus</f>
        <v>234058.0807872047</v>
      </c>
      <c r="AE165" s="21">
        <f>'Core Loads'!AD$377*Process_8A_CCF_per_lb_campus+'Core Loads'!AD$397*Htg_8A_CCF_per_MMBtu_campus+'Core Loads'!AD$417*Clg_8A_CCF_per_ton_campus</f>
        <v>234058.0807872047</v>
      </c>
      <c r="AF165" s="21">
        <f>'Core Loads'!AE$377*Process_8A_CCF_per_lb_campus+'Core Loads'!AE$397*Htg_8A_CCF_per_MMBtu_campus+'Core Loads'!AE$417*Clg_8A_CCF_per_ton_campus</f>
        <v>234058.0807872047</v>
      </c>
      <c r="AG165" s="21">
        <f>'Core Loads'!AF$377*Process_8A_CCF_per_lb_campus+'Core Loads'!AF$397*Htg_8A_CCF_per_MMBtu_campus+'Core Loads'!AF$417*Clg_8A_CCF_per_ton_campus</f>
        <v>234058.0807872047</v>
      </c>
      <c r="AH165"/>
      <c r="AI165" s="23" t="s">
        <v>293</v>
      </c>
    </row>
    <row r="166" spans="2:35" ht="15.75" collapsed="1" thickTop="1" x14ac:dyDescent="0.25"/>
    <row r="168" spans="2:35" s="1" customFormat="1" ht="20.25" thickBot="1" x14ac:dyDescent="0.35">
      <c r="B168" s="18" t="s">
        <v>299</v>
      </c>
      <c r="C168" s="18"/>
      <c r="D168" s="18"/>
      <c r="E168" s="25"/>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row>
    <row r="169" spans="2:35" s="1" customFormat="1" ht="18" hidden="1" outlineLevel="1" thickTop="1" thickBot="1" x14ac:dyDescent="0.3">
      <c r="B169" s="19" t="s">
        <v>278</v>
      </c>
      <c r="C169" s="19"/>
      <c r="D169" s="19"/>
      <c r="E169" s="67"/>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row>
    <row r="170" spans="2:35" s="1" customFormat="1" ht="16.5" hidden="1" outlineLevel="1" thickTop="1" thickBot="1" x14ac:dyDescent="0.3">
      <c r="B170" s="20" t="s">
        <v>292</v>
      </c>
      <c r="C170" s="20" t="s">
        <v>13</v>
      </c>
      <c r="D170" s="20" t="s">
        <v>17</v>
      </c>
      <c r="E170" s="68"/>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t="s">
        <v>15</v>
      </c>
    </row>
    <row r="171" spans="2:35" hidden="1" outlineLevel="1" x14ac:dyDescent="0.25">
      <c r="D171" s="8">
        <f>'Core Loads'!$C$14</f>
        <v>2025</v>
      </c>
      <c r="E171" s="62">
        <f>'Core Loads'!$D$14</f>
        <v>2026</v>
      </c>
      <c r="F171" s="8">
        <f>'Core Loads'!$E$14</f>
        <v>2027</v>
      </c>
      <c r="G171" s="8">
        <f>'Core Loads'!$F$14</f>
        <v>2028</v>
      </c>
      <c r="H171" s="8">
        <f>'Core Loads'!$G$14</f>
        <v>2029</v>
      </c>
      <c r="I171" s="8">
        <f>'Core Loads'!$H$14</f>
        <v>2030</v>
      </c>
      <c r="J171" s="8">
        <f>'Core Loads'!$I$14</f>
        <v>2031</v>
      </c>
      <c r="K171" s="8">
        <f>'Core Loads'!$J$14</f>
        <v>2032</v>
      </c>
      <c r="L171" s="8">
        <f>'Core Loads'!$K$14</f>
        <v>2033</v>
      </c>
      <c r="M171" s="8">
        <f>'Core Loads'!$L$14</f>
        <v>2034</v>
      </c>
      <c r="N171" s="8">
        <f>'Core Loads'!$M$14</f>
        <v>2035</v>
      </c>
      <c r="O171" s="8">
        <f>'Core Loads'!$N$14</f>
        <v>2036</v>
      </c>
      <c r="P171" s="8">
        <f>'Core Loads'!$O$14</f>
        <v>2037</v>
      </c>
      <c r="Q171" s="8">
        <f>'Core Loads'!$P$14</f>
        <v>2038</v>
      </c>
      <c r="R171" s="8">
        <f>'Core Loads'!$Q$14</f>
        <v>2039</v>
      </c>
      <c r="S171" s="8">
        <f>'Core Loads'!$R$14</f>
        <v>2040</v>
      </c>
      <c r="T171" s="8">
        <f>'Core Loads'!$S$14</f>
        <v>2041</v>
      </c>
      <c r="U171" s="8">
        <f>'Core Loads'!$T$14</f>
        <v>2042</v>
      </c>
      <c r="V171" s="8">
        <f>'Core Loads'!$U$14</f>
        <v>2043</v>
      </c>
      <c r="W171" s="8">
        <f>'Core Loads'!$V$14</f>
        <v>2044</v>
      </c>
      <c r="X171" s="8">
        <f>'Core Loads'!$W$14</f>
        <v>2045</v>
      </c>
      <c r="Y171" s="8">
        <f>'Core Loads'!$X$14</f>
        <v>2046</v>
      </c>
      <c r="Z171" s="8">
        <f>'Core Loads'!$Y$14</f>
        <v>2047</v>
      </c>
      <c r="AA171" s="8">
        <f>'Core Loads'!$Z$14</f>
        <v>2048</v>
      </c>
      <c r="AB171" s="8">
        <f>'Core Loads'!$AA$14</f>
        <v>2049</v>
      </c>
      <c r="AC171" s="8">
        <f>'Core Loads'!$AB$14</f>
        <v>2050</v>
      </c>
      <c r="AD171" s="8">
        <f>'Core Loads'!$AC$14</f>
        <v>2051</v>
      </c>
      <c r="AE171" s="8">
        <f>'Core Loads'!$AD$14</f>
        <v>2052</v>
      </c>
      <c r="AF171" s="8">
        <f>'Core Loads'!$AE$14</f>
        <v>2053</v>
      </c>
      <c r="AG171" s="8">
        <f>'Core Loads'!$AF$14</f>
        <v>2054</v>
      </c>
    </row>
    <row r="172" spans="2:35" s="1" customFormat="1" hidden="1" outlineLevel="1" x14ac:dyDescent="0.25">
      <c r="B172" t="s">
        <v>141</v>
      </c>
      <c r="C172" t="s">
        <v>109</v>
      </c>
      <c r="D172" s="21">
        <f>MAX('Core Loads'!C$348*Elec_exstg_kWh_per_kWh_campus+'Core Loads'!C$368*Process_exstg_kWh_per_lb_campus+'Core Loads'!C$388*Htg_exstg_kWh_per_MMBtu_campus+MAX('Core Loads'!C$408-AbsChillerLoad,0)*Clg_exstg_kWh_per_ton_campus-CogenElecOutputExstg,0)</f>
        <v>0</v>
      </c>
      <c r="E172" s="69">
        <f>MAX('Core Loads'!D$348*Elec_exstg_kWh_per_kWh_campus+'Core Loads'!D$368*Process_exstg_kWh_per_lb_campus+'Core Loads'!D$388*Htg_exstg_kWh_per_MMBtu_campus+MAX('Core Loads'!D$408-AbsChillerLoad,0)*Clg_exstg_kWh_per_ton_campus-CogenElecOutputExstg,0)</f>
        <v>2865758.5345967412</v>
      </c>
      <c r="F172" s="21">
        <f>MAX('Core Loads'!E$348*Elec_exstg_kWh_per_kWh_campus+'Core Loads'!E$368*Process_exstg_kWh_per_lb_campus+'Core Loads'!E$388*Htg_exstg_kWh_per_MMBtu_campus+MAX('Core Loads'!E$408-AbsChillerLoad,0)*Clg_exstg_kWh_per_ton_campus-CogenElecOutputExstg,0)</f>
        <v>2865758.5345967412</v>
      </c>
      <c r="G172" s="21">
        <f>MAX('Core Loads'!F$348*Elec_exstg_kWh_per_kWh_campus+'Core Loads'!F$368*Process_exstg_kWh_per_lb_campus+'Core Loads'!F$388*Htg_exstg_kWh_per_MMBtu_campus+MAX('Core Loads'!F$408-AbsChillerLoad,0)*Clg_exstg_kWh_per_ton_campus-CogenElecOutputExstg,0)</f>
        <v>20224353.799504697</v>
      </c>
      <c r="H172" s="21">
        <f>MAX('Core Loads'!G$348*Elec_exstg_kWh_per_kWh_campus+'Core Loads'!G$368*Process_exstg_kWh_per_lb_campus+'Core Loads'!G$388*Htg_exstg_kWh_per_MMBtu_campus+MAX('Core Loads'!G$408-AbsChillerLoad,0)*Clg_exstg_kWh_per_ton_campus-CogenElecOutputExstg,0)</f>
        <v>20224353.799504697</v>
      </c>
      <c r="I172" s="21">
        <f>MAX('Core Loads'!H$348*Elec_exstg_kWh_per_kWh_campus+'Core Loads'!H$368*Process_exstg_kWh_per_lb_campus+'Core Loads'!H$388*Htg_exstg_kWh_per_MMBtu_campus+MAX('Core Loads'!H$408-AbsChillerLoad,0)*Clg_exstg_kWh_per_ton_campus-CogenElecOutputExstg,0)</f>
        <v>0</v>
      </c>
      <c r="J172" s="21">
        <f>MAX('Core Loads'!I$348*Elec_exstg_kWh_per_kWh_campus+'Core Loads'!I$368*Process_exstg_kWh_per_lb_campus+'Core Loads'!I$388*Htg_exstg_kWh_per_MMBtu_campus+MAX('Core Loads'!I$408-AbsChillerLoad,0)*Clg_exstg_kWh_per_ton_campus-CogenElecOutputExstg,0)</f>
        <v>0</v>
      </c>
      <c r="K172" s="21">
        <f>MAX('Core Loads'!J$348*Elec_exstg_kWh_per_kWh_campus+'Core Loads'!J$368*Process_exstg_kWh_per_lb_campus+'Core Loads'!J$388*Htg_exstg_kWh_per_MMBtu_campus+MAX('Core Loads'!J$408-AbsChillerLoad,0)*Clg_exstg_kWh_per_ton_campus-CogenElecOutputExstg,0)</f>
        <v>0</v>
      </c>
      <c r="L172" s="21">
        <f>MAX('Core Loads'!K$348*Elec_exstg_kWh_per_kWh_campus+'Core Loads'!K$368*Process_exstg_kWh_per_lb_campus+'Core Loads'!K$388*Htg_exstg_kWh_per_MMBtu_campus+MAX('Core Loads'!K$408-AbsChillerLoad,0)*Clg_exstg_kWh_per_ton_campus-CogenElecOutputExstg,0)</f>
        <v>0</v>
      </c>
      <c r="M172" s="21">
        <f>MAX('Core Loads'!L$348*Elec_exstg_kWh_per_kWh_campus+'Core Loads'!L$368*Process_exstg_kWh_per_lb_campus+'Core Loads'!L$388*Htg_exstg_kWh_per_MMBtu_campus+MAX('Core Loads'!L$408-AbsChillerLoad,0)*Clg_exstg_kWh_per_ton_campus-CogenElecOutputExstg,0)</f>
        <v>0</v>
      </c>
      <c r="N172" s="21">
        <f>MAX('Core Loads'!M$348*Elec_exstg_kWh_per_kWh_campus+'Core Loads'!M$368*Process_exstg_kWh_per_lb_campus+'Core Loads'!M$388*Htg_exstg_kWh_per_MMBtu_campus+MAX('Core Loads'!M$408-AbsChillerLoad,0)*Clg_exstg_kWh_per_ton_campus-CogenElecOutputExstg,0)</f>
        <v>0</v>
      </c>
      <c r="O172" s="21">
        <f>MAX('Core Loads'!N$348*Elec_exstg_kWh_per_kWh_campus+'Core Loads'!N$368*Process_exstg_kWh_per_lb_campus+'Core Loads'!N$388*Htg_exstg_kWh_per_MMBtu_campus+MAX('Core Loads'!N$408-AbsChillerLoad,0)*Clg_exstg_kWh_per_ton_campus-CogenElecOutputExstg,0)</f>
        <v>0</v>
      </c>
      <c r="P172" s="21">
        <f>MAX('Core Loads'!O$348*Elec_exstg_kWh_per_kWh_campus+'Core Loads'!O$368*Process_exstg_kWh_per_lb_campus+'Core Loads'!O$388*Htg_exstg_kWh_per_MMBtu_campus+MAX('Core Loads'!O$408-AbsChillerLoad,0)*Clg_exstg_kWh_per_ton_campus-CogenElecOutputExstg,0)</f>
        <v>0</v>
      </c>
      <c r="Q172" s="21">
        <f>MAX('Core Loads'!P$348*Elec_exstg_kWh_per_kWh_campus+'Core Loads'!P$368*Process_exstg_kWh_per_lb_campus+'Core Loads'!P$388*Htg_exstg_kWh_per_MMBtu_campus+MAX('Core Loads'!P$408-AbsChillerLoad,0)*Clg_exstg_kWh_per_ton_campus-CogenElecOutputExstg,0)</f>
        <v>0</v>
      </c>
      <c r="R172" s="21">
        <f>MAX('Core Loads'!Q$348*Elec_exstg_kWh_per_kWh_campus+'Core Loads'!Q$368*Process_exstg_kWh_per_lb_campus+'Core Loads'!Q$388*Htg_exstg_kWh_per_MMBtu_campus+MAX('Core Loads'!Q$408-AbsChillerLoad,0)*Clg_exstg_kWh_per_ton_campus-CogenElecOutputExstg,0)</f>
        <v>0</v>
      </c>
      <c r="S172" s="21">
        <f>MAX('Core Loads'!R$348*Elec_exstg_kWh_per_kWh_campus+'Core Loads'!R$368*Process_exstg_kWh_per_lb_campus+'Core Loads'!R$388*Htg_exstg_kWh_per_MMBtu_campus+MAX('Core Loads'!R$408-AbsChillerLoad,0)*Clg_exstg_kWh_per_ton_campus-CogenElecOutputExstg,0)</f>
        <v>0</v>
      </c>
      <c r="T172" s="21">
        <f>MAX('Core Loads'!S$348*Elec_exstg_kWh_per_kWh_campus+'Core Loads'!S$368*Process_exstg_kWh_per_lb_campus+'Core Loads'!S$388*Htg_exstg_kWh_per_MMBtu_campus+MAX('Core Loads'!S$408-AbsChillerLoad,0)*Clg_exstg_kWh_per_ton_campus-CogenElecOutputExstg,0)</f>
        <v>0</v>
      </c>
      <c r="U172" s="21">
        <f>MAX('Core Loads'!T$348*Elec_exstg_kWh_per_kWh_campus+'Core Loads'!T$368*Process_exstg_kWh_per_lb_campus+'Core Loads'!T$388*Htg_exstg_kWh_per_MMBtu_campus+MAX('Core Loads'!T$408-AbsChillerLoad,0)*Clg_exstg_kWh_per_ton_campus-CogenElecOutputExstg,0)</f>
        <v>0</v>
      </c>
      <c r="V172" s="21">
        <f>MAX('Core Loads'!U$348*Elec_exstg_kWh_per_kWh_campus+'Core Loads'!U$368*Process_exstg_kWh_per_lb_campus+'Core Loads'!U$388*Htg_exstg_kWh_per_MMBtu_campus+MAX('Core Loads'!U$408-AbsChillerLoad,0)*Clg_exstg_kWh_per_ton_campus-CogenElecOutputExstg,0)</f>
        <v>0</v>
      </c>
      <c r="W172" s="21">
        <f>MAX('Core Loads'!V$348*Elec_exstg_kWh_per_kWh_campus+'Core Loads'!V$368*Process_exstg_kWh_per_lb_campus+'Core Loads'!V$388*Htg_exstg_kWh_per_MMBtu_campus+MAX('Core Loads'!V$408-AbsChillerLoad,0)*Clg_exstg_kWh_per_ton_campus-CogenElecOutputExstg,0)</f>
        <v>0</v>
      </c>
      <c r="X172" s="21">
        <f>MAX('Core Loads'!W$348*Elec_exstg_kWh_per_kWh_campus+'Core Loads'!W$368*Process_exstg_kWh_per_lb_campus+'Core Loads'!W$388*Htg_exstg_kWh_per_MMBtu_campus+MAX('Core Loads'!W$408-AbsChillerLoad,0)*Clg_exstg_kWh_per_ton_campus-CogenElecOutputExstg,0)</f>
        <v>0</v>
      </c>
      <c r="Y172" s="21">
        <f>MAX('Core Loads'!X$348*Elec_exstg_kWh_per_kWh_campus+'Core Loads'!X$368*Process_exstg_kWh_per_lb_campus+'Core Loads'!X$388*Htg_exstg_kWh_per_MMBtu_campus+MAX('Core Loads'!X$408-AbsChillerLoad,0)*Clg_exstg_kWh_per_ton_campus-CogenElecOutputExstg,0)</f>
        <v>0</v>
      </c>
      <c r="Z172" s="21">
        <f>MAX('Core Loads'!Y$348*Elec_exstg_kWh_per_kWh_campus+'Core Loads'!Y$368*Process_exstg_kWh_per_lb_campus+'Core Loads'!Y$388*Htg_exstg_kWh_per_MMBtu_campus+MAX('Core Loads'!Y$408-AbsChillerLoad,0)*Clg_exstg_kWh_per_ton_campus-CogenElecOutputExstg,0)</f>
        <v>0</v>
      </c>
      <c r="AA172" s="21">
        <f>MAX('Core Loads'!Z$348*Elec_exstg_kWh_per_kWh_campus+'Core Loads'!Z$368*Process_exstg_kWh_per_lb_campus+'Core Loads'!Z$388*Htg_exstg_kWh_per_MMBtu_campus+MAX('Core Loads'!Z$408-AbsChillerLoad,0)*Clg_exstg_kWh_per_ton_campus-CogenElecOutputExstg,0)</f>
        <v>0</v>
      </c>
      <c r="AB172" s="21">
        <f>MAX('Core Loads'!AA$348*Elec_exstg_kWh_per_kWh_campus+'Core Loads'!AA$368*Process_exstg_kWh_per_lb_campus+'Core Loads'!AA$388*Htg_exstg_kWh_per_MMBtu_campus+MAX('Core Loads'!AA$408-AbsChillerLoad,0)*Clg_exstg_kWh_per_ton_campus-CogenElecOutputExstg,0)</f>
        <v>0</v>
      </c>
      <c r="AC172" s="21">
        <f>MAX('Core Loads'!AB$348*Elec_exstg_kWh_per_kWh_campus+'Core Loads'!AB$368*Process_exstg_kWh_per_lb_campus+'Core Loads'!AB$388*Htg_exstg_kWh_per_MMBtu_campus+MAX('Core Loads'!AB$408-AbsChillerLoad,0)*Clg_exstg_kWh_per_ton_campus-CogenElecOutputExstg,0)</f>
        <v>0</v>
      </c>
      <c r="AD172" s="21">
        <f>MAX('Core Loads'!AC$348*Elec_exstg_kWh_per_kWh_campus+'Core Loads'!AC$368*Process_exstg_kWh_per_lb_campus+'Core Loads'!AC$388*Htg_exstg_kWh_per_MMBtu_campus+MAX('Core Loads'!AC$408-AbsChillerLoad,0)*Clg_exstg_kWh_per_ton_campus-CogenElecOutputExstg,0)</f>
        <v>0</v>
      </c>
      <c r="AE172" s="21">
        <f>MAX('Core Loads'!AD$348*Elec_exstg_kWh_per_kWh_campus+'Core Loads'!AD$368*Process_exstg_kWh_per_lb_campus+'Core Loads'!AD$388*Htg_exstg_kWh_per_MMBtu_campus+MAX('Core Loads'!AD$408-AbsChillerLoad,0)*Clg_exstg_kWh_per_ton_campus-CogenElecOutputExstg,0)</f>
        <v>0</v>
      </c>
      <c r="AF172" s="21">
        <f>MAX('Core Loads'!AE$348*Elec_exstg_kWh_per_kWh_campus+'Core Loads'!AE$368*Process_exstg_kWh_per_lb_campus+'Core Loads'!AE$388*Htg_exstg_kWh_per_MMBtu_campus+MAX('Core Loads'!AE$408-AbsChillerLoad,0)*Clg_exstg_kWh_per_ton_campus-CogenElecOutputExstg,0)</f>
        <v>0</v>
      </c>
      <c r="AG172" s="21">
        <f>MAX('Core Loads'!AF$348*Elec_exstg_kWh_per_kWh_campus+'Core Loads'!AF$368*Process_exstg_kWh_per_lb_campus+'Core Loads'!AF$388*Htg_exstg_kWh_per_MMBtu_campus+MAX('Core Loads'!AF$408-AbsChillerLoad,0)*Clg_exstg_kWh_per_ton_campus-CogenElecOutputExstg,0)</f>
        <v>0</v>
      </c>
      <c r="AH172"/>
      <c r="AI172" s="23" t="s">
        <v>293</v>
      </c>
    </row>
    <row r="173" spans="2:35" s="1" customFormat="1" hidden="1" outlineLevel="1" x14ac:dyDescent="0.25">
      <c r="B173" t="s">
        <v>136</v>
      </c>
      <c r="C173" t="s">
        <v>169</v>
      </c>
      <c r="D173" s="21">
        <f>'Core Loads'!C$368*Process_exstg_therm_per_lb_campus+'Core Loads'!C$388*Htg_exstg_therm_per_MMBtu_campus+MIN('Core Loads'!C$408,AbsChillerLoad)*Clg_exstg_therm_per_ton_campus</f>
        <v>31258877.283118241</v>
      </c>
      <c r="E173" s="69">
        <f>'Core Loads'!D$368*Process_exstg_therm_per_lb_campus+'Core Loads'!D$388*Htg_exstg_therm_per_MMBtu_campus+MIN('Core Loads'!D$408,AbsChillerLoad)*Clg_exstg_therm_per_ton_campus</f>
        <v>31258877.283118241</v>
      </c>
      <c r="F173" s="21">
        <f>'Core Loads'!E$368*Process_exstg_therm_per_lb_campus+'Core Loads'!E$388*Htg_exstg_therm_per_MMBtu_campus+MIN('Core Loads'!E$408,AbsChillerLoad)*Clg_exstg_therm_per_ton_campus</f>
        <v>31258877.283118241</v>
      </c>
      <c r="G173" s="21">
        <f>'Core Loads'!F$368*Process_exstg_therm_per_lb_campus+'Core Loads'!F$388*Htg_exstg_therm_per_MMBtu_campus+MIN('Core Loads'!F$408,AbsChillerLoad)*Clg_exstg_therm_per_ton_campus</f>
        <v>30779136.751878824</v>
      </c>
      <c r="H173" s="21">
        <f>'Core Loads'!G$368*Process_exstg_therm_per_lb_campus+'Core Loads'!G$388*Htg_exstg_therm_per_MMBtu_campus+MIN('Core Loads'!G$408,AbsChillerLoad)*Clg_exstg_therm_per_ton_campus</f>
        <v>30779136.751878824</v>
      </c>
      <c r="I173" s="21">
        <f>'Core Loads'!H$368*Process_exstg_therm_per_lb_campus+'Core Loads'!H$388*Htg_exstg_therm_per_MMBtu_campus+MIN('Core Loads'!H$408,AbsChillerLoad)*Clg_exstg_therm_per_ton_campus</f>
        <v>26715362.436630234</v>
      </c>
      <c r="J173" s="21">
        <f>'Core Loads'!I$368*Process_exstg_therm_per_lb_campus+'Core Loads'!I$388*Htg_exstg_therm_per_MMBtu_campus+MIN('Core Loads'!I$408,AbsChillerLoad)*Clg_exstg_therm_per_ton_campus</f>
        <v>26715362.436630234</v>
      </c>
      <c r="K173" s="21">
        <f>'Core Loads'!J$368*Process_exstg_therm_per_lb_campus+'Core Loads'!J$388*Htg_exstg_therm_per_MMBtu_campus+MIN('Core Loads'!J$408,AbsChillerLoad)*Clg_exstg_therm_per_ton_campus</f>
        <v>26000353.613023683</v>
      </c>
      <c r="L173" s="21">
        <f>'Core Loads'!K$368*Process_exstg_therm_per_lb_campus+'Core Loads'!K$388*Htg_exstg_therm_per_MMBtu_campus+MIN('Core Loads'!K$408,AbsChillerLoad)*Clg_exstg_therm_per_ton_campus</f>
        <v>26000353.613023683</v>
      </c>
      <c r="M173" s="21">
        <f>'Core Loads'!L$368*Process_exstg_therm_per_lb_campus+'Core Loads'!L$388*Htg_exstg_therm_per_MMBtu_campus+MIN('Core Loads'!L$408,AbsChillerLoad)*Clg_exstg_therm_per_ton_campus</f>
        <v>25689816.405707758</v>
      </c>
      <c r="N173" s="21">
        <f>'Core Loads'!M$368*Process_exstg_therm_per_lb_campus+'Core Loads'!M$388*Htg_exstg_therm_per_MMBtu_campus+MIN('Core Loads'!M$408,AbsChillerLoad)*Clg_exstg_therm_per_ton_campus</f>
        <v>17369500.84125939</v>
      </c>
      <c r="O173" s="21">
        <f>'Core Loads'!N$368*Process_exstg_therm_per_lb_campus+'Core Loads'!N$388*Htg_exstg_therm_per_MMBtu_campus+MIN('Core Loads'!N$408,AbsChillerLoad)*Clg_exstg_therm_per_ton_campus</f>
        <v>17280686.43057394</v>
      </c>
      <c r="P173" s="21">
        <f>'Core Loads'!O$368*Process_exstg_therm_per_lb_campus+'Core Loads'!O$388*Htg_exstg_therm_per_MMBtu_campus+MIN('Core Loads'!O$408,AbsChillerLoad)*Clg_exstg_therm_per_ton_campus</f>
        <v>17280686.43057394</v>
      </c>
      <c r="Q173" s="21">
        <f>'Core Loads'!P$368*Process_exstg_therm_per_lb_campus+'Core Loads'!P$388*Htg_exstg_therm_per_MMBtu_campus+MIN('Core Loads'!P$408,AbsChillerLoad)*Clg_exstg_therm_per_ton_campus</f>
        <v>17265421.55075188</v>
      </c>
      <c r="R173" s="21">
        <f>'Core Loads'!Q$368*Process_exstg_therm_per_lb_campus+'Core Loads'!Q$388*Htg_exstg_therm_per_MMBtu_campus+MIN('Core Loads'!Q$408,AbsChillerLoad)*Clg_exstg_therm_per_ton_campus</f>
        <v>0</v>
      </c>
      <c r="S173" s="21">
        <f>'Core Loads'!R$368*Process_exstg_therm_per_lb_campus+'Core Loads'!R$388*Htg_exstg_therm_per_MMBtu_campus+MIN('Core Loads'!R$408,AbsChillerLoad)*Clg_exstg_therm_per_ton_campus</f>
        <v>0</v>
      </c>
      <c r="T173" s="21">
        <f>'Core Loads'!S$368*Process_exstg_therm_per_lb_campus+'Core Loads'!S$388*Htg_exstg_therm_per_MMBtu_campus+MIN('Core Loads'!S$408,AbsChillerLoad)*Clg_exstg_therm_per_ton_campus</f>
        <v>0</v>
      </c>
      <c r="U173" s="21">
        <f>'Core Loads'!T$368*Process_exstg_therm_per_lb_campus+'Core Loads'!T$388*Htg_exstg_therm_per_MMBtu_campus+MIN('Core Loads'!T$408,AbsChillerLoad)*Clg_exstg_therm_per_ton_campus</f>
        <v>0</v>
      </c>
      <c r="V173" s="21">
        <f>'Core Loads'!U$368*Process_exstg_therm_per_lb_campus+'Core Loads'!U$388*Htg_exstg_therm_per_MMBtu_campus+MIN('Core Loads'!U$408,AbsChillerLoad)*Clg_exstg_therm_per_ton_campus</f>
        <v>0</v>
      </c>
      <c r="W173" s="21">
        <f>'Core Loads'!V$368*Process_exstg_therm_per_lb_campus+'Core Loads'!V$388*Htg_exstg_therm_per_MMBtu_campus+MIN('Core Loads'!V$408,AbsChillerLoad)*Clg_exstg_therm_per_ton_campus</f>
        <v>0</v>
      </c>
      <c r="X173" s="21">
        <f>'Core Loads'!W$368*Process_exstg_therm_per_lb_campus+'Core Loads'!W$388*Htg_exstg_therm_per_MMBtu_campus+MIN('Core Loads'!W$408,AbsChillerLoad)*Clg_exstg_therm_per_ton_campus</f>
        <v>0</v>
      </c>
      <c r="Y173" s="21">
        <f>'Core Loads'!X$368*Process_exstg_therm_per_lb_campus+'Core Loads'!X$388*Htg_exstg_therm_per_MMBtu_campus+MIN('Core Loads'!X$408,AbsChillerLoad)*Clg_exstg_therm_per_ton_campus</f>
        <v>0</v>
      </c>
      <c r="Z173" s="21">
        <f>'Core Loads'!Y$368*Process_exstg_therm_per_lb_campus+'Core Loads'!Y$388*Htg_exstg_therm_per_MMBtu_campus+MIN('Core Loads'!Y$408,AbsChillerLoad)*Clg_exstg_therm_per_ton_campus</f>
        <v>0</v>
      </c>
      <c r="AA173" s="21">
        <f>'Core Loads'!Z$368*Process_exstg_therm_per_lb_campus+'Core Loads'!Z$388*Htg_exstg_therm_per_MMBtu_campus+MIN('Core Loads'!Z$408,AbsChillerLoad)*Clg_exstg_therm_per_ton_campus</f>
        <v>0</v>
      </c>
      <c r="AB173" s="21">
        <f>'Core Loads'!AA$368*Process_exstg_therm_per_lb_campus+'Core Loads'!AA$388*Htg_exstg_therm_per_MMBtu_campus+MIN('Core Loads'!AA$408,AbsChillerLoad)*Clg_exstg_therm_per_ton_campus</f>
        <v>0</v>
      </c>
      <c r="AC173" s="21">
        <f>'Core Loads'!AB$368*Process_exstg_therm_per_lb_campus+'Core Loads'!AB$388*Htg_exstg_therm_per_MMBtu_campus+MIN('Core Loads'!AB$408,AbsChillerLoad)*Clg_exstg_therm_per_ton_campus</f>
        <v>0</v>
      </c>
      <c r="AD173" s="21">
        <f>'Core Loads'!AC$368*Process_exstg_therm_per_lb_campus+'Core Loads'!AC$388*Htg_exstg_therm_per_MMBtu_campus+MIN('Core Loads'!AC$408,AbsChillerLoad)*Clg_exstg_therm_per_ton_campus</f>
        <v>0</v>
      </c>
      <c r="AE173" s="21">
        <f>'Core Loads'!AD$368*Process_exstg_therm_per_lb_campus+'Core Loads'!AD$388*Htg_exstg_therm_per_MMBtu_campus+MIN('Core Loads'!AD$408,AbsChillerLoad)*Clg_exstg_therm_per_ton_campus</f>
        <v>0</v>
      </c>
      <c r="AF173" s="21">
        <f>'Core Loads'!AE$368*Process_exstg_therm_per_lb_campus+'Core Loads'!AE$388*Htg_exstg_therm_per_MMBtu_campus+MIN('Core Loads'!AE$408,AbsChillerLoad)*Clg_exstg_therm_per_ton_campus</f>
        <v>0</v>
      </c>
      <c r="AG173" s="21">
        <f>'Core Loads'!AF$368*Process_exstg_therm_per_lb_campus+'Core Loads'!AF$388*Htg_exstg_therm_per_MMBtu_campus+MIN('Core Loads'!AF$408,AbsChillerLoad)*Clg_exstg_therm_per_ton_campus</f>
        <v>0</v>
      </c>
      <c r="AH173"/>
      <c r="AI173" s="23" t="s">
        <v>293</v>
      </c>
    </row>
    <row r="174" spans="2:35" s="1" customFormat="1" hidden="1" outlineLevel="1" x14ac:dyDescent="0.25">
      <c r="B174" t="s">
        <v>154</v>
      </c>
      <c r="C174" t="s">
        <v>170</v>
      </c>
      <c r="D174" s="21">
        <f>'Core Loads'!C$368*Process_exstg_CCF_per_lb_campus+'Core Loads'!C$388*Htg_exstg_CCF_per_MMBtu_campus+'Core Loads'!C$408*Clg_exstg_CCF_per_ton_campus</f>
        <v>278436.87957137165</v>
      </c>
      <c r="E174" s="69">
        <f>'Core Loads'!D$368*Process_exstg_CCF_per_lb_campus+'Core Loads'!D$388*Htg_exstg_CCF_per_MMBtu_campus+'Core Loads'!D$408*Clg_exstg_CCF_per_ton_campus</f>
        <v>297204.70349500491</v>
      </c>
      <c r="F174" s="21">
        <f>'Core Loads'!E$368*Process_exstg_CCF_per_lb_campus+'Core Loads'!E$388*Htg_exstg_CCF_per_MMBtu_campus+'Core Loads'!E$408*Clg_exstg_CCF_per_ton_campus</f>
        <v>297204.70349500491</v>
      </c>
      <c r="G174" s="21">
        <f>'Core Loads'!F$368*Process_exstg_CCF_per_lb_campus+'Core Loads'!F$388*Htg_exstg_CCF_per_MMBtu_campus+'Core Loads'!F$408*Clg_exstg_CCF_per_ton_campus</f>
        <v>315431.18617302546</v>
      </c>
      <c r="H174" s="21">
        <f>'Core Loads'!G$368*Process_exstg_CCF_per_lb_campus+'Core Loads'!G$388*Htg_exstg_CCF_per_MMBtu_campus+'Core Loads'!G$408*Clg_exstg_CCF_per_ton_campus</f>
        <v>315431.18617302546</v>
      </c>
      <c r="I174" s="21">
        <f>'Core Loads'!H$368*Process_exstg_CCF_per_lb_campus+'Core Loads'!H$388*Htg_exstg_CCF_per_MMBtu_campus+'Core Loads'!H$408*Clg_exstg_CCF_per_ton_campus</f>
        <v>265644.10214045027</v>
      </c>
      <c r="J174" s="21">
        <f>'Core Loads'!I$368*Process_exstg_CCF_per_lb_campus+'Core Loads'!I$388*Htg_exstg_CCF_per_MMBtu_campus+'Core Loads'!I$408*Clg_exstg_CCF_per_ton_campus</f>
        <v>265644.10214045027</v>
      </c>
      <c r="K174" s="21">
        <f>'Core Loads'!J$368*Process_exstg_CCF_per_lb_campus+'Core Loads'!J$388*Htg_exstg_CCF_per_MMBtu_campus+'Core Loads'!J$408*Clg_exstg_CCF_per_ton_campus</f>
        <v>257229.09027630099</v>
      </c>
      <c r="L174" s="21">
        <f>'Core Loads'!K$368*Process_exstg_CCF_per_lb_campus+'Core Loads'!K$388*Htg_exstg_CCF_per_MMBtu_campus+'Core Loads'!K$408*Clg_exstg_CCF_per_ton_campus</f>
        <v>257229.09027630099</v>
      </c>
      <c r="M174" s="21">
        <f>'Core Loads'!L$368*Process_exstg_CCF_per_lb_campus+'Core Loads'!L$388*Htg_exstg_CCF_per_MMBtu_campus+'Core Loads'!L$408*Clg_exstg_CCF_per_ton_campus</f>
        <v>257872.45822069552</v>
      </c>
      <c r="N174" s="21">
        <f>'Core Loads'!M$368*Process_exstg_CCF_per_lb_campus+'Core Loads'!M$388*Htg_exstg_CCF_per_MMBtu_campus+'Core Loads'!M$408*Clg_exstg_CCF_per_ton_campus</f>
        <v>163921.26104779396</v>
      </c>
      <c r="O174" s="21">
        <f>'Core Loads'!N$368*Process_exstg_CCF_per_lb_campus+'Core Loads'!N$388*Htg_exstg_CCF_per_MMBtu_campus+'Core Loads'!N$408*Clg_exstg_CCF_per_ton_campus</f>
        <v>163061.68653913093</v>
      </c>
      <c r="P174" s="21">
        <f>'Core Loads'!O$368*Process_exstg_CCF_per_lb_campus+'Core Loads'!O$388*Htg_exstg_CCF_per_MMBtu_campus+'Core Loads'!O$408*Clg_exstg_CCF_per_ton_campus</f>
        <v>163061.68653913093</v>
      </c>
      <c r="Q174" s="21">
        <f>'Core Loads'!P$368*Process_exstg_CCF_per_lb_campus+'Core Loads'!P$388*Htg_exstg_CCF_per_MMBtu_campus+'Core Loads'!P$408*Clg_exstg_CCF_per_ton_campus</f>
        <v>162873.07462729324</v>
      </c>
      <c r="R174" s="21">
        <f>'Core Loads'!Q$368*Process_exstg_CCF_per_lb_campus+'Core Loads'!Q$388*Htg_exstg_CCF_per_MMBtu_campus+'Core Loads'!Q$408*Clg_exstg_CCF_per_ton_campus</f>
        <v>0</v>
      </c>
      <c r="S174" s="21">
        <f>'Core Loads'!R$368*Process_exstg_CCF_per_lb_campus+'Core Loads'!R$388*Htg_exstg_CCF_per_MMBtu_campus+'Core Loads'!R$408*Clg_exstg_CCF_per_ton_campus</f>
        <v>0</v>
      </c>
      <c r="T174" s="21">
        <f>'Core Loads'!S$368*Process_exstg_CCF_per_lb_campus+'Core Loads'!S$388*Htg_exstg_CCF_per_MMBtu_campus+'Core Loads'!S$408*Clg_exstg_CCF_per_ton_campus</f>
        <v>0</v>
      </c>
      <c r="U174" s="21">
        <f>'Core Loads'!T$368*Process_exstg_CCF_per_lb_campus+'Core Loads'!T$388*Htg_exstg_CCF_per_MMBtu_campus+'Core Loads'!T$408*Clg_exstg_CCF_per_ton_campus</f>
        <v>0</v>
      </c>
      <c r="V174" s="21">
        <f>'Core Loads'!U$368*Process_exstg_CCF_per_lb_campus+'Core Loads'!U$388*Htg_exstg_CCF_per_MMBtu_campus+'Core Loads'!U$408*Clg_exstg_CCF_per_ton_campus</f>
        <v>0</v>
      </c>
      <c r="W174" s="21">
        <f>'Core Loads'!V$368*Process_exstg_CCF_per_lb_campus+'Core Loads'!V$388*Htg_exstg_CCF_per_MMBtu_campus+'Core Loads'!V$408*Clg_exstg_CCF_per_ton_campus</f>
        <v>0</v>
      </c>
      <c r="X174" s="21">
        <f>'Core Loads'!W$368*Process_exstg_CCF_per_lb_campus+'Core Loads'!W$388*Htg_exstg_CCF_per_MMBtu_campus+'Core Loads'!W$408*Clg_exstg_CCF_per_ton_campus</f>
        <v>0</v>
      </c>
      <c r="Y174" s="21">
        <f>'Core Loads'!X$368*Process_exstg_CCF_per_lb_campus+'Core Loads'!X$388*Htg_exstg_CCF_per_MMBtu_campus+'Core Loads'!X$408*Clg_exstg_CCF_per_ton_campus</f>
        <v>0</v>
      </c>
      <c r="Z174" s="21">
        <f>'Core Loads'!Y$368*Process_exstg_CCF_per_lb_campus+'Core Loads'!Y$388*Htg_exstg_CCF_per_MMBtu_campus+'Core Loads'!Y$408*Clg_exstg_CCF_per_ton_campus</f>
        <v>0</v>
      </c>
      <c r="AA174" s="21">
        <f>'Core Loads'!Z$368*Process_exstg_CCF_per_lb_campus+'Core Loads'!Z$388*Htg_exstg_CCF_per_MMBtu_campus+'Core Loads'!Z$408*Clg_exstg_CCF_per_ton_campus</f>
        <v>0</v>
      </c>
      <c r="AB174" s="21">
        <f>'Core Loads'!AA$368*Process_exstg_CCF_per_lb_campus+'Core Loads'!AA$388*Htg_exstg_CCF_per_MMBtu_campus+'Core Loads'!AA$408*Clg_exstg_CCF_per_ton_campus</f>
        <v>0</v>
      </c>
      <c r="AC174" s="21">
        <f>'Core Loads'!AB$368*Process_exstg_CCF_per_lb_campus+'Core Loads'!AB$388*Htg_exstg_CCF_per_MMBtu_campus+'Core Loads'!AB$408*Clg_exstg_CCF_per_ton_campus</f>
        <v>0</v>
      </c>
      <c r="AD174" s="21">
        <f>'Core Loads'!AC$368*Process_exstg_CCF_per_lb_campus+'Core Loads'!AC$388*Htg_exstg_CCF_per_MMBtu_campus+'Core Loads'!AC$408*Clg_exstg_CCF_per_ton_campus</f>
        <v>0</v>
      </c>
      <c r="AE174" s="21">
        <f>'Core Loads'!AD$368*Process_exstg_CCF_per_lb_campus+'Core Loads'!AD$388*Htg_exstg_CCF_per_MMBtu_campus+'Core Loads'!AD$408*Clg_exstg_CCF_per_ton_campus</f>
        <v>0</v>
      </c>
      <c r="AF174" s="21">
        <f>'Core Loads'!AE$368*Process_exstg_CCF_per_lb_campus+'Core Loads'!AE$388*Htg_exstg_CCF_per_MMBtu_campus+'Core Loads'!AE$408*Clg_exstg_CCF_per_ton_campus</f>
        <v>0</v>
      </c>
      <c r="AG174" s="21">
        <f>'Core Loads'!AF$368*Process_exstg_CCF_per_lb_campus+'Core Loads'!AF$388*Htg_exstg_CCF_per_MMBtu_campus+'Core Loads'!AF$408*Clg_exstg_CCF_per_ton_campus</f>
        <v>0</v>
      </c>
      <c r="AH174"/>
      <c r="AI174" s="23" t="s">
        <v>293</v>
      </c>
    </row>
    <row r="175" spans="2:35" hidden="1" outlineLevel="1" x14ac:dyDescent="0.25"/>
    <row r="176" spans="2:35" s="1" customFormat="1" ht="17.25" hidden="1" outlineLevel="1" thickBot="1" x14ac:dyDescent="0.3">
      <c r="B176" s="19" t="s">
        <v>280</v>
      </c>
      <c r="C176" s="19"/>
      <c r="D176" s="19"/>
      <c r="E176" s="67"/>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row>
    <row r="177" spans="2:35" s="1" customFormat="1" ht="16.5" hidden="1" outlineLevel="1" thickTop="1" thickBot="1" x14ac:dyDescent="0.3">
      <c r="B177" s="20" t="s">
        <v>292</v>
      </c>
      <c r="C177" s="20" t="s">
        <v>13</v>
      </c>
      <c r="D177" s="20" t="s">
        <v>17</v>
      </c>
      <c r="E177" s="68"/>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t="s">
        <v>15</v>
      </c>
    </row>
    <row r="178" spans="2:35" hidden="1" outlineLevel="1" x14ac:dyDescent="0.25">
      <c r="D178" s="8">
        <f>'Core Loads'!$C$14</f>
        <v>2025</v>
      </c>
      <c r="E178" s="62">
        <f>'Core Loads'!$D$14</f>
        <v>2026</v>
      </c>
      <c r="F178" s="8">
        <f>'Core Loads'!$E$14</f>
        <v>2027</v>
      </c>
      <c r="G178" s="8">
        <f>'Core Loads'!$F$14</f>
        <v>2028</v>
      </c>
      <c r="H178" s="8">
        <f>'Core Loads'!$G$14</f>
        <v>2029</v>
      </c>
      <c r="I178" s="8">
        <f>'Core Loads'!$H$14</f>
        <v>2030</v>
      </c>
      <c r="J178" s="8">
        <f>'Core Loads'!$I$14</f>
        <v>2031</v>
      </c>
      <c r="K178" s="8">
        <f>'Core Loads'!$J$14</f>
        <v>2032</v>
      </c>
      <c r="L178" s="8">
        <f>'Core Loads'!$K$14</f>
        <v>2033</v>
      </c>
      <c r="M178" s="8">
        <f>'Core Loads'!$L$14</f>
        <v>2034</v>
      </c>
      <c r="N178" s="8">
        <f>'Core Loads'!$M$14</f>
        <v>2035</v>
      </c>
      <c r="O178" s="8">
        <f>'Core Loads'!$N$14</f>
        <v>2036</v>
      </c>
      <c r="P178" s="8">
        <f>'Core Loads'!$O$14</f>
        <v>2037</v>
      </c>
      <c r="Q178" s="8">
        <f>'Core Loads'!$P$14</f>
        <v>2038</v>
      </c>
      <c r="R178" s="8">
        <f>'Core Loads'!$Q$14</f>
        <v>2039</v>
      </c>
      <c r="S178" s="8">
        <f>'Core Loads'!$R$14</f>
        <v>2040</v>
      </c>
      <c r="T178" s="8">
        <f>'Core Loads'!$S$14</f>
        <v>2041</v>
      </c>
      <c r="U178" s="8">
        <f>'Core Loads'!$T$14</f>
        <v>2042</v>
      </c>
      <c r="V178" s="8">
        <f>'Core Loads'!$U$14</f>
        <v>2043</v>
      </c>
      <c r="W178" s="8">
        <f>'Core Loads'!$V$14</f>
        <v>2044</v>
      </c>
      <c r="X178" s="8">
        <f>'Core Loads'!$W$14</f>
        <v>2045</v>
      </c>
      <c r="Y178" s="8">
        <f>'Core Loads'!$X$14</f>
        <v>2046</v>
      </c>
      <c r="Z178" s="8">
        <f>'Core Loads'!$Y$14</f>
        <v>2047</v>
      </c>
      <c r="AA178" s="8">
        <f>'Core Loads'!$Z$14</f>
        <v>2048</v>
      </c>
      <c r="AB178" s="8">
        <f>'Core Loads'!$AA$14</f>
        <v>2049</v>
      </c>
      <c r="AC178" s="8">
        <f>'Core Loads'!$AB$14</f>
        <v>2050</v>
      </c>
      <c r="AD178" s="8">
        <f>'Core Loads'!$AC$14</f>
        <v>2051</v>
      </c>
      <c r="AE178" s="8">
        <f>'Core Loads'!$AD$14</f>
        <v>2052</v>
      </c>
      <c r="AF178" s="8">
        <f>'Core Loads'!$AE$14</f>
        <v>2053</v>
      </c>
      <c r="AG178" s="8">
        <f>'Core Loads'!$AF$14</f>
        <v>2054</v>
      </c>
    </row>
    <row r="179" spans="2:35" s="1" customFormat="1" hidden="1" outlineLevel="1" x14ac:dyDescent="0.25">
      <c r="B179" t="s">
        <v>141</v>
      </c>
      <c r="C179" t="s">
        <v>109</v>
      </c>
      <c r="D179" s="21">
        <f>'Core Loads'!C$357*Elec_8B_kWh_per_kWh_campus+'Core Loads'!C$377*Process_8B_kWh_per_lb_campus+'Core Loads'!C$397*Htg_8B_kWh_per_MMBtu_campus+'Core Loads'!C$417*Clg_8B_kWh_per_ton_campus</f>
        <v>0</v>
      </c>
      <c r="E179" s="21">
        <f>'Core Loads'!D$357*Elec_8B_kWh_per_kWh_campus+'Core Loads'!D$377*Process_8B_kWh_per_lb_campus+'Core Loads'!D$397*Htg_8B_kWh_per_MMBtu_campus+'Core Loads'!D$417*Clg_8B_kWh_per_ton_campus</f>
        <v>0</v>
      </c>
      <c r="F179" s="21">
        <f>'Core Loads'!E$357*Elec_8B_kWh_per_kWh_campus+'Core Loads'!E$377*Process_8B_kWh_per_lb_campus+'Core Loads'!E$397*Htg_8B_kWh_per_MMBtu_campus+'Core Loads'!E$417*Clg_8B_kWh_per_ton_campus</f>
        <v>0</v>
      </c>
      <c r="G179" s="21">
        <f>'Core Loads'!F$357*Elec_8B_kWh_per_kWh_campus+'Core Loads'!F$377*Process_8B_kWh_per_lb_campus+'Core Loads'!F$397*Htg_8B_kWh_per_MMBtu_campus+'Core Loads'!F$417*Clg_8B_kWh_per_ton_campus</f>
        <v>0</v>
      </c>
      <c r="H179" s="21">
        <f>'Core Loads'!G$357*Elec_8B_kWh_per_kWh_campus+'Core Loads'!G$377*Process_8B_kWh_per_lb_campus+'Core Loads'!G$397*Htg_8B_kWh_per_MMBtu_campus+'Core Loads'!G$417*Clg_8B_kWh_per_ton_campus</f>
        <v>0</v>
      </c>
      <c r="I179" s="21">
        <f>'Core Loads'!H$357*Elec_8B_kWh_per_kWh_campus+'Core Loads'!H$377*Process_8B_kWh_per_lb_campus+'Core Loads'!H$397*Htg_8B_kWh_per_MMBtu_campus+'Core Loads'!H$417*Clg_8B_kWh_per_ton_campus</f>
        <v>86109327.407173723</v>
      </c>
      <c r="J179" s="21">
        <f>'Core Loads'!I$357*Elec_8B_kWh_per_kWh_campus+'Core Loads'!I$377*Process_8B_kWh_per_lb_campus+'Core Loads'!I$397*Htg_8B_kWh_per_MMBtu_campus+'Core Loads'!I$417*Clg_8B_kWh_per_ton_campus</f>
        <v>86109327.407173723</v>
      </c>
      <c r="K179" s="21">
        <f>'Core Loads'!J$357*Elec_8B_kWh_per_kWh_campus+'Core Loads'!J$377*Process_8B_kWh_per_lb_campus+'Core Loads'!J$397*Htg_8B_kWh_per_MMBtu_campus+'Core Loads'!J$417*Clg_8B_kWh_per_ton_campus</f>
        <v>80106481.390983865</v>
      </c>
      <c r="L179" s="21">
        <f>'Core Loads'!K$357*Elec_8B_kWh_per_kWh_campus+'Core Loads'!K$377*Process_8B_kWh_per_lb_campus+'Core Loads'!K$397*Htg_8B_kWh_per_MMBtu_campus+'Core Loads'!K$417*Clg_8B_kWh_per_ton_campus</f>
        <v>80106481.390983865</v>
      </c>
      <c r="M179" s="21">
        <f>'Core Loads'!L$357*Elec_8B_kWh_per_kWh_campus+'Core Loads'!L$377*Process_8B_kWh_per_lb_campus+'Core Loads'!L$397*Htg_8B_kWh_per_MMBtu_campus+'Core Loads'!L$417*Clg_8B_kWh_per_ton_campus</f>
        <v>80106481.390983865</v>
      </c>
      <c r="N179" s="21">
        <f>'Core Loads'!M$357*Elec_8B_kWh_per_kWh_campus+'Core Loads'!M$377*Process_8B_kWh_per_lb_campus+'Core Loads'!M$397*Htg_8B_kWh_per_MMBtu_campus+'Core Loads'!M$417*Clg_8B_kWh_per_ton_campus</f>
        <v>163130613.39075255</v>
      </c>
      <c r="O179" s="21">
        <f>'Core Loads'!N$357*Elec_8B_kWh_per_kWh_campus+'Core Loads'!N$377*Process_8B_kWh_per_lb_campus+'Core Loads'!N$397*Htg_8B_kWh_per_MMBtu_campus+'Core Loads'!N$417*Clg_8B_kWh_per_ton_campus</f>
        <v>160341438.81591618</v>
      </c>
      <c r="P179" s="21">
        <f>'Core Loads'!O$357*Elec_8B_kWh_per_kWh_campus+'Core Loads'!O$377*Process_8B_kWh_per_lb_campus+'Core Loads'!O$397*Htg_8B_kWh_per_MMBtu_campus+'Core Loads'!O$417*Clg_8B_kWh_per_ton_campus</f>
        <v>160341438.81591618</v>
      </c>
      <c r="Q179" s="21">
        <f>'Core Loads'!P$357*Elec_8B_kWh_per_kWh_campus+'Core Loads'!P$377*Process_8B_kWh_per_lb_campus+'Core Loads'!P$397*Htg_8B_kWh_per_MMBtu_campus+'Core Loads'!P$417*Clg_8B_kWh_per_ton_campus</f>
        <v>159711102.44740382</v>
      </c>
      <c r="R179" s="21">
        <f>'Core Loads'!Q$357*Elec_8B_kWh_per_kWh_campus+'Core Loads'!Q$377*Process_8B_kWh_per_lb_campus+'Core Loads'!Q$397*Htg_8B_kWh_per_MMBtu_campus+'Core Loads'!Q$417*Clg_8B_kWh_per_ton_campus</f>
        <v>288547578.93882811</v>
      </c>
      <c r="S179" s="21">
        <f>'Core Loads'!R$357*Elec_8B_kWh_per_kWh_campus+'Core Loads'!R$377*Process_8B_kWh_per_lb_campus+'Core Loads'!R$397*Htg_8B_kWh_per_MMBtu_campus+'Core Loads'!R$417*Clg_8B_kWh_per_ton_campus</f>
        <v>335013877.19102746</v>
      </c>
      <c r="T179" s="21">
        <f>'Core Loads'!S$357*Elec_8B_kWh_per_kWh_campus+'Core Loads'!S$377*Process_8B_kWh_per_lb_campus+'Core Loads'!S$397*Htg_8B_kWh_per_MMBtu_campus+'Core Loads'!S$417*Clg_8B_kWh_per_ton_campus</f>
        <v>335013877.19102746</v>
      </c>
      <c r="U179" s="21">
        <f>'Core Loads'!T$357*Elec_8B_kWh_per_kWh_campus+'Core Loads'!T$377*Process_8B_kWh_per_lb_campus+'Core Loads'!T$397*Htg_8B_kWh_per_MMBtu_campus+'Core Loads'!T$417*Clg_8B_kWh_per_ton_campus</f>
        <v>334718852.84177649</v>
      </c>
      <c r="V179" s="21">
        <f>'Core Loads'!U$357*Elec_8B_kWh_per_kWh_campus+'Core Loads'!U$377*Process_8B_kWh_per_lb_campus+'Core Loads'!U$397*Htg_8B_kWh_per_MMBtu_campus+'Core Loads'!U$417*Clg_8B_kWh_per_ton_campus</f>
        <v>334718852.84177649</v>
      </c>
      <c r="W179" s="21">
        <f>'Core Loads'!V$357*Elec_8B_kWh_per_kWh_campus+'Core Loads'!V$377*Process_8B_kWh_per_lb_campus+'Core Loads'!V$397*Htg_8B_kWh_per_MMBtu_campus+'Core Loads'!V$417*Clg_8B_kWh_per_ton_campus</f>
        <v>333915837.3704766</v>
      </c>
      <c r="X179" s="21">
        <f>'Core Loads'!W$357*Elec_8B_kWh_per_kWh_campus+'Core Loads'!W$377*Process_8B_kWh_per_lb_campus+'Core Loads'!W$397*Htg_8B_kWh_per_MMBtu_campus+'Core Loads'!W$417*Clg_8B_kWh_per_ton_campus</f>
        <v>333915837.3704766</v>
      </c>
      <c r="Y179" s="21">
        <f>'Core Loads'!X$357*Elec_8B_kWh_per_kWh_campus+'Core Loads'!X$377*Process_8B_kWh_per_lb_campus+'Core Loads'!X$397*Htg_8B_kWh_per_MMBtu_campus+'Core Loads'!X$417*Clg_8B_kWh_per_ton_campus</f>
        <v>333915837.3704766</v>
      </c>
      <c r="Z179" s="21">
        <f>'Core Loads'!Y$357*Elec_8B_kWh_per_kWh_campus+'Core Loads'!Y$377*Process_8B_kWh_per_lb_campus+'Core Loads'!Y$397*Htg_8B_kWh_per_MMBtu_campus+'Core Loads'!Y$417*Clg_8B_kWh_per_ton_campus</f>
        <v>333915837.3704766</v>
      </c>
      <c r="AA179" s="21">
        <f>'Core Loads'!Z$357*Elec_8B_kWh_per_kWh_campus+'Core Loads'!Z$377*Process_8B_kWh_per_lb_campus+'Core Loads'!Z$397*Htg_8B_kWh_per_MMBtu_campus+'Core Loads'!Z$417*Clg_8B_kWh_per_ton_campus</f>
        <v>333915837.3704766</v>
      </c>
      <c r="AB179" s="21">
        <f>'Core Loads'!AA$357*Elec_8B_kWh_per_kWh_campus+'Core Loads'!AA$377*Process_8B_kWh_per_lb_campus+'Core Loads'!AA$397*Htg_8B_kWh_per_MMBtu_campus+'Core Loads'!AA$417*Clg_8B_kWh_per_ton_campus</f>
        <v>333915837.3704766</v>
      </c>
      <c r="AC179" s="21">
        <f>'Core Loads'!AB$357*Elec_8B_kWh_per_kWh_campus+'Core Loads'!AB$377*Process_8B_kWh_per_lb_campus+'Core Loads'!AB$397*Htg_8B_kWh_per_MMBtu_campus+'Core Loads'!AB$417*Clg_8B_kWh_per_ton_campus</f>
        <v>332979183.86950195</v>
      </c>
      <c r="AD179" s="21">
        <f>'Core Loads'!AC$357*Elec_8B_kWh_per_kWh_campus+'Core Loads'!AC$377*Process_8B_kWh_per_lb_campus+'Core Loads'!AC$397*Htg_8B_kWh_per_MMBtu_campus+'Core Loads'!AC$417*Clg_8B_kWh_per_ton_campus</f>
        <v>332979183.86950195</v>
      </c>
      <c r="AE179" s="21">
        <f>'Core Loads'!AD$357*Elec_8B_kWh_per_kWh_campus+'Core Loads'!AD$377*Process_8B_kWh_per_lb_campus+'Core Loads'!AD$397*Htg_8B_kWh_per_MMBtu_campus+'Core Loads'!AD$417*Clg_8B_kWh_per_ton_campus</f>
        <v>332979183.86950195</v>
      </c>
      <c r="AF179" s="21">
        <f>'Core Loads'!AE$357*Elec_8B_kWh_per_kWh_campus+'Core Loads'!AE$377*Process_8B_kWh_per_lb_campus+'Core Loads'!AE$397*Htg_8B_kWh_per_MMBtu_campus+'Core Loads'!AE$417*Clg_8B_kWh_per_ton_campus</f>
        <v>332979183.86950195</v>
      </c>
      <c r="AG179" s="21">
        <f>'Core Loads'!AF$357*Elec_8B_kWh_per_kWh_campus+'Core Loads'!AF$377*Process_8B_kWh_per_lb_campus+'Core Loads'!AF$397*Htg_8B_kWh_per_MMBtu_campus+'Core Loads'!AF$417*Clg_8B_kWh_per_ton_campus</f>
        <v>332979183.86950195</v>
      </c>
      <c r="AH179"/>
      <c r="AI179" s="23" t="s">
        <v>293</v>
      </c>
    </row>
    <row r="180" spans="2:35" s="1" customFormat="1" hidden="1" outlineLevel="1" x14ac:dyDescent="0.25">
      <c r="B180" t="s">
        <v>136</v>
      </c>
      <c r="C180" t="s">
        <v>169</v>
      </c>
      <c r="D180" s="21">
        <f>'Core Loads'!C$377*Process_8B_therm_per_lb_campus+'Core Loads'!C$397*Htg_8B_therm_per_MMBtu_campus</f>
        <v>0</v>
      </c>
      <c r="E180" s="21">
        <f>'Core Loads'!D$377*Process_8B_therm_per_lb_campus+'Core Loads'!D$397*Htg_8B_therm_per_MMBtu_campus</f>
        <v>0</v>
      </c>
      <c r="F180" s="21">
        <f>'Core Loads'!E$377*Process_8B_therm_per_lb_campus+'Core Loads'!E$397*Htg_8B_therm_per_MMBtu_campus</f>
        <v>0</v>
      </c>
      <c r="G180" s="21">
        <f>'Core Loads'!F$377*Process_8B_therm_per_lb_campus+'Core Loads'!F$397*Htg_8B_therm_per_MMBtu_campus</f>
        <v>0</v>
      </c>
      <c r="H180" s="21">
        <f>'Core Loads'!G$377*Process_8B_therm_per_lb_campus+'Core Loads'!G$397*Htg_8B_therm_per_MMBtu_campus</f>
        <v>0</v>
      </c>
      <c r="I180" s="21">
        <f>'Core Loads'!H$377*Process_8B_therm_per_lb_campus+'Core Loads'!H$397*Htg_8B_therm_per_MMBtu_campus</f>
        <v>0</v>
      </c>
      <c r="J180" s="21">
        <f>'Core Loads'!I$377*Process_8B_therm_per_lb_campus+'Core Loads'!I$397*Htg_8B_therm_per_MMBtu_campus</f>
        <v>0</v>
      </c>
      <c r="K180" s="21">
        <f>'Core Loads'!J$377*Process_8B_therm_per_lb_campus+'Core Loads'!J$397*Htg_8B_therm_per_MMBtu_campus</f>
        <v>0</v>
      </c>
      <c r="L180" s="21">
        <f>'Core Loads'!K$377*Process_8B_therm_per_lb_campus+'Core Loads'!K$397*Htg_8B_therm_per_MMBtu_campus</f>
        <v>0</v>
      </c>
      <c r="M180" s="21">
        <f>'Core Loads'!L$377*Process_8B_therm_per_lb_campus+'Core Loads'!L$397*Htg_8B_therm_per_MMBtu_campus</f>
        <v>0</v>
      </c>
      <c r="N180" s="21">
        <f>'Core Loads'!M$377*Process_8B_therm_per_lb_campus+'Core Loads'!M$397*Htg_8B_therm_per_MMBtu_campus</f>
        <v>0</v>
      </c>
      <c r="O180" s="21">
        <f>'Core Loads'!N$377*Process_8B_therm_per_lb_campus+'Core Loads'!N$397*Htg_8B_therm_per_MMBtu_campus</f>
        <v>0</v>
      </c>
      <c r="P180" s="21">
        <f>'Core Loads'!O$377*Process_8B_therm_per_lb_campus+'Core Loads'!O$397*Htg_8B_therm_per_MMBtu_campus</f>
        <v>0</v>
      </c>
      <c r="Q180" s="21">
        <f>'Core Loads'!P$377*Process_8B_therm_per_lb_campus+'Core Loads'!P$397*Htg_8B_therm_per_MMBtu_campus</f>
        <v>0</v>
      </c>
      <c r="R180" s="21">
        <f>'Core Loads'!Q$377*Process_8B_therm_per_lb_campus+'Core Loads'!Q$397*Htg_8B_therm_per_MMBtu_campus</f>
        <v>0</v>
      </c>
      <c r="S180" s="21">
        <f>'Core Loads'!R$377*Process_8B_therm_per_lb_campus+'Core Loads'!R$397*Htg_8B_therm_per_MMBtu_campus</f>
        <v>0</v>
      </c>
      <c r="T180" s="21">
        <f>'Core Loads'!S$377*Process_8B_therm_per_lb_campus+'Core Loads'!S$397*Htg_8B_therm_per_MMBtu_campus</f>
        <v>0</v>
      </c>
      <c r="U180" s="21">
        <f>'Core Loads'!T$377*Process_8B_therm_per_lb_campus+'Core Loads'!T$397*Htg_8B_therm_per_MMBtu_campus</f>
        <v>0</v>
      </c>
      <c r="V180" s="21">
        <f>'Core Loads'!U$377*Process_8B_therm_per_lb_campus+'Core Loads'!U$397*Htg_8B_therm_per_MMBtu_campus</f>
        <v>0</v>
      </c>
      <c r="W180" s="21">
        <f>'Core Loads'!V$377*Process_8B_therm_per_lb_campus+'Core Loads'!V$397*Htg_8B_therm_per_MMBtu_campus</f>
        <v>0</v>
      </c>
      <c r="X180" s="21">
        <f>'Core Loads'!W$377*Process_8B_therm_per_lb_campus+'Core Loads'!W$397*Htg_8B_therm_per_MMBtu_campus</f>
        <v>0</v>
      </c>
      <c r="Y180" s="21">
        <f>'Core Loads'!X$377*Process_8B_therm_per_lb_campus+'Core Loads'!X$397*Htg_8B_therm_per_MMBtu_campus</f>
        <v>0</v>
      </c>
      <c r="Z180" s="21">
        <f>'Core Loads'!Y$377*Process_8B_therm_per_lb_campus+'Core Loads'!Y$397*Htg_8B_therm_per_MMBtu_campus</f>
        <v>0</v>
      </c>
      <c r="AA180" s="21">
        <f>'Core Loads'!Z$377*Process_8B_therm_per_lb_campus+'Core Loads'!Z$397*Htg_8B_therm_per_MMBtu_campus</f>
        <v>0</v>
      </c>
      <c r="AB180" s="21">
        <f>'Core Loads'!AA$377*Process_8B_therm_per_lb_campus+'Core Loads'!AA$397*Htg_8B_therm_per_MMBtu_campus</f>
        <v>0</v>
      </c>
      <c r="AC180" s="21">
        <f>'Core Loads'!AB$377*Process_8B_therm_per_lb_campus+'Core Loads'!AB$397*Htg_8B_therm_per_MMBtu_campus</f>
        <v>0</v>
      </c>
      <c r="AD180" s="21">
        <f>'Core Loads'!AC$377*Process_8B_therm_per_lb_campus+'Core Loads'!AC$397*Htg_8B_therm_per_MMBtu_campus</f>
        <v>0</v>
      </c>
      <c r="AE180" s="21">
        <f>'Core Loads'!AD$377*Process_8B_therm_per_lb_campus+'Core Loads'!AD$397*Htg_8B_therm_per_MMBtu_campus</f>
        <v>0</v>
      </c>
      <c r="AF180" s="21">
        <f>'Core Loads'!AE$377*Process_8B_therm_per_lb_campus+'Core Loads'!AE$397*Htg_8B_therm_per_MMBtu_campus</f>
        <v>0</v>
      </c>
      <c r="AG180" s="21">
        <f>'Core Loads'!AF$377*Process_8B_therm_per_lb_campus+'Core Loads'!AF$397*Htg_8B_therm_per_MMBtu_campus</f>
        <v>0</v>
      </c>
      <c r="AH180"/>
      <c r="AI180" s="23" t="s">
        <v>293</v>
      </c>
    </row>
    <row r="181" spans="2:35" s="1" customFormat="1" hidden="1" outlineLevel="1" x14ac:dyDescent="0.25">
      <c r="B181" t="s">
        <v>154</v>
      </c>
      <c r="C181" t="s">
        <v>170</v>
      </c>
      <c r="D181" s="21">
        <f>'Core Loads'!C$377*Process_8B_CCF_per_lb_campus+'Core Loads'!C$397*Htg_8B_CCF_per_MMBtu_campus+'Core Loads'!C$417*Clg_8B_CCF_per_ton_campus</f>
        <v>0</v>
      </c>
      <c r="E181" s="21">
        <f>'Core Loads'!D$377*Process_8B_CCF_per_lb_campus+'Core Loads'!D$397*Htg_8B_CCF_per_MMBtu_campus+'Core Loads'!D$417*Clg_8B_CCF_per_ton_campus</f>
        <v>0</v>
      </c>
      <c r="F181" s="21">
        <f>'Core Loads'!E$377*Process_8B_CCF_per_lb_campus+'Core Loads'!E$397*Htg_8B_CCF_per_MMBtu_campus+'Core Loads'!E$417*Clg_8B_CCF_per_ton_campus</f>
        <v>0</v>
      </c>
      <c r="G181" s="21">
        <f>'Core Loads'!F$377*Process_8B_CCF_per_lb_campus+'Core Loads'!F$397*Htg_8B_CCF_per_MMBtu_campus+'Core Loads'!F$417*Clg_8B_CCF_per_ton_campus</f>
        <v>0</v>
      </c>
      <c r="H181" s="21">
        <f>'Core Loads'!G$377*Process_8B_CCF_per_lb_campus+'Core Loads'!G$397*Htg_8B_CCF_per_MMBtu_campus+'Core Loads'!G$417*Clg_8B_CCF_per_ton_campus</f>
        <v>0</v>
      </c>
      <c r="I181" s="21">
        <f>'Core Loads'!H$377*Process_8B_CCF_per_lb_campus+'Core Loads'!H$397*Htg_8B_CCF_per_MMBtu_campus+'Core Loads'!H$417*Clg_8B_CCF_per_ton_campus</f>
        <v>48260.29863104644</v>
      </c>
      <c r="J181" s="21">
        <f>'Core Loads'!I$377*Process_8B_CCF_per_lb_campus+'Core Loads'!I$397*Htg_8B_CCF_per_MMBtu_campus+'Core Loads'!I$417*Clg_8B_CCF_per_ton_campus</f>
        <v>48260.29863104644</v>
      </c>
      <c r="K181" s="21">
        <f>'Core Loads'!J$377*Process_8B_CCF_per_lb_campus+'Core Loads'!J$397*Htg_8B_CCF_per_MMBtu_campus+'Core Loads'!J$417*Clg_8B_CCF_per_ton_campus</f>
        <v>46089.012098367675</v>
      </c>
      <c r="L181" s="21">
        <f>'Core Loads'!K$377*Process_8B_CCF_per_lb_campus+'Core Loads'!K$397*Htg_8B_CCF_per_MMBtu_campus+'Core Loads'!K$417*Clg_8B_CCF_per_ton_campus</f>
        <v>46089.012098367675</v>
      </c>
      <c r="M181" s="21">
        <f>'Core Loads'!L$377*Process_8B_CCF_per_lb_campus+'Core Loads'!L$397*Htg_8B_CCF_per_MMBtu_campus+'Core Loads'!L$417*Clg_8B_CCF_per_ton_campus</f>
        <v>46089.012098367675</v>
      </c>
      <c r="N181" s="21">
        <f>'Core Loads'!M$377*Process_8B_CCF_per_lb_campus+'Core Loads'!M$397*Htg_8B_CCF_per_MMBtu_campus+'Core Loads'!M$417*Clg_8B_CCF_per_ton_campus</f>
        <v>97954.037301243225</v>
      </c>
      <c r="O181" s="21">
        <f>'Core Loads'!N$377*Process_8B_CCF_per_lb_campus+'Core Loads'!N$397*Htg_8B_CCF_per_MMBtu_campus+'Core Loads'!N$417*Clg_8B_CCF_per_ton_campus</f>
        <v>96450.688634322301</v>
      </c>
      <c r="P181" s="21">
        <f>'Core Loads'!O$377*Process_8B_CCF_per_lb_campus+'Core Loads'!O$397*Htg_8B_CCF_per_MMBtu_campus+'Core Loads'!O$417*Clg_8B_CCF_per_ton_campus</f>
        <v>96450.688634322301</v>
      </c>
      <c r="Q181" s="21">
        <f>'Core Loads'!P$377*Process_8B_CCF_per_lb_campus+'Core Loads'!P$397*Htg_8B_CCF_per_MMBtu_campus+'Core Loads'!P$417*Clg_8B_CCF_per_ton_campus</f>
        <v>96130.11180864679</v>
      </c>
      <c r="R181" s="21">
        <f>'Core Loads'!Q$377*Process_8B_CCF_per_lb_campus+'Core Loads'!Q$397*Htg_8B_CCF_per_MMBtu_campus+'Core Loads'!Q$417*Clg_8B_CCF_per_ton_campus</f>
        <v>204633.07936726013</v>
      </c>
      <c r="S181" s="21">
        <f>'Core Loads'!R$377*Process_8B_CCF_per_lb_campus+'Core Loads'!R$397*Htg_8B_CCF_per_MMBtu_campus+'Core Loads'!R$417*Clg_8B_CCF_per_ton_campus</f>
        <v>235413.66560315649</v>
      </c>
      <c r="T181" s="21">
        <f>'Core Loads'!S$377*Process_8B_CCF_per_lb_campus+'Core Loads'!S$397*Htg_8B_CCF_per_MMBtu_campus+'Core Loads'!S$417*Clg_8B_CCF_per_ton_campus</f>
        <v>235413.66560315649</v>
      </c>
      <c r="U181" s="21">
        <f>'Core Loads'!T$377*Process_8B_CCF_per_lb_campus+'Core Loads'!T$397*Htg_8B_CCF_per_MMBtu_campus+'Core Loads'!T$417*Clg_8B_CCF_per_ton_campus</f>
        <v>235347.17748572759</v>
      </c>
      <c r="V181" s="21">
        <f>'Core Loads'!U$377*Process_8B_CCF_per_lb_campus+'Core Loads'!U$397*Htg_8B_CCF_per_MMBtu_campus+'Core Loads'!U$417*Clg_8B_CCF_per_ton_campus</f>
        <v>235347.17748572759</v>
      </c>
      <c r="W181" s="21">
        <f>'Core Loads'!V$377*Process_8B_CCF_per_lb_campus+'Core Loads'!V$397*Htg_8B_CCF_per_MMBtu_campus+'Core Loads'!V$417*Clg_8B_CCF_per_ton_campus</f>
        <v>234792.7286685353</v>
      </c>
      <c r="X181" s="21">
        <f>'Core Loads'!W$377*Process_8B_CCF_per_lb_campus+'Core Loads'!W$397*Htg_8B_CCF_per_MMBtu_campus+'Core Loads'!W$417*Clg_8B_CCF_per_ton_campus</f>
        <v>234792.7286685353</v>
      </c>
      <c r="Y181" s="21">
        <f>'Core Loads'!X$377*Process_8B_CCF_per_lb_campus+'Core Loads'!X$397*Htg_8B_CCF_per_MMBtu_campus+'Core Loads'!X$417*Clg_8B_CCF_per_ton_campus</f>
        <v>234792.7286685353</v>
      </c>
      <c r="Z181" s="21">
        <f>'Core Loads'!Y$377*Process_8B_CCF_per_lb_campus+'Core Loads'!Y$397*Htg_8B_CCF_per_MMBtu_campus+'Core Loads'!Y$417*Clg_8B_CCF_per_ton_campus</f>
        <v>234792.7286685353</v>
      </c>
      <c r="AA181" s="21">
        <f>'Core Loads'!Z$377*Process_8B_CCF_per_lb_campus+'Core Loads'!Z$397*Htg_8B_CCF_per_MMBtu_campus+'Core Loads'!Z$417*Clg_8B_CCF_per_ton_campus</f>
        <v>234792.7286685353</v>
      </c>
      <c r="AB181" s="21">
        <f>'Core Loads'!AA$377*Process_8B_CCF_per_lb_campus+'Core Loads'!AA$397*Htg_8B_CCF_per_MMBtu_campus+'Core Loads'!AA$417*Clg_8B_CCF_per_ton_campus</f>
        <v>234792.7286685353</v>
      </c>
      <c r="AC181" s="21">
        <f>'Core Loads'!AB$377*Process_8B_CCF_per_lb_campus+'Core Loads'!AB$397*Htg_8B_CCF_per_MMBtu_campus+'Core Loads'!AB$417*Clg_8B_CCF_per_ton_campus</f>
        <v>234058.0807872047</v>
      </c>
      <c r="AD181" s="21">
        <f>'Core Loads'!AC$377*Process_8B_CCF_per_lb_campus+'Core Loads'!AC$397*Htg_8B_CCF_per_MMBtu_campus+'Core Loads'!AC$417*Clg_8B_CCF_per_ton_campus</f>
        <v>234058.0807872047</v>
      </c>
      <c r="AE181" s="21">
        <f>'Core Loads'!AD$377*Process_8B_CCF_per_lb_campus+'Core Loads'!AD$397*Htg_8B_CCF_per_MMBtu_campus+'Core Loads'!AD$417*Clg_8B_CCF_per_ton_campus</f>
        <v>234058.0807872047</v>
      </c>
      <c r="AF181" s="21">
        <f>'Core Loads'!AE$377*Process_8B_CCF_per_lb_campus+'Core Loads'!AE$397*Htg_8B_CCF_per_MMBtu_campus+'Core Loads'!AE$417*Clg_8B_CCF_per_ton_campus</f>
        <v>234058.0807872047</v>
      </c>
      <c r="AG181" s="21">
        <f>'Core Loads'!AF$377*Process_8B_CCF_per_lb_campus+'Core Loads'!AF$397*Htg_8B_CCF_per_MMBtu_campus+'Core Loads'!AF$417*Clg_8B_CCF_per_ton_campus</f>
        <v>234058.0807872047</v>
      </c>
      <c r="AH181"/>
      <c r="AI181" s="23" t="s">
        <v>293</v>
      </c>
    </row>
    <row r="182" spans="2:35" ht="15.75" collapsed="1" thickTop="1" x14ac:dyDescent="0.25"/>
    <row r="184" spans="2:35" s="1" customFormat="1" ht="20.25" thickBot="1" x14ac:dyDescent="0.35">
      <c r="B184" s="60" t="s">
        <v>288</v>
      </c>
      <c r="C184" s="18"/>
      <c r="D184" s="18"/>
      <c r="E184" s="25"/>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row>
    <row r="185" spans="2:35" s="1" customFormat="1" ht="18" hidden="1" outlineLevel="1" thickTop="1" thickBot="1" x14ac:dyDescent="0.3">
      <c r="B185" s="19" t="s">
        <v>278</v>
      </c>
      <c r="C185" s="19"/>
      <c r="D185" s="19"/>
      <c r="E185" s="67"/>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row>
    <row r="186" spans="2:35" s="1" customFormat="1" ht="16.5" hidden="1" outlineLevel="1" thickTop="1" thickBot="1" x14ac:dyDescent="0.3">
      <c r="B186" s="20" t="s">
        <v>292</v>
      </c>
      <c r="C186" s="20" t="s">
        <v>13</v>
      </c>
      <c r="D186" s="20" t="s">
        <v>17</v>
      </c>
      <c r="E186" s="68"/>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t="s">
        <v>15</v>
      </c>
    </row>
    <row r="187" spans="2:35" hidden="1" outlineLevel="1" x14ac:dyDescent="0.25">
      <c r="D187" s="8">
        <f>'Core Loads'!$C$14</f>
        <v>2025</v>
      </c>
      <c r="E187" s="62">
        <f>'Core Loads'!$D$14</f>
        <v>2026</v>
      </c>
      <c r="F187" s="8">
        <f>'Core Loads'!$E$14</f>
        <v>2027</v>
      </c>
      <c r="G187" s="8">
        <f>'Core Loads'!$F$14</f>
        <v>2028</v>
      </c>
      <c r="H187" s="8">
        <f>'Core Loads'!$G$14</f>
        <v>2029</v>
      </c>
      <c r="I187" s="8">
        <f>'Core Loads'!$H$14</f>
        <v>2030</v>
      </c>
      <c r="J187" s="8">
        <f>'Core Loads'!$I$14</f>
        <v>2031</v>
      </c>
      <c r="K187" s="8">
        <f>'Core Loads'!$J$14</f>
        <v>2032</v>
      </c>
      <c r="L187" s="8">
        <f>'Core Loads'!$K$14</f>
        <v>2033</v>
      </c>
      <c r="M187" s="8">
        <f>'Core Loads'!$L$14</f>
        <v>2034</v>
      </c>
      <c r="N187" s="8">
        <f>'Core Loads'!$M$14</f>
        <v>2035</v>
      </c>
      <c r="O187" s="8">
        <f>'Core Loads'!$N$14</f>
        <v>2036</v>
      </c>
      <c r="P187" s="8">
        <f>'Core Loads'!$O$14</f>
        <v>2037</v>
      </c>
      <c r="Q187" s="8">
        <f>'Core Loads'!$P$14</f>
        <v>2038</v>
      </c>
      <c r="R187" s="8">
        <f>'Core Loads'!$Q$14</f>
        <v>2039</v>
      </c>
      <c r="S187" s="8">
        <f>'Core Loads'!$R$14</f>
        <v>2040</v>
      </c>
      <c r="T187" s="8">
        <f>'Core Loads'!$S$14</f>
        <v>2041</v>
      </c>
      <c r="U187" s="8">
        <f>'Core Loads'!$T$14</f>
        <v>2042</v>
      </c>
      <c r="V187" s="8">
        <f>'Core Loads'!$U$14</f>
        <v>2043</v>
      </c>
      <c r="W187" s="8">
        <f>'Core Loads'!$V$14</f>
        <v>2044</v>
      </c>
      <c r="X187" s="8">
        <f>'Core Loads'!$W$14</f>
        <v>2045</v>
      </c>
      <c r="Y187" s="8">
        <f>'Core Loads'!$X$14</f>
        <v>2046</v>
      </c>
      <c r="Z187" s="8">
        <f>'Core Loads'!$Y$14</f>
        <v>2047</v>
      </c>
      <c r="AA187" s="8">
        <f>'Core Loads'!$Z$14</f>
        <v>2048</v>
      </c>
      <c r="AB187" s="8">
        <f>'Core Loads'!$AA$14</f>
        <v>2049</v>
      </c>
      <c r="AC187" s="8">
        <f>'Core Loads'!$AB$14</f>
        <v>2050</v>
      </c>
      <c r="AD187" s="8">
        <f>'Core Loads'!$AC$14</f>
        <v>2051</v>
      </c>
      <c r="AE187" s="8">
        <f>'Core Loads'!$AD$14</f>
        <v>2052</v>
      </c>
      <c r="AF187" s="8">
        <f>'Core Loads'!$AE$14</f>
        <v>2053</v>
      </c>
      <c r="AG187" s="8">
        <f>'Core Loads'!$AF$14</f>
        <v>2054</v>
      </c>
    </row>
    <row r="188" spans="2:35" s="1" customFormat="1" hidden="1" outlineLevel="1" x14ac:dyDescent="0.25">
      <c r="B188" t="s">
        <v>141</v>
      </c>
      <c r="C188" t="s">
        <v>109</v>
      </c>
      <c r="D188" s="21">
        <f>MAX('Core Loads'!C$430*Elec_exstg_kWh_per_kWh_campus+'Core Loads'!C$450*Process_exstg_kWh_per_lb_campus+'Core Loads'!C$470*Htg_exstg_kWh_per_MMBtu_campus+MAX('Core Loads'!C$490-AbsChillerLoad,0)*Clg_exstg_kWh_per_ton_campus-CogenElecOutputExstg,0)</f>
        <v>0</v>
      </c>
      <c r="E188" s="21">
        <f>MAX('Core Loads'!D$430*Elec_exstg_kWh_per_kWh_campus+'Core Loads'!D$450*Process_exstg_kWh_per_lb_campus+'Core Loads'!D$470*Htg_exstg_kWh_per_MMBtu_campus+MAX('Core Loads'!D$490-AbsChillerLoad,0)*Clg_exstg_kWh_per_ton_campus-CogenElecOutputExstg,0)</f>
        <v>0</v>
      </c>
      <c r="F188" s="21">
        <f>MAX('Core Loads'!E$430*Elec_exstg_kWh_per_kWh_campus+'Core Loads'!E$450*Process_exstg_kWh_per_lb_campus+'Core Loads'!E$470*Htg_exstg_kWh_per_MMBtu_campus+MAX('Core Loads'!E$490-AbsChillerLoad,0)*Clg_exstg_kWh_per_ton_campus-CogenElecOutputExstg,0)</f>
        <v>0</v>
      </c>
      <c r="G188" s="21">
        <f>MAX('Core Loads'!F$430*Elec_exstg_kWh_per_kWh_campus+'Core Loads'!F$450*Process_exstg_kWh_per_lb_campus+'Core Loads'!F$470*Htg_exstg_kWh_per_MMBtu_campus+MAX('Core Loads'!F$490-AbsChillerLoad,0)*Clg_exstg_kWh_per_ton_campus-CogenElecOutputExstg,0)</f>
        <v>0</v>
      </c>
      <c r="H188" s="21">
        <f>MAX('Core Loads'!G$430*Elec_exstg_kWh_per_kWh_campus+'Core Loads'!G$450*Process_exstg_kWh_per_lb_campus+'Core Loads'!G$470*Htg_exstg_kWh_per_MMBtu_campus+MAX('Core Loads'!G$490-AbsChillerLoad,0)*Clg_exstg_kWh_per_ton_campus-CogenElecOutputExstg,0)</f>
        <v>0</v>
      </c>
      <c r="I188" s="21">
        <f>MAX('Core Loads'!H$430*Elec_exstg_kWh_per_kWh_campus+'Core Loads'!H$450*Process_exstg_kWh_per_lb_campus+'Core Loads'!H$470*Htg_exstg_kWh_per_MMBtu_campus+MAX('Core Loads'!H$490-AbsChillerLoad,0)*Clg_exstg_kWh_per_ton_campus-CogenElecOutputExstg,0)</f>
        <v>0</v>
      </c>
      <c r="J188" s="21">
        <f>MAX('Core Loads'!I$430*Elec_exstg_kWh_per_kWh_campus+'Core Loads'!I$450*Process_exstg_kWh_per_lb_campus+'Core Loads'!I$470*Htg_exstg_kWh_per_MMBtu_campus+MAX('Core Loads'!I$490-AbsChillerLoad,0)*Clg_exstg_kWh_per_ton_campus-CogenElecOutputExstg,0)</f>
        <v>0</v>
      </c>
      <c r="K188" s="21">
        <f>MAX('Core Loads'!J$430*Elec_exstg_kWh_per_kWh_campus+'Core Loads'!J$450*Process_exstg_kWh_per_lb_campus+'Core Loads'!J$470*Htg_exstg_kWh_per_MMBtu_campus+MAX('Core Loads'!J$490-AbsChillerLoad,0)*Clg_exstg_kWh_per_ton_campus-CogenElecOutputExstg,0)</f>
        <v>0</v>
      </c>
      <c r="L188" s="21">
        <f>MAX('Core Loads'!K$430*Elec_exstg_kWh_per_kWh_campus+'Core Loads'!K$450*Process_exstg_kWh_per_lb_campus+'Core Loads'!K$470*Htg_exstg_kWh_per_MMBtu_campus+MAX('Core Loads'!K$490-AbsChillerLoad,0)*Clg_exstg_kWh_per_ton_campus-CogenElecOutputExstg,0)</f>
        <v>0</v>
      </c>
      <c r="M188" s="21">
        <f>MAX('Core Loads'!L$430*Elec_exstg_kWh_per_kWh_campus+'Core Loads'!L$450*Process_exstg_kWh_per_lb_campus+'Core Loads'!L$470*Htg_exstg_kWh_per_MMBtu_campus+MAX('Core Loads'!L$490-AbsChillerLoad,0)*Clg_exstg_kWh_per_ton_campus-CogenElecOutputExstg,0)</f>
        <v>0</v>
      </c>
      <c r="N188" s="21">
        <f>MAX('Core Loads'!M$430*Elec_exstg_kWh_per_kWh_campus+'Core Loads'!M$450*Process_exstg_kWh_per_lb_campus+'Core Loads'!M$470*Htg_exstg_kWh_per_MMBtu_campus+MAX('Core Loads'!M$490-AbsChillerLoad,0)*Clg_exstg_kWh_per_ton_campus-CogenElecOutputExstg,0)</f>
        <v>0</v>
      </c>
      <c r="O188" s="21">
        <f>MAX('Core Loads'!N$430*Elec_exstg_kWh_per_kWh_campus+'Core Loads'!N$450*Process_exstg_kWh_per_lb_campus+'Core Loads'!N$470*Htg_exstg_kWh_per_MMBtu_campus+MAX('Core Loads'!N$490-AbsChillerLoad,0)*Clg_exstg_kWh_per_ton_campus-CogenElecOutputExstg,0)</f>
        <v>0</v>
      </c>
      <c r="P188" s="21">
        <f>MAX('Core Loads'!O$430*Elec_exstg_kWh_per_kWh_campus+'Core Loads'!O$450*Process_exstg_kWh_per_lb_campus+'Core Loads'!O$470*Htg_exstg_kWh_per_MMBtu_campus+MAX('Core Loads'!O$490-AbsChillerLoad,0)*Clg_exstg_kWh_per_ton_campus-CogenElecOutputExstg,0)</f>
        <v>0</v>
      </c>
      <c r="Q188" s="21">
        <f>MAX('Core Loads'!P$430*Elec_exstg_kWh_per_kWh_campus+'Core Loads'!P$450*Process_exstg_kWh_per_lb_campus+'Core Loads'!P$470*Htg_exstg_kWh_per_MMBtu_campus+MAX('Core Loads'!P$490-AbsChillerLoad,0)*Clg_exstg_kWh_per_ton_campus-CogenElecOutputExstg,0)</f>
        <v>0</v>
      </c>
      <c r="R188" s="21">
        <f>MAX('Core Loads'!Q$430*Elec_exstg_kWh_per_kWh_campus+'Core Loads'!Q$450*Process_exstg_kWh_per_lb_campus+'Core Loads'!Q$470*Htg_exstg_kWh_per_MMBtu_campus+MAX('Core Loads'!Q$490-AbsChillerLoad,0)*Clg_exstg_kWh_per_ton_campus-CogenElecOutputExstg,0)</f>
        <v>0</v>
      </c>
      <c r="S188" s="21">
        <f>MAX('Core Loads'!R$430*Elec_exstg_kWh_per_kWh_campus+'Core Loads'!R$450*Process_exstg_kWh_per_lb_campus+'Core Loads'!R$470*Htg_exstg_kWh_per_MMBtu_campus+MAX('Core Loads'!R$490-AbsChillerLoad,0)*Clg_exstg_kWh_per_ton_campus-CogenElecOutputExstg,0)</f>
        <v>0</v>
      </c>
      <c r="T188" s="21">
        <f>MAX('Core Loads'!S$430*Elec_exstg_kWh_per_kWh_campus+'Core Loads'!S$450*Process_exstg_kWh_per_lb_campus+'Core Loads'!S$470*Htg_exstg_kWh_per_MMBtu_campus+MAX('Core Loads'!S$490-AbsChillerLoad,0)*Clg_exstg_kWh_per_ton_campus-CogenElecOutputExstg,0)</f>
        <v>0</v>
      </c>
      <c r="U188" s="21">
        <f>MAX('Core Loads'!T$430*Elec_exstg_kWh_per_kWh_campus+'Core Loads'!T$450*Process_exstg_kWh_per_lb_campus+'Core Loads'!T$470*Htg_exstg_kWh_per_MMBtu_campus+MAX('Core Loads'!T$490-AbsChillerLoad,0)*Clg_exstg_kWh_per_ton_campus-CogenElecOutputExstg,0)</f>
        <v>0</v>
      </c>
      <c r="V188" s="21">
        <f>MAX('Core Loads'!U$430*Elec_exstg_kWh_per_kWh_campus+'Core Loads'!U$450*Process_exstg_kWh_per_lb_campus+'Core Loads'!U$470*Htg_exstg_kWh_per_MMBtu_campus+MAX('Core Loads'!U$490-AbsChillerLoad,0)*Clg_exstg_kWh_per_ton_campus-CogenElecOutputExstg,0)</f>
        <v>0</v>
      </c>
      <c r="W188" s="21">
        <f>MAX('Core Loads'!V$430*Elec_exstg_kWh_per_kWh_campus+'Core Loads'!V$450*Process_exstg_kWh_per_lb_campus+'Core Loads'!V$470*Htg_exstg_kWh_per_MMBtu_campus+MAX('Core Loads'!V$490-AbsChillerLoad,0)*Clg_exstg_kWh_per_ton_campus-CogenElecOutputExstg,0)</f>
        <v>0</v>
      </c>
      <c r="X188" s="21">
        <f>MAX('Core Loads'!W$430*Elec_exstg_kWh_per_kWh_campus+'Core Loads'!W$450*Process_exstg_kWh_per_lb_campus+'Core Loads'!W$470*Htg_exstg_kWh_per_MMBtu_campus+MAX('Core Loads'!W$490-AbsChillerLoad,0)*Clg_exstg_kWh_per_ton_campus-CogenElecOutputExstg,0)</f>
        <v>0</v>
      </c>
      <c r="Y188" s="21">
        <f>MAX('Core Loads'!X$430*Elec_exstg_kWh_per_kWh_campus+'Core Loads'!X$450*Process_exstg_kWh_per_lb_campus+'Core Loads'!X$470*Htg_exstg_kWh_per_MMBtu_campus+MAX('Core Loads'!X$490-AbsChillerLoad,0)*Clg_exstg_kWh_per_ton_campus-CogenElecOutputExstg,0)</f>
        <v>0</v>
      </c>
      <c r="Z188" s="21">
        <f>MAX('Core Loads'!Y$430*Elec_exstg_kWh_per_kWh_campus+'Core Loads'!Y$450*Process_exstg_kWh_per_lb_campus+'Core Loads'!Y$470*Htg_exstg_kWh_per_MMBtu_campus+MAX('Core Loads'!Y$490-AbsChillerLoad,0)*Clg_exstg_kWh_per_ton_campus-CogenElecOutputExstg,0)</f>
        <v>0</v>
      </c>
      <c r="AA188" s="21">
        <f>MAX('Core Loads'!Z$430*Elec_exstg_kWh_per_kWh_campus+'Core Loads'!Z$450*Process_exstg_kWh_per_lb_campus+'Core Loads'!Z$470*Htg_exstg_kWh_per_MMBtu_campus+MAX('Core Loads'!Z$490-AbsChillerLoad,0)*Clg_exstg_kWh_per_ton_campus-CogenElecOutputExstg,0)</f>
        <v>0</v>
      </c>
      <c r="AB188" s="21">
        <f>MAX('Core Loads'!AA$430*Elec_exstg_kWh_per_kWh_campus+'Core Loads'!AA$450*Process_exstg_kWh_per_lb_campus+'Core Loads'!AA$470*Htg_exstg_kWh_per_MMBtu_campus+MAX('Core Loads'!AA$490-AbsChillerLoad,0)*Clg_exstg_kWh_per_ton_campus-CogenElecOutputExstg,0)</f>
        <v>0</v>
      </c>
      <c r="AC188" s="21">
        <f>MAX('Core Loads'!AB$430*Elec_exstg_kWh_per_kWh_campus+'Core Loads'!AB$450*Process_exstg_kWh_per_lb_campus+'Core Loads'!AB$470*Htg_exstg_kWh_per_MMBtu_campus+MAX('Core Loads'!AB$490-AbsChillerLoad,0)*Clg_exstg_kWh_per_ton_campus-CogenElecOutputExstg,0)</f>
        <v>0</v>
      </c>
      <c r="AD188" s="21">
        <f>MAX('Core Loads'!AC$430*Elec_exstg_kWh_per_kWh_campus+'Core Loads'!AC$450*Process_exstg_kWh_per_lb_campus+'Core Loads'!AC$470*Htg_exstg_kWh_per_MMBtu_campus+MAX('Core Loads'!AC$490-AbsChillerLoad,0)*Clg_exstg_kWh_per_ton_campus-CogenElecOutputExstg,0)</f>
        <v>0</v>
      </c>
      <c r="AE188" s="21">
        <f>MAX('Core Loads'!AD$430*Elec_exstg_kWh_per_kWh_campus+'Core Loads'!AD$450*Process_exstg_kWh_per_lb_campus+'Core Loads'!AD$470*Htg_exstg_kWh_per_MMBtu_campus+MAX('Core Loads'!AD$490-AbsChillerLoad,0)*Clg_exstg_kWh_per_ton_campus-CogenElecOutputExstg,0)</f>
        <v>0</v>
      </c>
      <c r="AF188" s="21">
        <f>MAX('Core Loads'!AE$430*Elec_exstg_kWh_per_kWh_campus+'Core Loads'!AE$450*Process_exstg_kWh_per_lb_campus+'Core Loads'!AE$470*Htg_exstg_kWh_per_MMBtu_campus+MAX('Core Loads'!AE$490-AbsChillerLoad,0)*Clg_exstg_kWh_per_ton_campus-CogenElecOutputExstg,0)</f>
        <v>0</v>
      </c>
      <c r="AG188" s="21">
        <f>MAX('Core Loads'!AF$430*Elec_exstg_kWh_per_kWh_campus+'Core Loads'!AF$450*Process_exstg_kWh_per_lb_campus+'Core Loads'!AF$470*Htg_exstg_kWh_per_MMBtu_campus+MAX('Core Loads'!AF$490-AbsChillerLoad,0)*Clg_exstg_kWh_per_ton_campus-CogenElecOutputExstg,0)</f>
        <v>0</v>
      </c>
      <c r="AH188"/>
      <c r="AI188" s="23" t="s">
        <v>293</v>
      </c>
    </row>
    <row r="189" spans="2:35" s="1" customFormat="1" hidden="1" outlineLevel="1" x14ac:dyDescent="0.25">
      <c r="B189" t="s">
        <v>136</v>
      </c>
      <c r="C189" t="s">
        <v>169</v>
      </c>
      <c r="D189" s="21">
        <f>'Core Loads'!C$450*Process_exstg_therm_per_lb_campus+'Core Loads'!C$470*Htg_exstg_therm_per_MMBtu_campus+MIN('Core Loads'!C$490,AbsChillerLoad)*Clg_exstg_therm_per_ton_campus</f>
        <v>31258877.283118241</v>
      </c>
      <c r="E189" s="21">
        <f>'Core Loads'!D$450*Process_exstg_therm_per_lb_campus+'Core Loads'!D$470*Htg_exstg_therm_per_MMBtu_campus+MIN('Core Loads'!D$490,AbsChillerLoad)*Clg_exstg_therm_per_ton_campus</f>
        <v>18678271.73312483</v>
      </c>
      <c r="F189" s="21">
        <f>'Core Loads'!E$450*Process_exstg_therm_per_lb_campus+'Core Loads'!E$470*Htg_exstg_therm_per_MMBtu_campus+MIN('Core Loads'!E$490,AbsChillerLoad)*Clg_exstg_therm_per_ton_campus</f>
        <v>0</v>
      </c>
      <c r="G189" s="21">
        <f>'Core Loads'!F$450*Process_exstg_therm_per_lb_campus+'Core Loads'!F$470*Htg_exstg_therm_per_MMBtu_campus+MIN('Core Loads'!F$490,AbsChillerLoad)*Clg_exstg_therm_per_ton_campus</f>
        <v>0</v>
      </c>
      <c r="H189" s="21">
        <f>'Core Loads'!G$450*Process_exstg_therm_per_lb_campus+'Core Loads'!G$470*Htg_exstg_therm_per_MMBtu_campus+MIN('Core Loads'!G$490,AbsChillerLoad)*Clg_exstg_therm_per_ton_campus</f>
        <v>0</v>
      </c>
      <c r="I189" s="21">
        <f>'Core Loads'!H$450*Process_exstg_therm_per_lb_campus+'Core Loads'!H$470*Htg_exstg_therm_per_MMBtu_campus+MIN('Core Loads'!H$490,AbsChillerLoad)*Clg_exstg_therm_per_ton_campus</f>
        <v>0</v>
      </c>
      <c r="J189" s="21">
        <f>'Core Loads'!I$450*Process_exstg_therm_per_lb_campus+'Core Loads'!I$470*Htg_exstg_therm_per_MMBtu_campus+MIN('Core Loads'!I$490,AbsChillerLoad)*Clg_exstg_therm_per_ton_campus</f>
        <v>0</v>
      </c>
      <c r="K189" s="21">
        <f>'Core Loads'!J$450*Process_exstg_therm_per_lb_campus+'Core Loads'!J$470*Htg_exstg_therm_per_MMBtu_campus+MIN('Core Loads'!J$490,AbsChillerLoad)*Clg_exstg_therm_per_ton_campus</f>
        <v>0</v>
      </c>
      <c r="L189" s="21">
        <f>'Core Loads'!K$450*Process_exstg_therm_per_lb_campus+'Core Loads'!K$470*Htg_exstg_therm_per_MMBtu_campus+MIN('Core Loads'!K$490,AbsChillerLoad)*Clg_exstg_therm_per_ton_campus</f>
        <v>0</v>
      </c>
      <c r="M189" s="21">
        <f>'Core Loads'!L$450*Process_exstg_therm_per_lb_campus+'Core Loads'!L$470*Htg_exstg_therm_per_MMBtu_campus+MIN('Core Loads'!L$490,AbsChillerLoad)*Clg_exstg_therm_per_ton_campus</f>
        <v>0</v>
      </c>
      <c r="N189" s="21">
        <f>'Core Loads'!M$450*Process_exstg_therm_per_lb_campus+'Core Loads'!M$470*Htg_exstg_therm_per_MMBtu_campus+MIN('Core Loads'!M$490,AbsChillerLoad)*Clg_exstg_therm_per_ton_campus</f>
        <v>0</v>
      </c>
      <c r="O189" s="21">
        <f>'Core Loads'!N$450*Process_exstg_therm_per_lb_campus+'Core Loads'!N$470*Htg_exstg_therm_per_MMBtu_campus+MIN('Core Loads'!N$490,AbsChillerLoad)*Clg_exstg_therm_per_ton_campus</f>
        <v>0</v>
      </c>
      <c r="P189" s="21">
        <f>'Core Loads'!O$450*Process_exstg_therm_per_lb_campus+'Core Loads'!O$470*Htg_exstg_therm_per_MMBtu_campus+MIN('Core Loads'!O$490,AbsChillerLoad)*Clg_exstg_therm_per_ton_campus</f>
        <v>0</v>
      </c>
      <c r="Q189" s="21">
        <f>'Core Loads'!P$450*Process_exstg_therm_per_lb_campus+'Core Loads'!P$470*Htg_exstg_therm_per_MMBtu_campus+MIN('Core Loads'!P$490,AbsChillerLoad)*Clg_exstg_therm_per_ton_campus</f>
        <v>0</v>
      </c>
      <c r="R189" s="21">
        <f>'Core Loads'!Q$450*Process_exstg_therm_per_lb_campus+'Core Loads'!Q$470*Htg_exstg_therm_per_MMBtu_campus+MIN('Core Loads'!Q$490,AbsChillerLoad)*Clg_exstg_therm_per_ton_campus</f>
        <v>0</v>
      </c>
      <c r="S189" s="21">
        <f>'Core Loads'!R$450*Process_exstg_therm_per_lb_campus+'Core Loads'!R$470*Htg_exstg_therm_per_MMBtu_campus+MIN('Core Loads'!R$490,AbsChillerLoad)*Clg_exstg_therm_per_ton_campus</f>
        <v>0</v>
      </c>
      <c r="T189" s="21">
        <f>'Core Loads'!S$450*Process_exstg_therm_per_lb_campus+'Core Loads'!S$470*Htg_exstg_therm_per_MMBtu_campus+MIN('Core Loads'!S$490,AbsChillerLoad)*Clg_exstg_therm_per_ton_campus</f>
        <v>0</v>
      </c>
      <c r="U189" s="21">
        <f>'Core Loads'!T$450*Process_exstg_therm_per_lb_campus+'Core Loads'!T$470*Htg_exstg_therm_per_MMBtu_campus+MIN('Core Loads'!T$490,AbsChillerLoad)*Clg_exstg_therm_per_ton_campus</f>
        <v>0</v>
      </c>
      <c r="V189" s="21">
        <f>'Core Loads'!U$450*Process_exstg_therm_per_lb_campus+'Core Loads'!U$470*Htg_exstg_therm_per_MMBtu_campus+MIN('Core Loads'!U$490,AbsChillerLoad)*Clg_exstg_therm_per_ton_campus</f>
        <v>0</v>
      </c>
      <c r="W189" s="21">
        <f>'Core Loads'!V$450*Process_exstg_therm_per_lb_campus+'Core Loads'!V$470*Htg_exstg_therm_per_MMBtu_campus+MIN('Core Loads'!V$490,AbsChillerLoad)*Clg_exstg_therm_per_ton_campus</f>
        <v>0</v>
      </c>
      <c r="X189" s="21">
        <f>'Core Loads'!W$450*Process_exstg_therm_per_lb_campus+'Core Loads'!W$470*Htg_exstg_therm_per_MMBtu_campus+MIN('Core Loads'!W$490,AbsChillerLoad)*Clg_exstg_therm_per_ton_campus</f>
        <v>0</v>
      </c>
      <c r="Y189" s="21">
        <f>'Core Loads'!X$450*Process_exstg_therm_per_lb_campus+'Core Loads'!X$470*Htg_exstg_therm_per_MMBtu_campus+MIN('Core Loads'!X$490,AbsChillerLoad)*Clg_exstg_therm_per_ton_campus</f>
        <v>0</v>
      </c>
      <c r="Z189" s="21">
        <f>'Core Loads'!Y$450*Process_exstg_therm_per_lb_campus+'Core Loads'!Y$470*Htg_exstg_therm_per_MMBtu_campus+MIN('Core Loads'!Y$490,AbsChillerLoad)*Clg_exstg_therm_per_ton_campus</f>
        <v>0</v>
      </c>
      <c r="AA189" s="21">
        <f>'Core Loads'!Z$450*Process_exstg_therm_per_lb_campus+'Core Loads'!Z$470*Htg_exstg_therm_per_MMBtu_campus+MIN('Core Loads'!Z$490,AbsChillerLoad)*Clg_exstg_therm_per_ton_campus</f>
        <v>0</v>
      </c>
      <c r="AB189" s="21">
        <f>'Core Loads'!AA$450*Process_exstg_therm_per_lb_campus+'Core Loads'!AA$470*Htg_exstg_therm_per_MMBtu_campus+MIN('Core Loads'!AA$490,AbsChillerLoad)*Clg_exstg_therm_per_ton_campus</f>
        <v>0</v>
      </c>
      <c r="AC189" s="21">
        <f>'Core Loads'!AB$450*Process_exstg_therm_per_lb_campus+'Core Loads'!AB$470*Htg_exstg_therm_per_MMBtu_campus+MIN('Core Loads'!AB$490,AbsChillerLoad)*Clg_exstg_therm_per_ton_campus</f>
        <v>0</v>
      </c>
      <c r="AD189" s="21">
        <f>'Core Loads'!AC$450*Process_exstg_therm_per_lb_campus+'Core Loads'!AC$470*Htg_exstg_therm_per_MMBtu_campus+MIN('Core Loads'!AC$490,AbsChillerLoad)*Clg_exstg_therm_per_ton_campus</f>
        <v>0</v>
      </c>
      <c r="AE189" s="21">
        <f>'Core Loads'!AD$450*Process_exstg_therm_per_lb_campus+'Core Loads'!AD$470*Htg_exstg_therm_per_MMBtu_campus+MIN('Core Loads'!AD$490,AbsChillerLoad)*Clg_exstg_therm_per_ton_campus</f>
        <v>0</v>
      </c>
      <c r="AF189" s="21">
        <f>'Core Loads'!AE$450*Process_exstg_therm_per_lb_campus+'Core Loads'!AE$470*Htg_exstg_therm_per_MMBtu_campus+MIN('Core Loads'!AE$490,AbsChillerLoad)*Clg_exstg_therm_per_ton_campus</f>
        <v>0</v>
      </c>
      <c r="AG189" s="21">
        <f>'Core Loads'!AF$450*Process_exstg_therm_per_lb_campus+'Core Loads'!AF$470*Htg_exstg_therm_per_MMBtu_campus+MIN('Core Loads'!AF$490,AbsChillerLoad)*Clg_exstg_therm_per_ton_campus</f>
        <v>0</v>
      </c>
      <c r="AH189"/>
      <c r="AI189" s="23" t="s">
        <v>293</v>
      </c>
    </row>
    <row r="190" spans="2:35" s="1" customFormat="1" hidden="1" outlineLevel="1" x14ac:dyDescent="0.25">
      <c r="B190" t="s">
        <v>154</v>
      </c>
      <c r="C190" t="s">
        <v>170</v>
      </c>
      <c r="D190" s="21">
        <f>'Core Loads'!C$450*Process_exstg_CCF_per_lb_campus+'Core Loads'!C$470*Htg_exstg_CCF_per_MMBtu_campus+'Core Loads'!C$490*Clg_exstg_CCF_per_ton_campus</f>
        <v>278436.87957137165</v>
      </c>
      <c r="E190" s="21">
        <f>'Core Loads'!D$450*Process_exstg_CCF_per_lb_campus+'Core Loads'!D$470*Htg_exstg_CCF_per_MMBtu_campus+'Core Loads'!D$490*Clg_exstg_CCF_per_ton_campus</f>
        <v>171443.12253475966</v>
      </c>
      <c r="F190" s="21">
        <f>'Core Loads'!E$450*Process_exstg_CCF_per_lb_campus+'Core Loads'!E$470*Htg_exstg_CCF_per_MMBtu_campus+'Core Loads'!E$490*Clg_exstg_CCF_per_ton_campus</f>
        <v>0</v>
      </c>
      <c r="G190" s="21">
        <f>'Core Loads'!F$450*Process_exstg_CCF_per_lb_campus+'Core Loads'!F$470*Htg_exstg_CCF_per_MMBtu_campus+'Core Loads'!F$490*Clg_exstg_CCF_per_ton_campus</f>
        <v>0</v>
      </c>
      <c r="H190" s="21">
        <f>'Core Loads'!G$450*Process_exstg_CCF_per_lb_campus+'Core Loads'!G$470*Htg_exstg_CCF_per_MMBtu_campus+'Core Loads'!G$490*Clg_exstg_CCF_per_ton_campus</f>
        <v>0</v>
      </c>
      <c r="I190" s="21">
        <f>'Core Loads'!H$450*Process_exstg_CCF_per_lb_campus+'Core Loads'!H$470*Htg_exstg_CCF_per_MMBtu_campus+'Core Loads'!H$490*Clg_exstg_CCF_per_ton_campus</f>
        <v>0</v>
      </c>
      <c r="J190" s="21">
        <f>'Core Loads'!I$450*Process_exstg_CCF_per_lb_campus+'Core Loads'!I$470*Htg_exstg_CCF_per_MMBtu_campus+'Core Loads'!I$490*Clg_exstg_CCF_per_ton_campus</f>
        <v>0</v>
      </c>
      <c r="K190" s="21">
        <f>'Core Loads'!J$450*Process_exstg_CCF_per_lb_campus+'Core Loads'!J$470*Htg_exstg_CCF_per_MMBtu_campus+'Core Loads'!J$490*Clg_exstg_CCF_per_ton_campus</f>
        <v>0</v>
      </c>
      <c r="L190" s="21">
        <f>'Core Loads'!K$450*Process_exstg_CCF_per_lb_campus+'Core Loads'!K$470*Htg_exstg_CCF_per_MMBtu_campus+'Core Loads'!K$490*Clg_exstg_CCF_per_ton_campus</f>
        <v>0</v>
      </c>
      <c r="M190" s="21">
        <f>'Core Loads'!L$450*Process_exstg_CCF_per_lb_campus+'Core Loads'!L$470*Htg_exstg_CCF_per_MMBtu_campus+'Core Loads'!L$490*Clg_exstg_CCF_per_ton_campus</f>
        <v>0</v>
      </c>
      <c r="N190" s="21">
        <f>'Core Loads'!M$450*Process_exstg_CCF_per_lb_campus+'Core Loads'!M$470*Htg_exstg_CCF_per_MMBtu_campus+'Core Loads'!M$490*Clg_exstg_CCF_per_ton_campus</f>
        <v>0</v>
      </c>
      <c r="O190" s="21">
        <f>'Core Loads'!N$450*Process_exstg_CCF_per_lb_campus+'Core Loads'!N$470*Htg_exstg_CCF_per_MMBtu_campus+'Core Loads'!N$490*Clg_exstg_CCF_per_ton_campus</f>
        <v>0</v>
      </c>
      <c r="P190" s="21">
        <f>'Core Loads'!O$450*Process_exstg_CCF_per_lb_campus+'Core Loads'!O$470*Htg_exstg_CCF_per_MMBtu_campus+'Core Loads'!O$490*Clg_exstg_CCF_per_ton_campus</f>
        <v>0</v>
      </c>
      <c r="Q190" s="21">
        <f>'Core Loads'!P$450*Process_exstg_CCF_per_lb_campus+'Core Loads'!P$470*Htg_exstg_CCF_per_MMBtu_campus+'Core Loads'!P$490*Clg_exstg_CCF_per_ton_campus</f>
        <v>0</v>
      </c>
      <c r="R190" s="21">
        <f>'Core Loads'!Q$450*Process_exstg_CCF_per_lb_campus+'Core Loads'!Q$470*Htg_exstg_CCF_per_MMBtu_campus+'Core Loads'!Q$490*Clg_exstg_CCF_per_ton_campus</f>
        <v>0</v>
      </c>
      <c r="S190" s="21">
        <f>'Core Loads'!R$450*Process_exstg_CCF_per_lb_campus+'Core Loads'!R$470*Htg_exstg_CCF_per_MMBtu_campus+'Core Loads'!R$490*Clg_exstg_CCF_per_ton_campus</f>
        <v>0</v>
      </c>
      <c r="T190" s="21">
        <f>'Core Loads'!S$450*Process_exstg_CCF_per_lb_campus+'Core Loads'!S$470*Htg_exstg_CCF_per_MMBtu_campus+'Core Loads'!S$490*Clg_exstg_CCF_per_ton_campus</f>
        <v>0</v>
      </c>
      <c r="U190" s="21">
        <f>'Core Loads'!T$450*Process_exstg_CCF_per_lb_campus+'Core Loads'!T$470*Htg_exstg_CCF_per_MMBtu_campus+'Core Loads'!T$490*Clg_exstg_CCF_per_ton_campus</f>
        <v>0</v>
      </c>
      <c r="V190" s="21">
        <f>'Core Loads'!U$450*Process_exstg_CCF_per_lb_campus+'Core Loads'!U$470*Htg_exstg_CCF_per_MMBtu_campus+'Core Loads'!U$490*Clg_exstg_CCF_per_ton_campus</f>
        <v>0</v>
      </c>
      <c r="W190" s="21">
        <f>'Core Loads'!V$450*Process_exstg_CCF_per_lb_campus+'Core Loads'!V$470*Htg_exstg_CCF_per_MMBtu_campus+'Core Loads'!V$490*Clg_exstg_CCF_per_ton_campus</f>
        <v>0</v>
      </c>
      <c r="X190" s="21">
        <f>'Core Loads'!W$450*Process_exstg_CCF_per_lb_campus+'Core Loads'!W$470*Htg_exstg_CCF_per_MMBtu_campus+'Core Loads'!W$490*Clg_exstg_CCF_per_ton_campus</f>
        <v>0</v>
      </c>
      <c r="Y190" s="21">
        <f>'Core Loads'!X$450*Process_exstg_CCF_per_lb_campus+'Core Loads'!X$470*Htg_exstg_CCF_per_MMBtu_campus+'Core Loads'!X$490*Clg_exstg_CCF_per_ton_campus</f>
        <v>0</v>
      </c>
      <c r="Z190" s="21">
        <f>'Core Loads'!Y$450*Process_exstg_CCF_per_lb_campus+'Core Loads'!Y$470*Htg_exstg_CCF_per_MMBtu_campus+'Core Loads'!Y$490*Clg_exstg_CCF_per_ton_campus</f>
        <v>0</v>
      </c>
      <c r="AA190" s="21">
        <f>'Core Loads'!Z$450*Process_exstg_CCF_per_lb_campus+'Core Loads'!Z$470*Htg_exstg_CCF_per_MMBtu_campus+'Core Loads'!Z$490*Clg_exstg_CCF_per_ton_campus</f>
        <v>0</v>
      </c>
      <c r="AB190" s="21">
        <f>'Core Loads'!AA$450*Process_exstg_CCF_per_lb_campus+'Core Loads'!AA$470*Htg_exstg_CCF_per_MMBtu_campus+'Core Loads'!AA$490*Clg_exstg_CCF_per_ton_campus</f>
        <v>0</v>
      </c>
      <c r="AC190" s="21">
        <f>'Core Loads'!AB$450*Process_exstg_CCF_per_lb_campus+'Core Loads'!AB$470*Htg_exstg_CCF_per_MMBtu_campus+'Core Loads'!AB$490*Clg_exstg_CCF_per_ton_campus</f>
        <v>0</v>
      </c>
      <c r="AD190" s="21">
        <f>'Core Loads'!AC$450*Process_exstg_CCF_per_lb_campus+'Core Loads'!AC$470*Htg_exstg_CCF_per_MMBtu_campus+'Core Loads'!AC$490*Clg_exstg_CCF_per_ton_campus</f>
        <v>0</v>
      </c>
      <c r="AE190" s="21">
        <f>'Core Loads'!AD$450*Process_exstg_CCF_per_lb_campus+'Core Loads'!AD$470*Htg_exstg_CCF_per_MMBtu_campus+'Core Loads'!AD$490*Clg_exstg_CCF_per_ton_campus</f>
        <v>0</v>
      </c>
      <c r="AF190" s="21">
        <f>'Core Loads'!AE$450*Process_exstg_CCF_per_lb_campus+'Core Loads'!AE$470*Htg_exstg_CCF_per_MMBtu_campus+'Core Loads'!AE$490*Clg_exstg_CCF_per_ton_campus</f>
        <v>0</v>
      </c>
      <c r="AG190" s="21">
        <f>'Core Loads'!AF$450*Process_exstg_CCF_per_lb_campus+'Core Loads'!AF$470*Htg_exstg_CCF_per_MMBtu_campus+'Core Loads'!AF$490*Clg_exstg_CCF_per_ton_campus</f>
        <v>0</v>
      </c>
      <c r="AH190"/>
      <c r="AI190" s="23" t="s">
        <v>293</v>
      </c>
    </row>
    <row r="191" spans="2:35" hidden="1" outlineLevel="1" x14ac:dyDescent="0.25"/>
    <row r="192" spans="2:35" s="1" customFormat="1" ht="17.25" hidden="1" outlineLevel="1" thickBot="1" x14ac:dyDescent="0.3">
      <c r="B192" s="19" t="s">
        <v>280</v>
      </c>
      <c r="C192" s="19"/>
      <c r="D192" s="19"/>
      <c r="E192" s="67"/>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row>
    <row r="193" spans="2:35" s="1" customFormat="1" ht="16.5" hidden="1" outlineLevel="1" thickTop="1" thickBot="1" x14ac:dyDescent="0.3">
      <c r="B193" s="20" t="s">
        <v>292</v>
      </c>
      <c r="C193" s="20" t="s">
        <v>13</v>
      </c>
      <c r="D193" s="20" t="s">
        <v>17</v>
      </c>
      <c r="E193" s="68"/>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t="s">
        <v>15</v>
      </c>
    </row>
    <row r="194" spans="2:35" hidden="1" outlineLevel="1" x14ac:dyDescent="0.25">
      <c r="D194" s="8">
        <f>'Core Loads'!$C$14</f>
        <v>2025</v>
      </c>
      <c r="E194" s="62">
        <f>'Core Loads'!$D$14</f>
        <v>2026</v>
      </c>
      <c r="F194" s="8">
        <f>'Core Loads'!$E$14</f>
        <v>2027</v>
      </c>
      <c r="G194" s="8">
        <f>'Core Loads'!$F$14</f>
        <v>2028</v>
      </c>
      <c r="H194" s="8">
        <f>'Core Loads'!$G$14</f>
        <v>2029</v>
      </c>
      <c r="I194" s="8">
        <f>'Core Loads'!$H$14</f>
        <v>2030</v>
      </c>
      <c r="J194" s="8">
        <f>'Core Loads'!$I$14</f>
        <v>2031</v>
      </c>
      <c r="K194" s="8">
        <f>'Core Loads'!$J$14</f>
        <v>2032</v>
      </c>
      <c r="L194" s="8">
        <f>'Core Loads'!$K$14</f>
        <v>2033</v>
      </c>
      <c r="M194" s="8">
        <f>'Core Loads'!$L$14</f>
        <v>2034</v>
      </c>
      <c r="N194" s="8">
        <f>'Core Loads'!$M$14</f>
        <v>2035</v>
      </c>
      <c r="O194" s="8">
        <f>'Core Loads'!$N$14</f>
        <v>2036</v>
      </c>
      <c r="P194" s="8">
        <f>'Core Loads'!$O$14</f>
        <v>2037</v>
      </c>
      <c r="Q194" s="8">
        <f>'Core Loads'!$P$14</f>
        <v>2038</v>
      </c>
      <c r="R194" s="8">
        <f>'Core Loads'!$Q$14</f>
        <v>2039</v>
      </c>
      <c r="S194" s="8">
        <f>'Core Loads'!$R$14</f>
        <v>2040</v>
      </c>
      <c r="T194" s="8">
        <f>'Core Loads'!$S$14</f>
        <v>2041</v>
      </c>
      <c r="U194" s="8">
        <f>'Core Loads'!$T$14</f>
        <v>2042</v>
      </c>
      <c r="V194" s="8">
        <f>'Core Loads'!$U$14</f>
        <v>2043</v>
      </c>
      <c r="W194" s="8">
        <f>'Core Loads'!$V$14</f>
        <v>2044</v>
      </c>
      <c r="X194" s="8">
        <f>'Core Loads'!$W$14</f>
        <v>2045</v>
      </c>
      <c r="Y194" s="8">
        <f>'Core Loads'!$X$14</f>
        <v>2046</v>
      </c>
      <c r="Z194" s="8">
        <f>'Core Loads'!$Y$14</f>
        <v>2047</v>
      </c>
      <c r="AA194" s="8">
        <f>'Core Loads'!$Z$14</f>
        <v>2048</v>
      </c>
      <c r="AB194" s="8">
        <f>'Core Loads'!$AA$14</f>
        <v>2049</v>
      </c>
      <c r="AC194" s="8">
        <f>'Core Loads'!$AB$14</f>
        <v>2050</v>
      </c>
      <c r="AD194" s="8">
        <f>'Core Loads'!$AC$14</f>
        <v>2051</v>
      </c>
      <c r="AE194" s="8">
        <f>'Core Loads'!$AD$14</f>
        <v>2052</v>
      </c>
      <c r="AF194" s="8">
        <f>'Core Loads'!$AE$14</f>
        <v>2053</v>
      </c>
      <c r="AG194" s="8">
        <f>'Core Loads'!$AF$14</f>
        <v>2054</v>
      </c>
    </row>
    <row r="195" spans="2:35" s="1" customFormat="1" hidden="1" outlineLevel="1" x14ac:dyDescent="0.25">
      <c r="B195" t="s">
        <v>141</v>
      </c>
      <c r="C195" t="s">
        <v>109</v>
      </c>
      <c r="D195" s="21">
        <f>'Core Loads'!C$439*Elec_10A_kWh_per_kWh_campus+'Core Loads'!C$459*Process_10A_kWh_per_lb_campus+'Core Loads'!C$479*Htg_10A_kWh_per_MMBtu_campus+MAX('Core Loads'!C$499-AbsChillerLoad,0)*Clg_10A_kWh_per_ton_campus</f>
        <v>0</v>
      </c>
      <c r="E195" s="21">
        <f>'Core Loads'!D$439*Elec_10A_kWh_per_kWh_campus+'Core Loads'!D$459*Process_10A_kWh_per_lb_campus+'Core Loads'!D$479*Htg_10A_kWh_per_MMBtu_campus+MAX('Core Loads'!D$499-AbsChillerLoad,0)*Clg_10A_kWh_per_ton_campus</f>
        <v>47837563.678282395</v>
      </c>
      <c r="F195" s="21">
        <f>'Core Loads'!E$439*Elec_10A_kWh_per_kWh_campus+'Core Loads'!E$459*Process_10A_kWh_per_lb_campus+'Core Loads'!E$479*Htg_10A_kWh_per_MMBtu_campus+MAX('Core Loads'!E$499-AbsChillerLoad,0)*Clg_10A_kWh_per_ton_campus</f>
        <v>168997147.24434036</v>
      </c>
      <c r="G195" s="21">
        <f>'Core Loads'!F$439*Elec_10A_kWh_per_kWh_campus+'Core Loads'!F$459*Process_10A_kWh_per_lb_campus+'Core Loads'!F$479*Htg_10A_kWh_per_MMBtu_campus+MAX('Core Loads'!F$499-AbsChillerLoad,0)*Clg_10A_kWh_per_ton_campus</f>
        <v>186004902.54178959</v>
      </c>
      <c r="H195" s="21">
        <f>'Core Loads'!G$439*Elec_10A_kWh_per_kWh_campus+'Core Loads'!G$459*Process_10A_kWh_per_lb_campus+'Core Loads'!G$479*Htg_10A_kWh_per_MMBtu_campus+MAX('Core Loads'!G$499-AbsChillerLoad,0)*Clg_10A_kWh_per_ton_campus</f>
        <v>186004902.54178959</v>
      </c>
      <c r="I195" s="21">
        <f>'Core Loads'!H$439*Elec_10A_kWh_per_kWh_campus+'Core Loads'!H$459*Process_10A_kWh_per_lb_campus+'Core Loads'!H$479*Htg_10A_kWh_per_MMBtu_campus+MAX('Core Loads'!H$499-AbsChillerLoad,0)*Clg_10A_kWh_per_ton_campus</f>
        <v>192394342.89682317</v>
      </c>
      <c r="J195" s="21">
        <f>'Core Loads'!I$439*Elec_10A_kWh_per_kWh_campus+'Core Loads'!I$459*Process_10A_kWh_per_lb_campus+'Core Loads'!I$479*Htg_10A_kWh_per_MMBtu_campus+MAX('Core Loads'!I$499-AbsChillerLoad,0)*Clg_10A_kWh_per_ton_campus</f>
        <v>192394342.89682317</v>
      </c>
      <c r="K195" s="21">
        <f>'Core Loads'!J$439*Elec_10A_kWh_per_kWh_campus+'Core Loads'!J$459*Process_10A_kWh_per_lb_campus+'Core Loads'!J$479*Htg_10A_kWh_per_MMBtu_campus+MAX('Core Loads'!J$499-AbsChillerLoad,0)*Clg_10A_kWh_per_ton_campus</f>
        <v>181395211.20034271</v>
      </c>
      <c r="L195" s="21">
        <f>'Core Loads'!K$439*Elec_10A_kWh_per_kWh_campus+'Core Loads'!K$459*Process_10A_kWh_per_lb_campus+'Core Loads'!K$479*Htg_10A_kWh_per_MMBtu_campus+MAX('Core Loads'!K$499-AbsChillerLoad,0)*Clg_10A_kWh_per_ton_campus</f>
        <v>181395211.20034271</v>
      </c>
      <c r="M195" s="21">
        <f>'Core Loads'!L$439*Elec_10A_kWh_per_kWh_campus+'Core Loads'!L$459*Process_10A_kWh_per_lb_campus+'Core Loads'!L$479*Htg_10A_kWh_per_MMBtu_campus+MAX('Core Loads'!L$499-AbsChillerLoad,0)*Clg_10A_kWh_per_ton_campus</f>
        <v>181654503.7405248</v>
      </c>
      <c r="N195" s="21">
        <f>'Core Loads'!M$439*Elec_10A_kWh_per_kWh_campus+'Core Loads'!M$459*Process_10A_kWh_per_lb_campus+'Core Loads'!M$479*Htg_10A_kWh_per_MMBtu_campus+MAX('Core Loads'!M$499-AbsChillerLoad,0)*Clg_10A_kWh_per_ton_campus</f>
        <v>181654503.7405248</v>
      </c>
      <c r="O195" s="21">
        <f>'Core Loads'!N$439*Elec_10A_kWh_per_kWh_campus+'Core Loads'!N$459*Process_10A_kWh_per_lb_campus+'Core Loads'!N$479*Htg_10A_kWh_per_MMBtu_campus+MAX('Core Loads'!N$499-AbsChillerLoad,0)*Clg_10A_kWh_per_ton_campus</f>
        <v>180550748.01953286</v>
      </c>
      <c r="P195" s="21">
        <f>'Core Loads'!O$439*Elec_10A_kWh_per_kWh_campus+'Core Loads'!O$459*Process_10A_kWh_per_lb_campus+'Core Loads'!O$479*Htg_10A_kWh_per_MMBtu_campus+MAX('Core Loads'!O$499-AbsChillerLoad,0)*Clg_10A_kWh_per_ton_campus</f>
        <v>180550748.01953286</v>
      </c>
      <c r="Q195" s="21">
        <f>'Core Loads'!P$439*Elec_10A_kWh_per_kWh_campus+'Core Loads'!P$459*Process_10A_kWh_per_lb_campus+'Core Loads'!P$479*Htg_10A_kWh_per_MMBtu_campus+MAX('Core Loads'!P$499-AbsChillerLoad,0)*Clg_10A_kWh_per_ton_campus</f>
        <v>180464890.10379493</v>
      </c>
      <c r="R195" s="21">
        <f>'Core Loads'!Q$439*Elec_10A_kWh_per_kWh_campus+'Core Loads'!Q$459*Process_10A_kWh_per_lb_campus+'Core Loads'!Q$479*Htg_10A_kWh_per_MMBtu_campus+MAX('Core Loads'!Q$499-AbsChillerLoad,0)*Clg_10A_kWh_per_ton_campus</f>
        <v>180464890.10379493</v>
      </c>
      <c r="S195" s="21">
        <f>'Core Loads'!R$439*Elec_10A_kWh_per_kWh_campus+'Core Loads'!R$459*Process_10A_kWh_per_lb_campus+'Core Loads'!R$479*Htg_10A_kWh_per_MMBtu_campus+MAX('Core Loads'!R$499-AbsChillerLoad,0)*Clg_10A_kWh_per_ton_campus</f>
        <v>221514950.29348302</v>
      </c>
      <c r="T195" s="21">
        <f>'Core Loads'!S$439*Elec_10A_kWh_per_kWh_campus+'Core Loads'!S$459*Process_10A_kWh_per_lb_campus+'Core Loads'!S$479*Htg_10A_kWh_per_MMBtu_campus+MAX('Core Loads'!S$499-AbsChillerLoad,0)*Clg_10A_kWh_per_ton_campus</f>
        <v>221514950.29348302</v>
      </c>
      <c r="U195" s="21">
        <f>'Core Loads'!T$439*Elec_10A_kWh_per_kWh_campus+'Core Loads'!T$459*Process_10A_kWh_per_lb_campus+'Core Loads'!T$479*Htg_10A_kWh_per_MMBtu_campus+MAX('Core Loads'!T$499-AbsChillerLoad,0)*Clg_10A_kWh_per_ton_campus</f>
        <v>221514950.29348302</v>
      </c>
      <c r="V195" s="21">
        <f>'Core Loads'!U$439*Elec_10A_kWh_per_kWh_campus+'Core Loads'!U$459*Process_10A_kWh_per_lb_campus+'Core Loads'!U$479*Htg_10A_kWh_per_MMBtu_campus+MAX('Core Loads'!U$499-AbsChillerLoad,0)*Clg_10A_kWh_per_ton_campus</f>
        <v>221514950.29348302</v>
      </c>
      <c r="W195" s="21">
        <f>'Core Loads'!V$439*Elec_10A_kWh_per_kWh_campus+'Core Loads'!V$459*Process_10A_kWh_per_lb_campus+'Core Loads'!V$479*Htg_10A_kWh_per_MMBtu_campus+MAX('Core Loads'!V$499-AbsChillerLoad,0)*Clg_10A_kWh_per_ton_campus</f>
        <v>220926206.14733073</v>
      </c>
      <c r="X195" s="21">
        <f>'Core Loads'!W$439*Elec_10A_kWh_per_kWh_campus+'Core Loads'!W$459*Process_10A_kWh_per_lb_campus+'Core Loads'!W$479*Htg_10A_kWh_per_MMBtu_campus+MAX('Core Loads'!W$499-AbsChillerLoad,0)*Clg_10A_kWh_per_ton_campus</f>
        <v>220926206.14733073</v>
      </c>
      <c r="Y195" s="21">
        <f>'Core Loads'!X$439*Elec_10A_kWh_per_kWh_campus+'Core Loads'!X$459*Process_10A_kWh_per_lb_campus+'Core Loads'!X$479*Htg_10A_kWh_per_MMBtu_campus+MAX('Core Loads'!X$499-AbsChillerLoad,0)*Clg_10A_kWh_per_ton_campus</f>
        <v>220926206.14733073</v>
      </c>
      <c r="Z195" s="21">
        <f>'Core Loads'!Y$439*Elec_10A_kWh_per_kWh_campus+'Core Loads'!Y$459*Process_10A_kWh_per_lb_campus+'Core Loads'!Y$479*Htg_10A_kWh_per_MMBtu_campus+MAX('Core Loads'!Y$499-AbsChillerLoad,0)*Clg_10A_kWh_per_ton_campus</f>
        <v>220926206.14733073</v>
      </c>
      <c r="AA195" s="21">
        <f>'Core Loads'!Z$439*Elec_10A_kWh_per_kWh_campus+'Core Loads'!Z$459*Process_10A_kWh_per_lb_campus+'Core Loads'!Z$479*Htg_10A_kWh_per_MMBtu_campus+MAX('Core Loads'!Z$499-AbsChillerLoad,0)*Clg_10A_kWh_per_ton_campus</f>
        <v>220926206.14733073</v>
      </c>
      <c r="AB195" s="21">
        <f>'Core Loads'!AA$439*Elec_10A_kWh_per_kWh_campus+'Core Loads'!AA$459*Process_10A_kWh_per_lb_campus+'Core Loads'!AA$479*Htg_10A_kWh_per_MMBtu_campus+MAX('Core Loads'!AA$499-AbsChillerLoad,0)*Clg_10A_kWh_per_ton_campus</f>
        <v>220926206.14733073</v>
      </c>
      <c r="AC195" s="21">
        <f>'Core Loads'!AB$439*Elec_10A_kWh_per_kWh_campus+'Core Loads'!AB$459*Process_10A_kWh_per_lb_campus+'Core Loads'!AB$479*Htg_10A_kWh_per_MMBtu_campus+MAX('Core Loads'!AB$499-AbsChillerLoad,0)*Clg_10A_kWh_per_ton_campus</f>
        <v>220199433.46492535</v>
      </c>
      <c r="AD195" s="21">
        <f>'Core Loads'!AC$439*Elec_10A_kWh_per_kWh_campus+'Core Loads'!AC$459*Process_10A_kWh_per_lb_campus+'Core Loads'!AC$479*Htg_10A_kWh_per_MMBtu_campus+MAX('Core Loads'!AC$499-AbsChillerLoad,0)*Clg_10A_kWh_per_ton_campus</f>
        <v>220199433.46492535</v>
      </c>
      <c r="AE195" s="21">
        <f>'Core Loads'!AD$439*Elec_10A_kWh_per_kWh_campus+'Core Loads'!AD$459*Process_10A_kWh_per_lb_campus+'Core Loads'!AD$479*Htg_10A_kWh_per_MMBtu_campus+MAX('Core Loads'!AD$499-AbsChillerLoad,0)*Clg_10A_kWh_per_ton_campus</f>
        <v>220199433.46492535</v>
      </c>
      <c r="AF195" s="21">
        <f>'Core Loads'!AE$439*Elec_10A_kWh_per_kWh_campus+'Core Loads'!AE$459*Process_10A_kWh_per_lb_campus+'Core Loads'!AE$479*Htg_10A_kWh_per_MMBtu_campus+MAX('Core Loads'!AE$499-AbsChillerLoad,0)*Clg_10A_kWh_per_ton_campus</f>
        <v>220199433.46492535</v>
      </c>
      <c r="AG195" s="21">
        <f>'Core Loads'!AF$439*Elec_10A_kWh_per_kWh_campus+'Core Loads'!AF$459*Process_10A_kWh_per_lb_campus+'Core Loads'!AF$479*Htg_10A_kWh_per_MMBtu_campus+MAX('Core Loads'!AF$499-AbsChillerLoad,0)*Clg_10A_kWh_per_ton_campus</f>
        <v>220199433.46492535</v>
      </c>
      <c r="AH195"/>
      <c r="AI195" s="23" t="s">
        <v>293</v>
      </c>
    </row>
    <row r="196" spans="2:35" s="1" customFormat="1" hidden="1" outlineLevel="1" x14ac:dyDescent="0.25">
      <c r="B196" t="s">
        <v>136</v>
      </c>
      <c r="C196" t="s">
        <v>169</v>
      </c>
      <c r="D196" s="21">
        <f>'Core Loads'!C$459*Process_10A_therm_per_lb_campus+'Core Loads'!C$479*Htg_10A_therm_per_MMBtu_campus+MIN('Core Loads'!C$499,AbsChillerLoad)*Clg_10A_therm_per_ton_campus</f>
        <v>0</v>
      </c>
      <c r="E196" s="21">
        <f>'Core Loads'!D$459*Process_10A_therm_per_lb_campus+'Core Loads'!D$479*Htg_10A_therm_per_MMBtu_campus+MIN('Core Loads'!D$499,AbsChillerLoad)*Clg_10A_therm_per_ton_campus</f>
        <v>11970949.334322818</v>
      </c>
      <c r="F196" s="21">
        <f>'Core Loads'!E$459*Process_10A_therm_per_lb_campus+'Core Loads'!E$479*Htg_10A_therm_per_MMBtu_campus+MIN('Core Loads'!E$499,AbsChillerLoad)*Clg_10A_therm_per_ton_campus</f>
        <v>18613368.200255442</v>
      </c>
      <c r="G196" s="21">
        <f>'Core Loads'!F$459*Process_10A_therm_per_lb_campus+'Core Loads'!F$479*Htg_10A_therm_per_MMBtu_campus+MIN('Core Loads'!F$499,AbsChillerLoad)*Clg_10A_therm_per_ton_campus</f>
        <v>18347752.43999923</v>
      </c>
      <c r="H196" s="21">
        <f>'Core Loads'!G$459*Process_10A_therm_per_lb_campus+'Core Loads'!G$479*Htg_10A_therm_per_MMBtu_campus+MIN('Core Loads'!G$499,AbsChillerLoad)*Clg_10A_therm_per_ton_campus</f>
        <v>18347752.43999923</v>
      </c>
      <c r="I196" s="21">
        <f>'Core Loads'!H$459*Process_10A_therm_per_lb_campus+'Core Loads'!H$479*Htg_10A_therm_per_MMBtu_campus+MIN('Core Loads'!H$499,AbsChillerLoad)*Clg_10A_therm_per_ton_campus</f>
        <v>18113313.827005364</v>
      </c>
      <c r="J196" s="21">
        <f>'Core Loads'!I$459*Process_10A_therm_per_lb_campus+'Core Loads'!I$479*Htg_10A_therm_per_MMBtu_campus+MIN('Core Loads'!I$499,AbsChillerLoad)*Clg_10A_therm_per_ton_campus</f>
        <v>18113313.827005364</v>
      </c>
      <c r="K196" s="21">
        <f>'Core Loads'!J$459*Process_10A_therm_per_lb_campus+'Core Loads'!J$479*Htg_10A_therm_per_MMBtu_campus+MIN('Core Loads'!J$499,AbsChillerLoad)*Clg_10A_therm_per_ton_campus</f>
        <v>17604058.258664448</v>
      </c>
      <c r="L196" s="21">
        <f>'Core Loads'!K$459*Process_10A_therm_per_lb_campus+'Core Loads'!K$479*Htg_10A_therm_per_MMBtu_campus+MIN('Core Loads'!K$499,AbsChillerLoad)*Clg_10A_therm_per_ton_campus</f>
        <v>17604058.258664448</v>
      </c>
      <c r="M196" s="21">
        <f>'Core Loads'!L$459*Process_10A_therm_per_lb_campus+'Core Loads'!L$479*Htg_10A_therm_per_MMBtu_campus+MIN('Core Loads'!L$499,AbsChillerLoad)*Clg_10A_therm_per_ton_campus</f>
        <v>17436721.282063976</v>
      </c>
      <c r="N196" s="21">
        <f>'Core Loads'!M$459*Process_10A_therm_per_lb_campus+'Core Loads'!M$479*Htg_10A_therm_per_MMBtu_campus+MIN('Core Loads'!M$499,AbsChillerLoad)*Clg_10A_therm_per_ton_campus</f>
        <v>17436721.282063976</v>
      </c>
      <c r="O196" s="21">
        <f>'Core Loads'!N$459*Process_10A_therm_per_lb_campus+'Core Loads'!N$479*Htg_10A_therm_per_MMBtu_campus+MIN('Core Loads'!N$499,AbsChillerLoad)*Clg_10A_therm_per_ton_campus</f>
        <v>17159265.977142181</v>
      </c>
      <c r="P196" s="21">
        <f>'Core Loads'!O$459*Process_10A_therm_per_lb_campus+'Core Loads'!O$479*Htg_10A_therm_per_MMBtu_campus+MIN('Core Loads'!O$499,AbsChillerLoad)*Clg_10A_therm_per_ton_campus</f>
        <v>17159265.977142181</v>
      </c>
      <c r="Q196" s="21">
        <f>'Core Loads'!P$459*Process_10A_therm_per_lb_campus+'Core Loads'!P$479*Htg_10A_therm_per_MMBtu_campus+MIN('Core Loads'!P$499,AbsChillerLoad)*Clg_10A_therm_per_ton_campus</f>
        <v>17088878.844462093</v>
      </c>
      <c r="R196" s="21">
        <f>'Core Loads'!Q$459*Process_10A_therm_per_lb_campus+'Core Loads'!Q$479*Htg_10A_therm_per_MMBtu_campus+MIN('Core Loads'!Q$499,AbsChillerLoad)*Clg_10A_therm_per_ton_campus</f>
        <v>17088878.844462093</v>
      </c>
      <c r="S196" s="21">
        <f>'Core Loads'!R$459*Process_10A_therm_per_lb_campus+'Core Loads'!R$479*Htg_10A_therm_per_MMBtu_campus+MIN('Core Loads'!R$499,AbsChillerLoad)*Clg_10A_therm_per_ton_campus</f>
        <v>17874338.002593145</v>
      </c>
      <c r="T196" s="21">
        <f>'Core Loads'!S$459*Process_10A_therm_per_lb_campus+'Core Loads'!S$479*Htg_10A_therm_per_MMBtu_campus+MIN('Core Loads'!S$499,AbsChillerLoad)*Clg_10A_therm_per_ton_campus</f>
        <v>17874338.002593145</v>
      </c>
      <c r="U196" s="21">
        <f>'Core Loads'!T$459*Process_10A_therm_per_lb_campus+'Core Loads'!T$479*Htg_10A_therm_per_MMBtu_campus+MIN('Core Loads'!T$499,AbsChillerLoad)*Clg_10A_therm_per_ton_campus</f>
        <v>17840779.92662558</v>
      </c>
      <c r="V196" s="21">
        <f>'Core Loads'!U$459*Process_10A_therm_per_lb_campus+'Core Loads'!U$479*Htg_10A_therm_per_MMBtu_campus+MIN('Core Loads'!U$499,AbsChillerLoad)*Clg_10A_therm_per_ton_campus</f>
        <v>17840779.92662558</v>
      </c>
      <c r="W196" s="21">
        <f>'Core Loads'!V$459*Process_10A_therm_per_lb_campus+'Core Loads'!V$479*Htg_10A_therm_per_MMBtu_campus+MIN('Core Loads'!V$499,AbsChillerLoad)*Clg_10A_therm_per_ton_campus</f>
        <v>17807525.131535459</v>
      </c>
      <c r="X196" s="21">
        <f>'Core Loads'!W$459*Process_10A_therm_per_lb_campus+'Core Loads'!W$479*Htg_10A_therm_per_MMBtu_campus+MIN('Core Loads'!W$499,AbsChillerLoad)*Clg_10A_therm_per_ton_campus</f>
        <v>17807525.131535459</v>
      </c>
      <c r="Y196" s="21">
        <f>'Core Loads'!X$459*Process_10A_therm_per_lb_campus+'Core Loads'!X$479*Htg_10A_therm_per_MMBtu_campus+MIN('Core Loads'!X$499,AbsChillerLoad)*Clg_10A_therm_per_ton_campus</f>
        <v>17807525.131535459</v>
      </c>
      <c r="Z196" s="21">
        <f>'Core Loads'!Y$459*Process_10A_therm_per_lb_campus+'Core Loads'!Y$479*Htg_10A_therm_per_MMBtu_campus+MIN('Core Loads'!Y$499,AbsChillerLoad)*Clg_10A_therm_per_ton_campus</f>
        <v>17807525.131535459</v>
      </c>
      <c r="AA196" s="21">
        <f>'Core Loads'!Z$459*Process_10A_therm_per_lb_campus+'Core Loads'!Z$479*Htg_10A_therm_per_MMBtu_campus+MIN('Core Loads'!Z$499,AbsChillerLoad)*Clg_10A_therm_per_ton_campus</f>
        <v>17807525.131535459</v>
      </c>
      <c r="AB196" s="21">
        <f>'Core Loads'!AA$459*Process_10A_therm_per_lb_campus+'Core Loads'!AA$479*Htg_10A_therm_per_MMBtu_campus+MIN('Core Loads'!AA$499,AbsChillerLoad)*Clg_10A_therm_per_ton_campus</f>
        <v>17807525.131535459</v>
      </c>
      <c r="AC196" s="21">
        <f>'Core Loads'!AB$459*Process_10A_therm_per_lb_campus+'Core Loads'!AB$479*Htg_10A_therm_per_MMBtu_campus+MIN('Core Loads'!AB$499,AbsChillerLoad)*Clg_10A_therm_per_ton_campus</f>
        <v>17774189.658897694</v>
      </c>
      <c r="AD196" s="21">
        <f>'Core Loads'!AC$459*Process_10A_therm_per_lb_campus+'Core Loads'!AC$479*Htg_10A_therm_per_MMBtu_campus+MIN('Core Loads'!AC$499,AbsChillerLoad)*Clg_10A_therm_per_ton_campus</f>
        <v>17774189.658897694</v>
      </c>
      <c r="AE196" s="21">
        <f>'Core Loads'!AD$459*Process_10A_therm_per_lb_campus+'Core Loads'!AD$479*Htg_10A_therm_per_MMBtu_campus+MIN('Core Loads'!AD$499,AbsChillerLoad)*Clg_10A_therm_per_ton_campus</f>
        <v>17774189.658897694</v>
      </c>
      <c r="AF196" s="21">
        <f>'Core Loads'!AE$459*Process_10A_therm_per_lb_campus+'Core Loads'!AE$479*Htg_10A_therm_per_MMBtu_campus+MIN('Core Loads'!AE$499,AbsChillerLoad)*Clg_10A_therm_per_ton_campus</f>
        <v>17774189.658897694</v>
      </c>
      <c r="AG196" s="21">
        <f>'Core Loads'!AF$459*Process_10A_therm_per_lb_campus+'Core Loads'!AF$479*Htg_10A_therm_per_MMBtu_campus+MIN('Core Loads'!AF$499,AbsChillerLoad)*Clg_10A_therm_per_ton_campus</f>
        <v>17774189.658897694</v>
      </c>
      <c r="AH196"/>
      <c r="AI196" s="23" t="s">
        <v>293</v>
      </c>
    </row>
    <row r="197" spans="2:35" s="1" customFormat="1" hidden="1" outlineLevel="1" x14ac:dyDescent="0.25">
      <c r="B197" t="s">
        <v>154</v>
      </c>
      <c r="C197" t="s">
        <v>170</v>
      </c>
      <c r="D197" s="21">
        <f>'Core Loads'!C$459*Process_10A_CCF_per_lb_campus+'Core Loads'!C$479*Htg_10A_CCF_per_MMBtu_campus+'Core Loads'!C$499*Clg_10A_CCF_per_ton_campus</f>
        <v>0</v>
      </c>
      <c r="E197" s="21">
        <f>'Core Loads'!D$459*Process_10A_CCF_per_lb_campus+'Core Loads'!D$479*Htg_10A_CCF_per_MMBtu_campus+'Core Loads'!D$499*Clg_10A_CCF_per_ton_campus</f>
        <v>91827.643018846808</v>
      </c>
      <c r="F197" s="21">
        <f>'Core Loads'!E$459*Process_10A_CCF_per_lb_campus+'Core Loads'!E$479*Htg_10A_CCF_per_MMBtu_campus+'Core Loads'!E$499*Clg_10A_CCF_per_ton_campus</f>
        <v>229722.39862835626</v>
      </c>
      <c r="G197" s="21">
        <f>'Core Loads'!F$459*Process_10A_CCF_per_lb_campus+'Core Loads'!F$479*Htg_10A_CCF_per_MMBtu_campus+'Core Loads'!F$499*Clg_10A_CCF_per_ton_campus</f>
        <v>249312.68063645501</v>
      </c>
      <c r="H197" s="21">
        <f>'Core Loads'!G$459*Process_10A_CCF_per_lb_campus+'Core Loads'!G$479*Htg_10A_CCF_per_MMBtu_campus+'Core Loads'!G$499*Clg_10A_CCF_per_ton_campus</f>
        <v>249312.68063645501</v>
      </c>
      <c r="I197" s="21">
        <f>'Core Loads'!H$459*Process_10A_CCF_per_lb_campus+'Core Loads'!H$479*Htg_10A_CCF_per_MMBtu_campus+'Core Loads'!H$499*Clg_10A_CCF_per_ton_campus</f>
        <v>269580.38539741182</v>
      </c>
      <c r="J197" s="21">
        <f>'Core Loads'!I$459*Process_10A_CCF_per_lb_campus+'Core Loads'!I$479*Htg_10A_CCF_per_MMBtu_campus+'Core Loads'!I$499*Clg_10A_CCF_per_ton_campus</f>
        <v>269580.38539741182</v>
      </c>
      <c r="K197" s="21">
        <f>'Core Loads'!J$459*Process_10A_CCF_per_lb_campus+'Core Loads'!J$479*Htg_10A_CCF_per_MMBtu_campus+'Core Loads'!J$499*Clg_10A_CCF_per_ton_campus</f>
        <v>260455.06022020319</v>
      </c>
      <c r="L197" s="21">
        <f>'Core Loads'!K$459*Process_10A_CCF_per_lb_campus+'Core Loads'!K$479*Htg_10A_CCF_per_MMBtu_campus+'Core Loads'!K$499*Clg_10A_CCF_per_ton_campus</f>
        <v>260455.06022020319</v>
      </c>
      <c r="M197" s="21">
        <f>'Core Loads'!L$459*Process_10A_CCF_per_lb_campus+'Core Loads'!L$479*Htg_10A_CCF_per_MMBtu_campus+'Core Loads'!L$499*Clg_10A_CCF_per_ton_campus</f>
        <v>262015.96304573605</v>
      </c>
      <c r="N197" s="21">
        <f>'Core Loads'!M$459*Process_10A_CCF_per_lb_campus+'Core Loads'!M$479*Htg_10A_CCF_per_MMBtu_campus+'Core Loads'!M$499*Clg_10A_CCF_per_ton_campus</f>
        <v>262015.96304573605</v>
      </c>
      <c r="O197" s="21">
        <f>'Core Loads'!N$459*Process_10A_CCF_per_lb_campus+'Core Loads'!N$479*Htg_10A_CCF_per_MMBtu_campus+'Core Loads'!N$499*Clg_10A_CCF_per_ton_campus</f>
        <v>258895.12716426712</v>
      </c>
      <c r="P197" s="21">
        <f>'Core Loads'!O$459*Process_10A_CCF_per_lb_campus+'Core Loads'!O$479*Htg_10A_CCF_per_MMBtu_campus+'Core Loads'!O$499*Clg_10A_CCF_per_ton_campus</f>
        <v>258895.12716426712</v>
      </c>
      <c r="Q197" s="21">
        <f>'Core Loads'!P$459*Process_10A_CCF_per_lb_campus+'Core Loads'!P$479*Htg_10A_CCF_per_MMBtu_campus+'Core Loads'!P$499*Clg_10A_CCF_per_ton_campus</f>
        <v>258186.918357205</v>
      </c>
      <c r="R197" s="21">
        <f>'Core Loads'!Q$459*Process_10A_CCF_per_lb_campus+'Core Loads'!Q$479*Htg_10A_CCF_per_MMBtu_campus+'Core Loads'!Q$499*Clg_10A_CCF_per_ton_campus</f>
        <v>258186.918357205</v>
      </c>
      <c r="S197" s="21">
        <f>'Core Loads'!R$459*Process_10A_CCF_per_lb_campus+'Core Loads'!R$479*Htg_10A_CCF_per_MMBtu_campus+'Core Loads'!R$499*Clg_10A_CCF_per_ton_campus</f>
        <v>292697.91370478703</v>
      </c>
      <c r="T197" s="21">
        <f>'Core Loads'!S$459*Process_10A_CCF_per_lb_campus+'Core Loads'!S$479*Htg_10A_CCF_per_MMBtu_campus+'Core Loads'!S$499*Clg_10A_CCF_per_ton_campus</f>
        <v>292697.91370478703</v>
      </c>
      <c r="U197" s="21">
        <f>'Core Loads'!T$459*Process_10A_CCF_per_lb_campus+'Core Loads'!T$479*Htg_10A_CCF_per_MMBtu_campus+'Core Loads'!T$499*Clg_10A_CCF_per_ton_campus</f>
        <v>292485.95395244943</v>
      </c>
      <c r="V197" s="21">
        <f>'Core Loads'!U$459*Process_10A_CCF_per_lb_campus+'Core Loads'!U$479*Htg_10A_CCF_per_MMBtu_campus+'Core Loads'!U$499*Clg_10A_CCF_per_ton_campus</f>
        <v>292485.95395244943</v>
      </c>
      <c r="W197" s="21">
        <f>'Core Loads'!V$459*Process_10A_CCF_per_lb_campus+'Core Loads'!V$479*Htg_10A_CCF_per_MMBtu_campus+'Core Loads'!V$499*Clg_10A_CCF_per_ton_campus</f>
        <v>291756.69440303242</v>
      </c>
      <c r="X197" s="21">
        <f>'Core Loads'!W$459*Process_10A_CCF_per_lb_campus+'Core Loads'!W$479*Htg_10A_CCF_per_MMBtu_campus+'Core Loads'!W$499*Clg_10A_CCF_per_ton_campus</f>
        <v>291756.69440303242</v>
      </c>
      <c r="Y197" s="21">
        <f>'Core Loads'!X$459*Process_10A_CCF_per_lb_campus+'Core Loads'!X$479*Htg_10A_CCF_per_MMBtu_campus+'Core Loads'!X$499*Clg_10A_CCF_per_ton_campus</f>
        <v>291756.69440303242</v>
      </c>
      <c r="Z197" s="21">
        <f>'Core Loads'!Y$459*Process_10A_CCF_per_lb_campus+'Core Loads'!Y$479*Htg_10A_CCF_per_MMBtu_campus+'Core Loads'!Y$499*Clg_10A_CCF_per_ton_campus</f>
        <v>291756.69440303242</v>
      </c>
      <c r="AA197" s="21">
        <f>'Core Loads'!Z$459*Process_10A_CCF_per_lb_campus+'Core Loads'!Z$479*Htg_10A_CCF_per_MMBtu_campus+'Core Loads'!Z$499*Clg_10A_CCF_per_ton_campus</f>
        <v>291756.69440303242</v>
      </c>
      <c r="AB197" s="21">
        <f>'Core Loads'!AA$459*Process_10A_CCF_per_lb_campus+'Core Loads'!AA$479*Htg_10A_CCF_per_MMBtu_campus+'Core Loads'!AA$499*Clg_10A_CCF_per_ton_campus</f>
        <v>291756.69440303242</v>
      </c>
      <c r="AC197" s="21">
        <f>'Core Loads'!AB$459*Process_10A_CCF_per_lb_campus+'Core Loads'!AB$479*Htg_10A_CCF_per_MMBtu_campus+'Core Loads'!AB$499*Clg_10A_CCF_per_ton_campus</f>
        <v>290846.81169120385</v>
      </c>
      <c r="AD197" s="21">
        <f>'Core Loads'!AC$459*Process_10A_CCF_per_lb_campus+'Core Loads'!AC$479*Htg_10A_CCF_per_MMBtu_campus+'Core Loads'!AC$499*Clg_10A_CCF_per_ton_campus</f>
        <v>290846.81169120385</v>
      </c>
      <c r="AE197" s="21">
        <f>'Core Loads'!AD$459*Process_10A_CCF_per_lb_campus+'Core Loads'!AD$479*Htg_10A_CCF_per_MMBtu_campus+'Core Loads'!AD$499*Clg_10A_CCF_per_ton_campus</f>
        <v>290846.81169120385</v>
      </c>
      <c r="AF197" s="21">
        <f>'Core Loads'!AE$459*Process_10A_CCF_per_lb_campus+'Core Loads'!AE$479*Htg_10A_CCF_per_MMBtu_campus+'Core Loads'!AE$499*Clg_10A_CCF_per_ton_campus</f>
        <v>290846.81169120385</v>
      </c>
      <c r="AG197" s="21">
        <f>'Core Loads'!AF$459*Process_10A_CCF_per_lb_campus+'Core Loads'!AF$479*Htg_10A_CCF_per_MMBtu_campus+'Core Loads'!AF$499*Clg_10A_CCF_per_ton_campus</f>
        <v>290846.81169120385</v>
      </c>
      <c r="AH197"/>
      <c r="AI197" s="23" t="s">
        <v>293</v>
      </c>
    </row>
    <row r="198" spans="2:35" ht="15.75" collapsed="1" thickTop="1" x14ac:dyDescent="0.25"/>
    <row r="200" spans="2:35" s="1" customFormat="1" ht="20.25" thickBot="1" x14ac:dyDescent="0.35">
      <c r="B200" s="18" t="s">
        <v>300</v>
      </c>
      <c r="C200" s="18"/>
      <c r="D200" s="18"/>
      <c r="E200" s="25"/>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row>
    <row r="201" spans="2:35" s="1" customFormat="1" ht="18" hidden="1" outlineLevel="1" thickTop="1" thickBot="1" x14ac:dyDescent="0.3">
      <c r="B201" s="19" t="s">
        <v>278</v>
      </c>
      <c r="C201" s="19"/>
      <c r="D201" s="19"/>
      <c r="E201" s="67"/>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row>
    <row r="202" spans="2:35" s="1" customFormat="1" ht="16.5" hidden="1" outlineLevel="1" thickTop="1" thickBot="1" x14ac:dyDescent="0.3">
      <c r="B202" s="20" t="s">
        <v>292</v>
      </c>
      <c r="C202" s="20" t="s">
        <v>13</v>
      </c>
      <c r="D202" s="20" t="s">
        <v>17</v>
      </c>
      <c r="E202" s="68"/>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t="s">
        <v>15</v>
      </c>
    </row>
    <row r="203" spans="2:35" hidden="1" outlineLevel="1" x14ac:dyDescent="0.25">
      <c r="D203" s="8">
        <f>'Core Loads'!$C$14</f>
        <v>2025</v>
      </c>
      <c r="E203" s="62">
        <f>'Core Loads'!$D$14</f>
        <v>2026</v>
      </c>
      <c r="F203" s="8">
        <f>'Core Loads'!$E$14</f>
        <v>2027</v>
      </c>
      <c r="G203" s="8">
        <f>'Core Loads'!$F$14</f>
        <v>2028</v>
      </c>
      <c r="H203" s="8">
        <f>'Core Loads'!$G$14</f>
        <v>2029</v>
      </c>
      <c r="I203" s="8">
        <f>'Core Loads'!$H$14</f>
        <v>2030</v>
      </c>
      <c r="J203" s="8">
        <f>'Core Loads'!$I$14</f>
        <v>2031</v>
      </c>
      <c r="K203" s="8">
        <f>'Core Loads'!$J$14</f>
        <v>2032</v>
      </c>
      <c r="L203" s="8">
        <f>'Core Loads'!$K$14</f>
        <v>2033</v>
      </c>
      <c r="M203" s="8">
        <f>'Core Loads'!$L$14</f>
        <v>2034</v>
      </c>
      <c r="N203" s="8">
        <f>'Core Loads'!$M$14</f>
        <v>2035</v>
      </c>
      <c r="O203" s="8">
        <f>'Core Loads'!$N$14</f>
        <v>2036</v>
      </c>
      <c r="P203" s="8">
        <f>'Core Loads'!$O$14</f>
        <v>2037</v>
      </c>
      <c r="Q203" s="8">
        <f>'Core Loads'!$P$14</f>
        <v>2038</v>
      </c>
      <c r="R203" s="8">
        <f>'Core Loads'!$Q$14</f>
        <v>2039</v>
      </c>
      <c r="S203" s="8">
        <f>'Core Loads'!$R$14</f>
        <v>2040</v>
      </c>
      <c r="T203" s="8">
        <f>'Core Loads'!$S$14</f>
        <v>2041</v>
      </c>
      <c r="U203" s="8">
        <f>'Core Loads'!$T$14</f>
        <v>2042</v>
      </c>
      <c r="V203" s="8">
        <f>'Core Loads'!$U$14</f>
        <v>2043</v>
      </c>
      <c r="W203" s="8">
        <f>'Core Loads'!$V$14</f>
        <v>2044</v>
      </c>
      <c r="X203" s="8">
        <f>'Core Loads'!$W$14</f>
        <v>2045</v>
      </c>
      <c r="Y203" s="8">
        <f>'Core Loads'!$X$14</f>
        <v>2046</v>
      </c>
      <c r="Z203" s="8">
        <f>'Core Loads'!$Y$14</f>
        <v>2047</v>
      </c>
      <c r="AA203" s="8">
        <f>'Core Loads'!$Z$14</f>
        <v>2048</v>
      </c>
      <c r="AB203" s="8">
        <f>'Core Loads'!$AA$14</f>
        <v>2049</v>
      </c>
      <c r="AC203" s="8">
        <f>'Core Loads'!$AB$14</f>
        <v>2050</v>
      </c>
      <c r="AD203" s="8">
        <f>'Core Loads'!$AC$14</f>
        <v>2051</v>
      </c>
      <c r="AE203" s="8">
        <f>'Core Loads'!$AD$14</f>
        <v>2052</v>
      </c>
      <c r="AF203" s="8">
        <f>'Core Loads'!$AE$14</f>
        <v>2053</v>
      </c>
      <c r="AG203" s="8">
        <f>'Core Loads'!$AF$14</f>
        <v>2054</v>
      </c>
    </row>
    <row r="204" spans="2:35" s="1" customFormat="1" hidden="1" outlineLevel="1" x14ac:dyDescent="0.25">
      <c r="B204" t="s">
        <v>141</v>
      </c>
      <c r="C204" t="s">
        <v>109</v>
      </c>
      <c r="D204" s="21">
        <f>MAX('Core Loads'!C$512*Elec_exstg_kWh_per_kWh_campus+'Core Loads'!C$532*Process_exstg_kWh_per_lb_campus+'Core Loads'!C$552*Htg_exstg_kWh_per_MMBtu_campus+MAX('Core Loads'!C$572-AbsChillerLoad,0)*Clg_exstg_kWh_per_ton_campus-CogenElecOutputExstg,0)</f>
        <v>0</v>
      </c>
      <c r="E204" s="69">
        <f>MAX('Core Loads'!D$512*Elec_exstg_kWh_per_kWh_campus+'Core Loads'!D$532*Process_exstg_kWh_per_lb_campus+'Core Loads'!D$552*Htg_exstg_kWh_per_MMBtu_campus+MAX('Core Loads'!D$572-AbsChillerLoad,0)*Clg_exstg_kWh_per_ton_campus-CogenElecOutputExstg,0)</f>
        <v>2865758.5345967412</v>
      </c>
      <c r="F204" s="21">
        <f>MAX('Core Loads'!E$512*Elec_exstg_kWh_per_kWh_campus+'Core Loads'!E$532*Process_exstg_kWh_per_lb_campus+'Core Loads'!E$552*Htg_exstg_kWh_per_MMBtu_campus+MAX('Core Loads'!E$572-AbsChillerLoad,0)*Clg_exstg_kWh_per_ton_campus-CogenElecOutputExstg,0)</f>
        <v>0</v>
      </c>
      <c r="G204" s="21">
        <f>MAX('Core Loads'!F$512*Elec_exstg_kWh_per_kWh_campus+'Core Loads'!F$532*Process_exstg_kWh_per_lb_campus+'Core Loads'!F$552*Htg_exstg_kWh_per_MMBtu_campus+MAX('Core Loads'!F$572-AbsChillerLoad,0)*Clg_exstg_kWh_per_ton_campus-CogenElecOutputExstg,0)</f>
        <v>0</v>
      </c>
      <c r="H204" s="21">
        <f>MAX('Core Loads'!G$512*Elec_exstg_kWh_per_kWh_campus+'Core Loads'!G$532*Process_exstg_kWh_per_lb_campus+'Core Loads'!G$552*Htg_exstg_kWh_per_MMBtu_campus+MAX('Core Loads'!G$572-AbsChillerLoad,0)*Clg_exstg_kWh_per_ton_campus-CogenElecOutputExstg,0)</f>
        <v>0</v>
      </c>
      <c r="I204" s="21">
        <f>MAX('Core Loads'!H$512*Elec_exstg_kWh_per_kWh_campus+'Core Loads'!H$532*Process_exstg_kWh_per_lb_campus+'Core Loads'!H$552*Htg_exstg_kWh_per_MMBtu_campus+MAX('Core Loads'!H$572-AbsChillerLoad,0)*Clg_exstg_kWh_per_ton_campus-CogenElecOutputExstg,0)</f>
        <v>0</v>
      </c>
      <c r="J204" s="21">
        <f>MAX('Core Loads'!I$512*Elec_exstg_kWh_per_kWh_campus+'Core Loads'!I$532*Process_exstg_kWh_per_lb_campus+'Core Loads'!I$552*Htg_exstg_kWh_per_MMBtu_campus+MAX('Core Loads'!I$572-AbsChillerLoad,0)*Clg_exstg_kWh_per_ton_campus-CogenElecOutputExstg,0)</f>
        <v>0</v>
      </c>
      <c r="K204" s="21">
        <f>MAX('Core Loads'!J$512*Elec_exstg_kWh_per_kWh_campus+'Core Loads'!J$532*Process_exstg_kWh_per_lb_campus+'Core Loads'!J$552*Htg_exstg_kWh_per_MMBtu_campus+MAX('Core Loads'!J$572-AbsChillerLoad,0)*Clg_exstg_kWh_per_ton_campus-CogenElecOutputExstg,0)</f>
        <v>0</v>
      </c>
      <c r="L204" s="21">
        <f>MAX('Core Loads'!K$512*Elec_exstg_kWh_per_kWh_campus+'Core Loads'!K$532*Process_exstg_kWh_per_lb_campus+'Core Loads'!K$552*Htg_exstg_kWh_per_MMBtu_campus+MAX('Core Loads'!K$572-AbsChillerLoad,0)*Clg_exstg_kWh_per_ton_campus-CogenElecOutputExstg,0)</f>
        <v>0</v>
      </c>
      <c r="M204" s="21">
        <f>MAX('Core Loads'!L$512*Elec_exstg_kWh_per_kWh_campus+'Core Loads'!L$532*Process_exstg_kWh_per_lb_campus+'Core Loads'!L$552*Htg_exstg_kWh_per_MMBtu_campus+MAX('Core Loads'!L$572-AbsChillerLoad,0)*Clg_exstg_kWh_per_ton_campus-CogenElecOutputExstg,0)</f>
        <v>0</v>
      </c>
      <c r="N204" s="21">
        <f>MAX('Core Loads'!M$512*Elec_exstg_kWh_per_kWh_campus+'Core Loads'!M$532*Process_exstg_kWh_per_lb_campus+'Core Loads'!M$552*Htg_exstg_kWh_per_MMBtu_campus+MAX('Core Loads'!M$572-AbsChillerLoad,0)*Clg_exstg_kWh_per_ton_campus-CogenElecOutputExstg,0)</f>
        <v>0</v>
      </c>
      <c r="O204" s="21">
        <f>MAX('Core Loads'!N$512*Elec_exstg_kWh_per_kWh_campus+'Core Loads'!N$532*Process_exstg_kWh_per_lb_campus+'Core Loads'!N$552*Htg_exstg_kWh_per_MMBtu_campus+MAX('Core Loads'!N$572-AbsChillerLoad,0)*Clg_exstg_kWh_per_ton_campus-CogenElecOutputExstg,0)</f>
        <v>0</v>
      </c>
      <c r="P204" s="21">
        <f>MAX('Core Loads'!O$512*Elec_exstg_kWh_per_kWh_campus+'Core Loads'!O$532*Process_exstg_kWh_per_lb_campus+'Core Loads'!O$552*Htg_exstg_kWh_per_MMBtu_campus+MAX('Core Loads'!O$572-AbsChillerLoad,0)*Clg_exstg_kWh_per_ton_campus-CogenElecOutputExstg,0)</f>
        <v>0</v>
      </c>
      <c r="Q204" s="21">
        <f>MAX('Core Loads'!P$512*Elec_exstg_kWh_per_kWh_campus+'Core Loads'!P$532*Process_exstg_kWh_per_lb_campus+'Core Loads'!P$552*Htg_exstg_kWh_per_MMBtu_campus+MAX('Core Loads'!P$572-AbsChillerLoad,0)*Clg_exstg_kWh_per_ton_campus-CogenElecOutputExstg,0)</f>
        <v>0</v>
      </c>
      <c r="R204" s="21">
        <f>MAX('Core Loads'!Q$512*Elec_exstg_kWh_per_kWh_campus+'Core Loads'!Q$532*Process_exstg_kWh_per_lb_campus+'Core Loads'!Q$552*Htg_exstg_kWh_per_MMBtu_campus+MAX('Core Loads'!Q$572-AbsChillerLoad,0)*Clg_exstg_kWh_per_ton_campus-CogenElecOutputExstg,0)</f>
        <v>0</v>
      </c>
      <c r="S204" s="21">
        <f>MAX('Core Loads'!R$512*Elec_exstg_kWh_per_kWh_campus+'Core Loads'!R$532*Process_exstg_kWh_per_lb_campus+'Core Loads'!R$552*Htg_exstg_kWh_per_MMBtu_campus+MAX('Core Loads'!R$572-AbsChillerLoad,0)*Clg_exstg_kWh_per_ton_campus-CogenElecOutputExstg,0)</f>
        <v>0</v>
      </c>
      <c r="T204" s="21">
        <f>MAX('Core Loads'!S$512*Elec_exstg_kWh_per_kWh_campus+'Core Loads'!S$532*Process_exstg_kWh_per_lb_campus+'Core Loads'!S$552*Htg_exstg_kWh_per_MMBtu_campus+MAX('Core Loads'!S$572-AbsChillerLoad,0)*Clg_exstg_kWh_per_ton_campus-CogenElecOutputExstg,0)</f>
        <v>0</v>
      </c>
      <c r="U204" s="21">
        <f>MAX('Core Loads'!T$512*Elec_exstg_kWh_per_kWh_campus+'Core Loads'!T$532*Process_exstg_kWh_per_lb_campus+'Core Loads'!T$552*Htg_exstg_kWh_per_MMBtu_campus+MAX('Core Loads'!T$572-AbsChillerLoad,0)*Clg_exstg_kWh_per_ton_campus-CogenElecOutputExstg,0)</f>
        <v>0</v>
      </c>
      <c r="V204" s="21">
        <f>MAX('Core Loads'!U$512*Elec_exstg_kWh_per_kWh_campus+'Core Loads'!U$532*Process_exstg_kWh_per_lb_campus+'Core Loads'!U$552*Htg_exstg_kWh_per_MMBtu_campus+MAX('Core Loads'!U$572-AbsChillerLoad,0)*Clg_exstg_kWh_per_ton_campus-CogenElecOutputExstg,0)</f>
        <v>0</v>
      </c>
      <c r="W204" s="21">
        <f>MAX('Core Loads'!V$512*Elec_exstg_kWh_per_kWh_campus+'Core Loads'!V$532*Process_exstg_kWh_per_lb_campus+'Core Loads'!V$552*Htg_exstg_kWh_per_MMBtu_campus+MAX('Core Loads'!V$572-AbsChillerLoad,0)*Clg_exstg_kWh_per_ton_campus-CogenElecOutputExstg,0)</f>
        <v>0</v>
      </c>
      <c r="X204" s="21">
        <f>MAX('Core Loads'!W$512*Elec_exstg_kWh_per_kWh_campus+'Core Loads'!W$532*Process_exstg_kWh_per_lb_campus+'Core Loads'!W$552*Htg_exstg_kWh_per_MMBtu_campus+MAX('Core Loads'!W$572-AbsChillerLoad,0)*Clg_exstg_kWh_per_ton_campus-CogenElecOutputExstg,0)</f>
        <v>0</v>
      </c>
      <c r="Y204" s="21">
        <f>MAX('Core Loads'!X$512*Elec_exstg_kWh_per_kWh_campus+'Core Loads'!X$532*Process_exstg_kWh_per_lb_campus+'Core Loads'!X$552*Htg_exstg_kWh_per_MMBtu_campus+MAX('Core Loads'!X$572-AbsChillerLoad,0)*Clg_exstg_kWh_per_ton_campus-CogenElecOutputExstg,0)</f>
        <v>0</v>
      </c>
      <c r="Z204" s="21">
        <f>MAX('Core Loads'!Y$512*Elec_exstg_kWh_per_kWh_campus+'Core Loads'!Y$532*Process_exstg_kWh_per_lb_campus+'Core Loads'!Y$552*Htg_exstg_kWh_per_MMBtu_campus+MAX('Core Loads'!Y$572-AbsChillerLoad,0)*Clg_exstg_kWh_per_ton_campus-CogenElecOutputExstg,0)</f>
        <v>0</v>
      </c>
      <c r="AA204" s="21">
        <f>MAX('Core Loads'!Z$512*Elec_exstg_kWh_per_kWh_campus+'Core Loads'!Z$532*Process_exstg_kWh_per_lb_campus+'Core Loads'!Z$552*Htg_exstg_kWh_per_MMBtu_campus+MAX('Core Loads'!Z$572-AbsChillerLoad,0)*Clg_exstg_kWh_per_ton_campus-CogenElecOutputExstg,0)</f>
        <v>0</v>
      </c>
      <c r="AB204" s="21">
        <f>MAX('Core Loads'!AA$512*Elec_exstg_kWh_per_kWh_campus+'Core Loads'!AA$532*Process_exstg_kWh_per_lb_campus+'Core Loads'!AA$552*Htg_exstg_kWh_per_MMBtu_campus+MAX('Core Loads'!AA$572-AbsChillerLoad,0)*Clg_exstg_kWh_per_ton_campus-CogenElecOutputExstg,0)</f>
        <v>0</v>
      </c>
      <c r="AC204" s="21">
        <f>MAX('Core Loads'!AB$512*Elec_exstg_kWh_per_kWh_campus+'Core Loads'!AB$532*Process_exstg_kWh_per_lb_campus+'Core Loads'!AB$552*Htg_exstg_kWh_per_MMBtu_campus+MAX('Core Loads'!AB$572-AbsChillerLoad,0)*Clg_exstg_kWh_per_ton_campus-CogenElecOutputExstg,0)</f>
        <v>0</v>
      </c>
      <c r="AD204" s="21">
        <f>MAX('Core Loads'!AC$512*Elec_exstg_kWh_per_kWh_campus+'Core Loads'!AC$532*Process_exstg_kWh_per_lb_campus+'Core Loads'!AC$552*Htg_exstg_kWh_per_MMBtu_campus+MAX('Core Loads'!AC$572-AbsChillerLoad,0)*Clg_exstg_kWh_per_ton_campus-CogenElecOutputExstg,0)</f>
        <v>0</v>
      </c>
      <c r="AE204" s="21">
        <f>MAX('Core Loads'!AD$512*Elec_exstg_kWh_per_kWh_campus+'Core Loads'!AD$532*Process_exstg_kWh_per_lb_campus+'Core Loads'!AD$552*Htg_exstg_kWh_per_MMBtu_campus+MAX('Core Loads'!AD$572-AbsChillerLoad,0)*Clg_exstg_kWh_per_ton_campus-CogenElecOutputExstg,0)</f>
        <v>0</v>
      </c>
      <c r="AF204" s="21">
        <f>MAX('Core Loads'!AE$512*Elec_exstg_kWh_per_kWh_campus+'Core Loads'!AE$532*Process_exstg_kWh_per_lb_campus+'Core Loads'!AE$552*Htg_exstg_kWh_per_MMBtu_campus+MAX('Core Loads'!AE$572-AbsChillerLoad,0)*Clg_exstg_kWh_per_ton_campus-CogenElecOutputExstg,0)</f>
        <v>0</v>
      </c>
      <c r="AG204" s="21">
        <f>MAX('Core Loads'!AF$512*Elec_exstg_kWh_per_kWh_campus+'Core Loads'!AF$532*Process_exstg_kWh_per_lb_campus+'Core Loads'!AF$552*Htg_exstg_kWh_per_MMBtu_campus+MAX('Core Loads'!AF$572-AbsChillerLoad,0)*Clg_exstg_kWh_per_ton_campus-CogenElecOutputExstg,0)</f>
        <v>0</v>
      </c>
      <c r="AH204"/>
      <c r="AI204" s="23" t="s">
        <v>293</v>
      </c>
    </row>
    <row r="205" spans="2:35" s="1" customFormat="1" hidden="1" outlineLevel="1" x14ac:dyDescent="0.25">
      <c r="B205" t="s">
        <v>136</v>
      </c>
      <c r="C205" t="s">
        <v>169</v>
      </c>
      <c r="D205" s="21">
        <f>'Core Loads'!C$532*Process_exstg_therm_per_lb_campus+'Core Loads'!C$552*Htg_exstg_therm_per_MMBtu_campus+MIN('Core Loads'!C$572,AbsChillerLoad)*Clg_exstg_therm_per_ton_campus</f>
        <v>31258877.283118241</v>
      </c>
      <c r="E205" s="69">
        <f>'Core Loads'!D$532*Process_exstg_therm_per_lb_campus+'Core Loads'!D$552*Htg_exstg_therm_per_MMBtu_campus+MIN('Core Loads'!D$572,AbsChillerLoad)*Clg_exstg_therm_per_ton_campus</f>
        <v>31258877.283118241</v>
      </c>
      <c r="F205" s="21">
        <f>'Core Loads'!E$532*Process_exstg_therm_per_lb_campus+'Core Loads'!E$552*Htg_exstg_therm_per_MMBtu_campus+MIN('Core Loads'!E$572,AbsChillerLoad)*Clg_exstg_therm_per_ton_campus</f>
        <v>22981692.329201803</v>
      </c>
      <c r="G205" s="21">
        <f>'Core Loads'!F$532*Process_exstg_therm_per_lb_campus+'Core Loads'!F$552*Htg_exstg_therm_per_MMBtu_campus+MIN('Core Loads'!F$572,AbsChillerLoad)*Clg_exstg_therm_per_ton_campus</f>
        <v>0</v>
      </c>
      <c r="H205" s="21">
        <f>'Core Loads'!G$532*Process_exstg_therm_per_lb_campus+'Core Loads'!G$552*Htg_exstg_therm_per_MMBtu_campus+MIN('Core Loads'!G$572,AbsChillerLoad)*Clg_exstg_therm_per_ton_campus</f>
        <v>0</v>
      </c>
      <c r="I205" s="21">
        <f>'Core Loads'!H$532*Process_exstg_therm_per_lb_campus+'Core Loads'!H$552*Htg_exstg_therm_per_MMBtu_campus+MIN('Core Loads'!H$572,AbsChillerLoad)*Clg_exstg_therm_per_ton_campus</f>
        <v>0</v>
      </c>
      <c r="J205" s="21">
        <f>'Core Loads'!I$532*Process_exstg_therm_per_lb_campus+'Core Loads'!I$552*Htg_exstg_therm_per_MMBtu_campus+MIN('Core Loads'!I$572,AbsChillerLoad)*Clg_exstg_therm_per_ton_campus</f>
        <v>0</v>
      </c>
      <c r="K205" s="21">
        <f>'Core Loads'!J$532*Process_exstg_therm_per_lb_campus+'Core Loads'!J$552*Htg_exstg_therm_per_MMBtu_campus+MIN('Core Loads'!J$572,AbsChillerLoad)*Clg_exstg_therm_per_ton_campus</f>
        <v>0</v>
      </c>
      <c r="L205" s="21">
        <f>'Core Loads'!K$532*Process_exstg_therm_per_lb_campus+'Core Loads'!K$552*Htg_exstg_therm_per_MMBtu_campus+MIN('Core Loads'!K$572,AbsChillerLoad)*Clg_exstg_therm_per_ton_campus</f>
        <v>0</v>
      </c>
      <c r="M205" s="21">
        <f>'Core Loads'!L$532*Process_exstg_therm_per_lb_campus+'Core Loads'!L$552*Htg_exstg_therm_per_MMBtu_campus+MIN('Core Loads'!L$572,AbsChillerLoad)*Clg_exstg_therm_per_ton_campus</f>
        <v>0</v>
      </c>
      <c r="N205" s="21">
        <f>'Core Loads'!M$532*Process_exstg_therm_per_lb_campus+'Core Loads'!M$552*Htg_exstg_therm_per_MMBtu_campus+MIN('Core Loads'!M$572,AbsChillerLoad)*Clg_exstg_therm_per_ton_campus</f>
        <v>0</v>
      </c>
      <c r="O205" s="21">
        <f>'Core Loads'!N$532*Process_exstg_therm_per_lb_campus+'Core Loads'!N$552*Htg_exstg_therm_per_MMBtu_campus+MIN('Core Loads'!N$572,AbsChillerLoad)*Clg_exstg_therm_per_ton_campus</f>
        <v>0</v>
      </c>
      <c r="P205" s="21">
        <f>'Core Loads'!O$532*Process_exstg_therm_per_lb_campus+'Core Loads'!O$552*Htg_exstg_therm_per_MMBtu_campus+MIN('Core Loads'!O$572,AbsChillerLoad)*Clg_exstg_therm_per_ton_campus</f>
        <v>0</v>
      </c>
      <c r="Q205" s="21">
        <f>'Core Loads'!P$532*Process_exstg_therm_per_lb_campus+'Core Loads'!P$552*Htg_exstg_therm_per_MMBtu_campus+MIN('Core Loads'!P$572,AbsChillerLoad)*Clg_exstg_therm_per_ton_campus</f>
        <v>0</v>
      </c>
      <c r="R205" s="21">
        <f>'Core Loads'!Q$532*Process_exstg_therm_per_lb_campus+'Core Loads'!Q$552*Htg_exstg_therm_per_MMBtu_campus+MIN('Core Loads'!Q$572,AbsChillerLoad)*Clg_exstg_therm_per_ton_campus</f>
        <v>0</v>
      </c>
      <c r="S205" s="21">
        <f>'Core Loads'!R$532*Process_exstg_therm_per_lb_campus+'Core Loads'!R$552*Htg_exstg_therm_per_MMBtu_campus+MIN('Core Loads'!R$572,AbsChillerLoad)*Clg_exstg_therm_per_ton_campus</f>
        <v>0</v>
      </c>
      <c r="T205" s="21">
        <f>'Core Loads'!S$532*Process_exstg_therm_per_lb_campus+'Core Loads'!S$552*Htg_exstg_therm_per_MMBtu_campus+MIN('Core Loads'!S$572,AbsChillerLoad)*Clg_exstg_therm_per_ton_campus</f>
        <v>0</v>
      </c>
      <c r="U205" s="21">
        <f>'Core Loads'!T$532*Process_exstg_therm_per_lb_campus+'Core Loads'!T$552*Htg_exstg_therm_per_MMBtu_campus+MIN('Core Loads'!T$572,AbsChillerLoad)*Clg_exstg_therm_per_ton_campus</f>
        <v>0</v>
      </c>
      <c r="V205" s="21">
        <f>'Core Loads'!U$532*Process_exstg_therm_per_lb_campus+'Core Loads'!U$552*Htg_exstg_therm_per_MMBtu_campus+MIN('Core Loads'!U$572,AbsChillerLoad)*Clg_exstg_therm_per_ton_campus</f>
        <v>0</v>
      </c>
      <c r="W205" s="21">
        <f>'Core Loads'!V$532*Process_exstg_therm_per_lb_campus+'Core Loads'!V$552*Htg_exstg_therm_per_MMBtu_campus+MIN('Core Loads'!V$572,AbsChillerLoad)*Clg_exstg_therm_per_ton_campus</f>
        <v>0</v>
      </c>
      <c r="X205" s="21">
        <f>'Core Loads'!W$532*Process_exstg_therm_per_lb_campus+'Core Loads'!W$552*Htg_exstg_therm_per_MMBtu_campus+MIN('Core Loads'!W$572,AbsChillerLoad)*Clg_exstg_therm_per_ton_campus</f>
        <v>0</v>
      </c>
      <c r="Y205" s="21">
        <f>'Core Loads'!X$532*Process_exstg_therm_per_lb_campus+'Core Loads'!X$552*Htg_exstg_therm_per_MMBtu_campus+MIN('Core Loads'!X$572,AbsChillerLoad)*Clg_exstg_therm_per_ton_campus</f>
        <v>0</v>
      </c>
      <c r="Z205" s="21">
        <f>'Core Loads'!Y$532*Process_exstg_therm_per_lb_campus+'Core Loads'!Y$552*Htg_exstg_therm_per_MMBtu_campus+MIN('Core Loads'!Y$572,AbsChillerLoad)*Clg_exstg_therm_per_ton_campus</f>
        <v>0</v>
      </c>
      <c r="AA205" s="21">
        <f>'Core Loads'!Z$532*Process_exstg_therm_per_lb_campus+'Core Loads'!Z$552*Htg_exstg_therm_per_MMBtu_campus+MIN('Core Loads'!Z$572,AbsChillerLoad)*Clg_exstg_therm_per_ton_campus</f>
        <v>0</v>
      </c>
      <c r="AB205" s="21">
        <f>'Core Loads'!AA$532*Process_exstg_therm_per_lb_campus+'Core Loads'!AA$552*Htg_exstg_therm_per_MMBtu_campus+MIN('Core Loads'!AA$572,AbsChillerLoad)*Clg_exstg_therm_per_ton_campus</f>
        <v>0</v>
      </c>
      <c r="AC205" s="21">
        <f>'Core Loads'!AB$532*Process_exstg_therm_per_lb_campus+'Core Loads'!AB$552*Htg_exstg_therm_per_MMBtu_campus+MIN('Core Loads'!AB$572,AbsChillerLoad)*Clg_exstg_therm_per_ton_campus</f>
        <v>0</v>
      </c>
      <c r="AD205" s="21">
        <f>'Core Loads'!AC$532*Process_exstg_therm_per_lb_campus+'Core Loads'!AC$552*Htg_exstg_therm_per_MMBtu_campus+MIN('Core Loads'!AC$572,AbsChillerLoad)*Clg_exstg_therm_per_ton_campus</f>
        <v>0</v>
      </c>
      <c r="AE205" s="21">
        <f>'Core Loads'!AD$532*Process_exstg_therm_per_lb_campus+'Core Loads'!AD$552*Htg_exstg_therm_per_MMBtu_campus+MIN('Core Loads'!AD$572,AbsChillerLoad)*Clg_exstg_therm_per_ton_campus</f>
        <v>0</v>
      </c>
      <c r="AF205" s="21">
        <f>'Core Loads'!AE$532*Process_exstg_therm_per_lb_campus+'Core Loads'!AE$552*Htg_exstg_therm_per_MMBtu_campus+MIN('Core Loads'!AE$572,AbsChillerLoad)*Clg_exstg_therm_per_ton_campus</f>
        <v>0</v>
      </c>
      <c r="AG205" s="21">
        <f>'Core Loads'!AF$532*Process_exstg_therm_per_lb_campus+'Core Loads'!AF$552*Htg_exstg_therm_per_MMBtu_campus+MIN('Core Loads'!AF$572,AbsChillerLoad)*Clg_exstg_therm_per_ton_campus</f>
        <v>0</v>
      </c>
      <c r="AH205"/>
      <c r="AI205" s="23" t="s">
        <v>293</v>
      </c>
    </row>
    <row r="206" spans="2:35" s="1" customFormat="1" hidden="1" outlineLevel="1" x14ac:dyDescent="0.25">
      <c r="B206" t="s">
        <v>154</v>
      </c>
      <c r="C206" t="s">
        <v>170</v>
      </c>
      <c r="D206" s="21">
        <f>'Core Loads'!C$532*Process_exstg_CCF_per_lb_campus+'Core Loads'!C$552*Htg_exstg_CCF_per_MMBtu_campus+'Core Loads'!C$572*Clg_exstg_CCF_per_ton_campus</f>
        <v>278436.87957137165</v>
      </c>
      <c r="E206" s="69">
        <f>'Core Loads'!D$532*Process_exstg_CCF_per_lb_campus+'Core Loads'!D$552*Htg_exstg_CCF_per_MMBtu_campus+'Core Loads'!D$572*Clg_exstg_CCF_per_ton_campus</f>
        <v>297204.70349500491</v>
      </c>
      <c r="F206" s="21">
        <f>'Core Loads'!E$532*Process_exstg_CCF_per_lb_campus+'Core Loads'!E$552*Htg_exstg_CCF_per_MMBtu_campus+'Core Loads'!E$572*Clg_exstg_CCF_per_ton_campus</f>
        <v>191606.7622058175</v>
      </c>
      <c r="G206" s="21">
        <f>'Core Loads'!F$532*Process_exstg_CCF_per_lb_campus+'Core Loads'!F$552*Htg_exstg_CCF_per_MMBtu_campus+'Core Loads'!F$572*Clg_exstg_CCF_per_ton_campus</f>
        <v>0</v>
      </c>
      <c r="H206" s="21">
        <f>'Core Loads'!G$532*Process_exstg_CCF_per_lb_campus+'Core Loads'!G$552*Htg_exstg_CCF_per_MMBtu_campus+'Core Loads'!G$572*Clg_exstg_CCF_per_ton_campus</f>
        <v>0</v>
      </c>
      <c r="I206" s="21">
        <f>'Core Loads'!H$532*Process_exstg_CCF_per_lb_campus+'Core Loads'!H$552*Htg_exstg_CCF_per_MMBtu_campus+'Core Loads'!H$572*Clg_exstg_CCF_per_ton_campus</f>
        <v>0</v>
      </c>
      <c r="J206" s="21">
        <f>'Core Loads'!I$532*Process_exstg_CCF_per_lb_campus+'Core Loads'!I$552*Htg_exstg_CCF_per_MMBtu_campus+'Core Loads'!I$572*Clg_exstg_CCF_per_ton_campus</f>
        <v>0</v>
      </c>
      <c r="K206" s="21">
        <f>'Core Loads'!J$532*Process_exstg_CCF_per_lb_campus+'Core Loads'!J$552*Htg_exstg_CCF_per_MMBtu_campus+'Core Loads'!J$572*Clg_exstg_CCF_per_ton_campus</f>
        <v>0</v>
      </c>
      <c r="L206" s="21">
        <f>'Core Loads'!K$532*Process_exstg_CCF_per_lb_campus+'Core Loads'!K$552*Htg_exstg_CCF_per_MMBtu_campus+'Core Loads'!K$572*Clg_exstg_CCF_per_ton_campus</f>
        <v>0</v>
      </c>
      <c r="M206" s="21">
        <f>'Core Loads'!L$532*Process_exstg_CCF_per_lb_campus+'Core Loads'!L$552*Htg_exstg_CCF_per_MMBtu_campus+'Core Loads'!L$572*Clg_exstg_CCF_per_ton_campus</f>
        <v>0</v>
      </c>
      <c r="N206" s="21">
        <f>'Core Loads'!M$532*Process_exstg_CCF_per_lb_campus+'Core Loads'!M$552*Htg_exstg_CCF_per_MMBtu_campus+'Core Loads'!M$572*Clg_exstg_CCF_per_ton_campus</f>
        <v>0</v>
      </c>
      <c r="O206" s="21">
        <f>'Core Loads'!N$532*Process_exstg_CCF_per_lb_campus+'Core Loads'!N$552*Htg_exstg_CCF_per_MMBtu_campus+'Core Loads'!N$572*Clg_exstg_CCF_per_ton_campus</f>
        <v>0</v>
      </c>
      <c r="P206" s="21">
        <f>'Core Loads'!O$532*Process_exstg_CCF_per_lb_campus+'Core Loads'!O$552*Htg_exstg_CCF_per_MMBtu_campus+'Core Loads'!O$572*Clg_exstg_CCF_per_ton_campus</f>
        <v>0</v>
      </c>
      <c r="Q206" s="21">
        <f>'Core Loads'!P$532*Process_exstg_CCF_per_lb_campus+'Core Loads'!P$552*Htg_exstg_CCF_per_MMBtu_campus+'Core Loads'!P$572*Clg_exstg_CCF_per_ton_campus</f>
        <v>0</v>
      </c>
      <c r="R206" s="21">
        <f>'Core Loads'!Q$532*Process_exstg_CCF_per_lb_campus+'Core Loads'!Q$552*Htg_exstg_CCF_per_MMBtu_campus+'Core Loads'!Q$572*Clg_exstg_CCF_per_ton_campus</f>
        <v>0</v>
      </c>
      <c r="S206" s="21">
        <f>'Core Loads'!R$532*Process_exstg_CCF_per_lb_campus+'Core Loads'!R$552*Htg_exstg_CCF_per_MMBtu_campus+'Core Loads'!R$572*Clg_exstg_CCF_per_ton_campus</f>
        <v>0</v>
      </c>
      <c r="T206" s="21">
        <f>'Core Loads'!S$532*Process_exstg_CCF_per_lb_campus+'Core Loads'!S$552*Htg_exstg_CCF_per_MMBtu_campus+'Core Loads'!S$572*Clg_exstg_CCF_per_ton_campus</f>
        <v>0</v>
      </c>
      <c r="U206" s="21">
        <f>'Core Loads'!T$532*Process_exstg_CCF_per_lb_campus+'Core Loads'!T$552*Htg_exstg_CCF_per_MMBtu_campus+'Core Loads'!T$572*Clg_exstg_CCF_per_ton_campus</f>
        <v>0</v>
      </c>
      <c r="V206" s="21">
        <f>'Core Loads'!U$532*Process_exstg_CCF_per_lb_campus+'Core Loads'!U$552*Htg_exstg_CCF_per_MMBtu_campus+'Core Loads'!U$572*Clg_exstg_CCF_per_ton_campus</f>
        <v>0</v>
      </c>
      <c r="W206" s="21">
        <f>'Core Loads'!V$532*Process_exstg_CCF_per_lb_campus+'Core Loads'!V$552*Htg_exstg_CCF_per_MMBtu_campus+'Core Loads'!V$572*Clg_exstg_CCF_per_ton_campus</f>
        <v>0</v>
      </c>
      <c r="X206" s="21">
        <f>'Core Loads'!W$532*Process_exstg_CCF_per_lb_campus+'Core Loads'!W$552*Htg_exstg_CCF_per_MMBtu_campus+'Core Loads'!W$572*Clg_exstg_CCF_per_ton_campus</f>
        <v>0</v>
      </c>
      <c r="Y206" s="21">
        <f>'Core Loads'!X$532*Process_exstg_CCF_per_lb_campus+'Core Loads'!X$552*Htg_exstg_CCF_per_MMBtu_campus+'Core Loads'!X$572*Clg_exstg_CCF_per_ton_campus</f>
        <v>0</v>
      </c>
      <c r="Z206" s="21">
        <f>'Core Loads'!Y$532*Process_exstg_CCF_per_lb_campus+'Core Loads'!Y$552*Htg_exstg_CCF_per_MMBtu_campus+'Core Loads'!Y$572*Clg_exstg_CCF_per_ton_campus</f>
        <v>0</v>
      </c>
      <c r="AA206" s="21">
        <f>'Core Loads'!Z$532*Process_exstg_CCF_per_lb_campus+'Core Loads'!Z$552*Htg_exstg_CCF_per_MMBtu_campus+'Core Loads'!Z$572*Clg_exstg_CCF_per_ton_campus</f>
        <v>0</v>
      </c>
      <c r="AB206" s="21">
        <f>'Core Loads'!AA$532*Process_exstg_CCF_per_lb_campus+'Core Loads'!AA$552*Htg_exstg_CCF_per_MMBtu_campus+'Core Loads'!AA$572*Clg_exstg_CCF_per_ton_campus</f>
        <v>0</v>
      </c>
      <c r="AC206" s="21">
        <f>'Core Loads'!AB$532*Process_exstg_CCF_per_lb_campus+'Core Loads'!AB$552*Htg_exstg_CCF_per_MMBtu_campus+'Core Loads'!AB$572*Clg_exstg_CCF_per_ton_campus</f>
        <v>0</v>
      </c>
      <c r="AD206" s="21">
        <f>'Core Loads'!AC$532*Process_exstg_CCF_per_lb_campus+'Core Loads'!AC$552*Htg_exstg_CCF_per_MMBtu_campus+'Core Loads'!AC$572*Clg_exstg_CCF_per_ton_campus</f>
        <v>0</v>
      </c>
      <c r="AE206" s="21">
        <f>'Core Loads'!AD$532*Process_exstg_CCF_per_lb_campus+'Core Loads'!AD$552*Htg_exstg_CCF_per_MMBtu_campus+'Core Loads'!AD$572*Clg_exstg_CCF_per_ton_campus</f>
        <v>0</v>
      </c>
      <c r="AF206" s="21">
        <f>'Core Loads'!AE$532*Process_exstg_CCF_per_lb_campus+'Core Loads'!AE$552*Htg_exstg_CCF_per_MMBtu_campus+'Core Loads'!AE$572*Clg_exstg_CCF_per_ton_campus</f>
        <v>0</v>
      </c>
      <c r="AG206" s="21">
        <f>'Core Loads'!AF$532*Process_exstg_CCF_per_lb_campus+'Core Loads'!AF$552*Htg_exstg_CCF_per_MMBtu_campus+'Core Loads'!AF$572*Clg_exstg_CCF_per_ton_campus</f>
        <v>0</v>
      </c>
      <c r="AH206"/>
      <c r="AI206" s="23" t="s">
        <v>293</v>
      </c>
    </row>
    <row r="207" spans="2:35" hidden="1" outlineLevel="1" x14ac:dyDescent="0.25"/>
    <row r="208" spans="2:35" s="1" customFormat="1" ht="17.25" hidden="1" outlineLevel="1" thickBot="1" x14ac:dyDescent="0.3">
      <c r="B208" s="19" t="s">
        <v>280</v>
      </c>
      <c r="C208" s="19"/>
      <c r="D208" s="19"/>
      <c r="E208" s="67"/>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row>
    <row r="209" spans="2:35" s="1" customFormat="1" ht="16.5" hidden="1" outlineLevel="1" thickTop="1" thickBot="1" x14ac:dyDescent="0.3">
      <c r="B209" s="20" t="s">
        <v>292</v>
      </c>
      <c r="C209" s="20" t="s">
        <v>13</v>
      </c>
      <c r="D209" s="20" t="s">
        <v>17</v>
      </c>
      <c r="E209" s="68"/>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t="s">
        <v>15</v>
      </c>
    </row>
    <row r="210" spans="2:35" hidden="1" outlineLevel="1" x14ac:dyDescent="0.25">
      <c r="D210" s="8">
        <f>'Core Loads'!$C$14</f>
        <v>2025</v>
      </c>
      <c r="E210" s="62">
        <f>'Core Loads'!$D$14</f>
        <v>2026</v>
      </c>
      <c r="F210" s="8">
        <f>'Core Loads'!$E$14</f>
        <v>2027</v>
      </c>
      <c r="G210" s="8">
        <f>'Core Loads'!$F$14</f>
        <v>2028</v>
      </c>
      <c r="H210" s="8">
        <f>'Core Loads'!$G$14</f>
        <v>2029</v>
      </c>
      <c r="I210" s="8">
        <f>'Core Loads'!$H$14</f>
        <v>2030</v>
      </c>
      <c r="J210" s="8">
        <f>'Core Loads'!$I$14</f>
        <v>2031</v>
      </c>
      <c r="K210" s="8">
        <f>'Core Loads'!$J$14</f>
        <v>2032</v>
      </c>
      <c r="L210" s="8">
        <f>'Core Loads'!$K$14</f>
        <v>2033</v>
      </c>
      <c r="M210" s="8">
        <f>'Core Loads'!$L$14</f>
        <v>2034</v>
      </c>
      <c r="N210" s="8">
        <f>'Core Loads'!$M$14</f>
        <v>2035</v>
      </c>
      <c r="O210" s="8">
        <f>'Core Loads'!$N$14</f>
        <v>2036</v>
      </c>
      <c r="P210" s="8">
        <f>'Core Loads'!$O$14</f>
        <v>2037</v>
      </c>
      <c r="Q210" s="8">
        <f>'Core Loads'!$P$14</f>
        <v>2038</v>
      </c>
      <c r="R210" s="8">
        <f>'Core Loads'!$Q$14</f>
        <v>2039</v>
      </c>
      <c r="S210" s="8">
        <f>'Core Loads'!$R$14</f>
        <v>2040</v>
      </c>
      <c r="T210" s="8">
        <f>'Core Loads'!$S$14</f>
        <v>2041</v>
      </c>
      <c r="U210" s="8">
        <f>'Core Loads'!$T$14</f>
        <v>2042</v>
      </c>
      <c r="V210" s="8">
        <f>'Core Loads'!$U$14</f>
        <v>2043</v>
      </c>
      <c r="W210" s="8">
        <f>'Core Loads'!$V$14</f>
        <v>2044</v>
      </c>
      <c r="X210" s="8">
        <f>'Core Loads'!$W$14</f>
        <v>2045</v>
      </c>
      <c r="Y210" s="8">
        <f>'Core Loads'!$X$14</f>
        <v>2046</v>
      </c>
      <c r="Z210" s="8">
        <f>'Core Loads'!$Y$14</f>
        <v>2047</v>
      </c>
      <c r="AA210" s="8">
        <f>'Core Loads'!$Z$14</f>
        <v>2048</v>
      </c>
      <c r="AB210" s="8">
        <f>'Core Loads'!$AA$14</f>
        <v>2049</v>
      </c>
      <c r="AC210" s="8">
        <f>'Core Loads'!$AB$14</f>
        <v>2050</v>
      </c>
      <c r="AD210" s="8">
        <f>'Core Loads'!$AC$14</f>
        <v>2051</v>
      </c>
      <c r="AE210" s="8">
        <f>'Core Loads'!$AD$14</f>
        <v>2052</v>
      </c>
      <c r="AF210" s="8">
        <f>'Core Loads'!$AE$14</f>
        <v>2053</v>
      </c>
      <c r="AG210" s="8">
        <f>'Core Loads'!$AF$14</f>
        <v>2054</v>
      </c>
    </row>
    <row r="211" spans="2:35" s="1" customFormat="1" hidden="1" outlineLevel="1" x14ac:dyDescent="0.25">
      <c r="B211" t="s">
        <v>141</v>
      </c>
      <c r="C211" t="s">
        <v>109</v>
      </c>
      <c r="D211" s="21">
        <f>'Core Loads'!C$521*'Core Inputs'!$I$281+'Core Loads'!C$541*'Core Inputs'!$I$276+'Core Loads'!C$561*'Core Inputs'!$I$267+'Core Loads'!C$571*'Core Inputs'!$I$272</f>
        <v>1011886.434656</v>
      </c>
      <c r="E211" s="69">
        <f>'Core Loads'!D$521*'Core Inputs'!$I$281+'Core Loads'!D$541*'Core Inputs'!$I$276+'Core Loads'!D$561*'Core Inputs'!$I$267+'Core Loads'!D$571*'Core Inputs'!$I$272</f>
        <v>1011886.434656</v>
      </c>
      <c r="F211" s="21">
        <f>'Core Loads'!E$521*'Core Inputs'!$I$281+'Core Loads'!E$541*'Core Inputs'!$I$276+'Core Loads'!E$561*'Core Inputs'!$I$267+'Core Loads'!E$571*'Core Inputs'!$I$272</f>
        <v>79202580.460640982</v>
      </c>
      <c r="G211" s="21">
        <f>'Core Loads'!F$521*'Core Inputs'!$I$281+'Core Loads'!F$541*'Core Inputs'!$I$276+'Core Loads'!F$561*'Core Inputs'!$I$267+'Core Loads'!F$571*'Core Inputs'!$I$272</f>
        <v>155992314.02002826</v>
      </c>
      <c r="H211" s="21">
        <f>'Core Loads'!G$521*'Core Inputs'!$I$281+'Core Loads'!G$541*'Core Inputs'!$I$276+'Core Loads'!G$561*'Core Inputs'!$I$267+'Core Loads'!G$571*'Core Inputs'!$I$272</f>
        <v>155992314.02002826</v>
      </c>
      <c r="I211" s="21">
        <f>'Core Loads'!H$521*'Core Inputs'!$I$281+'Core Loads'!H$541*'Core Inputs'!$I$276+'Core Loads'!H$561*'Core Inputs'!$I$267+'Core Loads'!H$571*'Core Inputs'!$I$272</f>
        <v>157184785.36225882</v>
      </c>
      <c r="J211" s="21">
        <f>'Core Loads'!I$521*'Core Inputs'!$I$281+'Core Loads'!I$541*'Core Inputs'!$I$276+'Core Loads'!I$561*'Core Inputs'!$I$267+'Core Loads'!I$571*'Core Inputs'!$I$272</f>
        <v>157184785.36225882</v>
      </c>
      <c r="K211" s="21">
        <f>'Core Loads'!J$521*'Core Inputs'!$I$281+'Core Loads'!J$541*'Core Inputs'!$I$276+'Core Loads'!J$561*'Core Inputs'!$I$267+'Core Loads'!J$571*'Core Inputs'!$I$272</f>
        <v>147426684.6333445</v>
      </c>
      <c r="L211" s="21">
        <f>'Core Loads'!K$521*'Core Inputs'!$I$281+'Core Loads'!K$541*'Core Inputs'!$I$276+'Core Loads'!K$561*'Core Inputs'!$I$267+'Core Loads'!K$571*'Core Inputs'!$I$272</f>
        <v>147426684.6333445</v>
      </c>
      <c r="M211" s="21">
        <f>'Core Loads'!L$521*'Core Inputs'!$I$281+'Core Loads'!L$541*'Core Inputs'!$I$276+'Core Loads'!L$561*'Core Inputs'!$I$267+'Core Loads'!L$571*'Core Inputs'!$I$272</f>
        <v>147081317.94345322</v>
      </c>
      <c r="N211" s="21">
        <f>'Core Loads'!M$521*'Core Inputs'!$I$281+'Core Loads'!M$541*'Core Inputs'!$I$276+'Core Loads'!M$561*'Core Inputs'!$I$267+'Core Loads'!M$571*'Core Inputs'!$I$272</f>
        <v>147081317.94345322</v>
      </c>
      <c r="O211" s="21">
        <f>'Core Loads'!N$521*'Core Inputs'!$I$281+'Core Loads'!N$541*'Core Inputs'!$I$276+'Core Loads'!N$561*'Core Inputs'!$I$267+'Core Loads'!N$571*'Core Inputs'!$I$272</f>
        <v>146298589.33860078</v>
      </c>
      <c r="P211" s="21">
        <f>'Core Loads'!O$521*'Core Inputs'!$I$281+'Core Loads'!O$541*'Core Inputs'!$I$276+'Core Loads'!O$561*'Core Inputs'!$I$267+'Core Loads'!O$571*'Core Inputs'!$I$272</f>
        <v>146298589.33860078</v>
      </c>
      <c r="Q211" s="21">
        <f>'Core Loads'!P$521*'Core Inputs'!$I$281+'Core Loads'!P$541*'Core Inputs'!$I$276+'Core Loads'!P$561*'Core Inputs'!$I$267+'Core Loads'!P$571*'Core Inputs'!$I$272</f>
        <v>146271369.27510077</v>
      </c>
      <c r="R211" s="21">
        <f>'Core Loads'!Q$521*'Core Inputs'!$I$281+'Core Loads'!Q$541*'Core Inputs'!$I$276+'Core Loads'!Q$561*'Core Inputs'!$I$267+'Core Loads'!Q$571*'Core Inputs'!$I$272</f>
        <v>146271369.27510077</v>
      </c>
      <c r="S211" s="21">
        <f>'Core Loads'!R$521*'Core Inputs'!$I$281+'Core Loads'!R$541*'Core Inputs'!$I$276+'Core Loads'!R$561*'Core Inputs'!$I$267+'Core Loads'!R$571*'Core Inputs'!$I$272</f>
        <v>181155964.49022081</v>
      </c>
      <c r="T211" s="21">
        <f>'Core Loads'!S$521*'Core Inputs'!$I$281+'Core Loads'!S$541*'Core Inputs'!$I$276+'Core Loads'!S$561*'Core Inputs'!$I$267+'Core Loads'!S$571*'Core Inputs'!$I$272</f>
        <v>181155964.49022081</v>
      </c>
      <c r="U211" s="21">
        <f>'Core Loads'!T$521*'Core Inputs'!$I$281+'Core Loads'!T$541*'Core Inputs'!$I$276+'Core Loads'!T$561*'Core Inputs'!$I$267+'Core Loads'!T$571*'Core Inputs'!$I$272</f>
        <v>181155964.49022081</v>
      </c>
      <c r="V211" s="21">
        <f>'Core Loads'!U$521*'Core Inputs'!$I$281+'Core Loads'!U$541*'Core Inputs'!$I$276+'Core Loads'!U$561*'Core Inputs'!$I$267+'Core Loads'!U$571*'Core Inputs'!$I$272</f>
        <v>181155964.49022081</v>
      </c>
      <c r="W211" s="21">
        <f>'Core Loads'!V$521*'Core Inputs'!$I$281+'Core Loads'!V$541*'Core Inputs'!$I$276+'Core Loads'!V$561*'Core Inputs'!$I$267+'Core Loads'!V$571*'Core Inputs'!$I$272</f>
        <v>180685017.73386261</v>
      </c>
      <c r="X211" s="21">
        <f>'Core Loads'!W$521*'Core Inputs'!$I$281+'Core Loads'!W$541*'Core Inputs'!$I$276+'Core Loads'!W$561*'Core Inputs'!$I$267+'Core Loads'!W$571*'Core Inputs'!$I$272</f>
        <v>180685017.73386261</v>
      </c>
      <c r="Y211" s="21">
        <f>'Core Loads'!X$521*'Core Inputs'!$I$281+'Core Loads'!X$541*'Core Inputs'!$I$276+'Core Loads'!X$561*'Core Inputs'!$I$267+'Core Loads'!X$571*'Core Inputs'!$I$272</f>
        <v>180685017.73386261</v>
      </c>
      <c r="Z211" s="21">
        <f>'Core Loads'!Y$521*'Core Inputs'!$I$281+'Core Loads'!Y$541*'Core Inputs'!$I$276+'Core Loads'!Y$561*'Core Inputs'!$I$267+'Core Loads'!Y$571*'Core Inputs'!$I$272</f>
        <v>180685017.73386261</v>
      </c>
      <c r="AA211" s="21">
        <f>'Core Loads'!Z$521*'Core Inputs'!$I$281+'Core Loads'!Z$541*'Core Inputs'!$I$276+'Core Loads'!Z$561*'Core Inputs'!$I$267+'Core Loads'!Z$571*'Core Inputs'!$I$272</f>
        <v>180685017.73386261</v>
      </c>
      <c r="AB211" s="21">
        <f>'Core Loads'!AA$521*'Core Inputs'!$I$281+'Core Loads'!AA$541*'Core Inputs'!$I$276+'Core Loads'!AA$561*'Core Inputs'!$I$267+'Core Loads'!AA$571*'Core Inputs'!$I$272</f>
        <v>180685017.73386261</v>
      </c>
      <c r="AC211" s="21">
        <f>'Core Loads'!AB$521*'Core Inputs'!$I$281+'Core Loads'!AB$541*'Core Inputs'!$I$276+'Core Loads'!AB$561*'Core Inputs'!$I$267+'Core Loads'!AB$571*'Core Inputs'!$I$272</f>
        <v>180116495.53108713</v>
      </c>
      <c r="AD211" s="21">
        <f>'Core Loads'!AC$521*'Core Inputs'!$I$281+'Core Loads'!AC$541*'Core Inputs'!$I$276+'Core Loads'!AC$561*'Core Inputs'!$I$267+'Core Loads'!AC$571*'Core Inputs'!$I$272</f>
        <v>180116495.53108713</v>
      </c>
      <c r="AE211" s="21">
        <f>'Core Loads'!AD$521*'Core Inputs'!$I$281+'Core Loads'!AD$541*'Core Inputs'!$I$276+'Core Loads'!AD$561*'Core Inputs'!$I$267+'Core Loads'!AD$571*'Core Inputs'!$I$272</f>
        <v>180116495.53108713</v>
      </c>
      <c r="AF211" s="21">
        <f>'Core Loads'!AE$521*'Core Inputs'!$I$281+'Core Loads'!AE$541*'Core Inputs'!$I$276+'Core Loads'!AE$561*'Core Inputs'!$I$267+'Core Loads'!AE$571*'Core Inputs'!$I$272</f>
        <v>180116495.53108713</v>
      </c>
      <c r="AG211" s="21">
        <f>'Core Loads'!AF$521*'Core Inputs'!$I$281+'Core Loads'!AF$541*'Core Inputs'!$I$276+'Core Loads'!AF$561*'Core Inputs'!$I$267+'Core Loads'!AF$571*'Core Inputs'!$I$272</f>
        <v>180116495.53108713</v>
      </c>
      <c r="AH211"/>
      <c r="AI211" s="23" t="s">
        <v>293</v>
      </c>
    </row>
    <row r="212" spans="2:35" s="1" customFormat="1" hidden="1" outlineLevel="1" x14ac:dyDescent="0.25">
      <c r="B212" t="s">
        <v>136</v>
      </c>
      <c r="C212" t="s">
        <v>169</v>
      </c>
      <c r="D212" s="21">
        <f>'Core Loads'!C$541*'Core Inputs'!$I$277+'Core Loads'!C$561*'Core Inputs'!$I$268</f>
        <v>0</v>
      </c>
      <c r="E212" s="69">
        <f>'Core Loads'!D$541*'Core Inputs'!$I$277+'Core Loads'!D$561*'Core Inputs'!$I$268</f>
        <v>0</v>
      </c>
      <c r="F212" s="21">
        <f>'Core Loads'!E$541*'Core Inputs'!$I$277+'Core Loads'!E$561*'Core Inputs'!$I$268</f>
        <v>2517258.6830295175</v>
      </c>
      <c r="G212" s="21">
        <f>'Core Loads'!F$541*'Core Inputs'!$I$277+'Core Loads'!F$561*'Core Inputs'!$I$268</f>
        <v>7433987.2109694406</v>
      </c>
      <c r="H212" s="21">
        <f>'Core Loads'!G$541*'Core Inputs'!$I$277+'Core Loads'!G$561*'Core Inputs'!$I$268</f>
        <v>7433987.2109694406</v>
      </c>
      <c r="I212" s="21">
        <f>'Core Loads'!H$541*'Core Inputs'!$I$277+'Core Loads'!H$561*'Core Inputs'!$I$268</f>
        <v>7304772.229856465</v>
      </c>
      <c r="J212" s="21">
        <f>'Core Loads'!I$541*'Core Inputs'!$I$277+'Core Loads'!I$561*'Core Inputs'!$I$268</f>
        <v>7304772.229856465</v>
      </c>
      <c r="K212" s="21">
        <f>'Core Loads'!J$541*'Core Inputs'!$I$277+'Core Loads'!J$561*'Core Inputs'!$I$268</f>
        <v>7032160.5533929924</v>
      </c>
      <c r="L212" s="21">
        <f>'Core Loads'!K$541*'Core Inputs'!$I$277+'Core Loads'!K$561*'Core Inputs'!$I$268</f>
        <v>7032160.5533929924</v>
      </c>
      <c r="M212" s="21">
        <f>'Core Loads'!L$541*'Core Inputs'!$I$277+'Core Loads'!L$561*'Core Inputs'!$I$268</f>
        <v>6942582.7135786889</v>
      </c>
      <c r="N212" s="21">
        <f>'Core Loads'!M$541*'Core Inputs'!$I$277+'Core Loads'!M$561*'Core Inputs'!$I$268</f>
        <v>6942582.7135786889</v>
      </c>
      <c r="O212" s="21">
        <f>'Core Loads'!N$541*'Core Inputs'!$I$277+'Core Loads'!N$561*'Core Inputs'!$I$268</f>
        <v>6791488.942600172</v>
      </c>
      <c r="P212" s="21">
        <f>'Core Loads'!O$541*'Core Inputs'!$I$277+'Core Loads'!O$561*'Core Inputs'!$I$268</f>
        <v>6791488.942600172</v>
      </c>
      <c r="Q212" s="21">
        <f>'Core Loads'!P$541*'Core Inputs'!$I$277+'Core Loads'!P$561*'Core Inputs'!$I$268</f>
        <v>6752672.3299312955</v>
      </c>
      <c r="R212" s="21">
        <f>'Core Loads'!Q$541*'Core Inputs'!$I$277+'Core Loads'!Q$561*'Core Inputs'!$I$268</f>
        <v>6752672.3299312955</v>
      </c>
      <c r="S212" s="21">
        <f>'Core Loads'!R$541*'Core Inputs'!$I$277+'Core Loads'!R$561*'Core Inputs'!$I$268</f>
        <v>7178624.4580384232</v>
      </c>
      <c r="T212" s="21">
        <f>'Core Loads'!S$541*'Core Inputs'!$I$277+'Core Loads'!S$561*'Core Inputs'!$I$268</f>
        <v>7178624.4580384232</v>
      </c>
      <c r="U212" s="21">
        <f>'Core Loads'!T$541*'Core Inputs'!$I$277+'Core Loads'!T$561*'Core Inputs'!$I$268</f>
        <v>7160234.6155085424</v>
      </c>
      <c r="V212" s="21">
        <f>'Core Loads'!U$541*'Core Inputs'!$I$277+'Core Loads'!U$561*'Core Inputs'!$I$268</f>
        <v>7160234.6155085424</v>
      </c>
      <c r="W212" s="21">
        <f>'Core Loads'!V$541*'Core Inputs'!$I$277+'Core Loads'!V$561*'Core Inputs'!$I$268</f>
        <v>7142432.8554423703</v>
      </c>
      <c r="X212" s="21">
        <f>'Core Loads'!W$541*'Core Inputs'!$I$277+'Core Loads'!W$561*'Core Inputs'!$I$268</f>
        <v>7142432.8554423703</v>
      </c>
      <c r="Y212" s="21">
        <f>'Core Loads'!X$541*'Core Inputs'!$I$277+'Core Loads'!X$561*'Core Inputs'!$I$268</f>
        <v>7142432.8554423703</v>
      </c>
      <c r="Z212" s="21">
        <f>'Core Loads'!Y$541*'Core Inputs'!$I$277+'Core Loads'!Y$561*'Core Inputs'!$I$268</f>
        <v>7142432.8554423703</v>
      </c>
      <c r="AA212" s="21">
        <f>'Core Loads'!Z$541*'Core Inputs'!$I$277+'Core Loads'!Z$561*'Core Inputs'!$I$268</f>
        <v>7142432.8554423703</v>
      </c>
      <c r="AB212" s="21">
        <f>'Core Loads'!AA$541*'Core Inputs'!$I$277+'Core Loads'!AA$561*'Core Inputs'!$I$268</f>
        <v>7142432.8554423703</v>
      </c>
      <c r="AC212" s="21">
        <f>'Core Loads'!AB$541*'Core Inputs'!$I$277+'Core Loads'!AB$561*'Core Inputs'!$I$268</f>
        <v>7124587.9075489389</v>
      </c>
      <c r="AD212" s="21">
        <f>'Core Loads'!AC$541*'Core Inputs'!$I$277+'Core Loads'!AC$561*'Core Inputs'!$I$268</f>
        <v>7124587.9075489389</v>
      </c>
      <c r="AE212" s="21">
        <f>'Core Loads'!AD$541*'Core Inputs'!$I$277+'Core Loads'!AD$561*'Core Inputs'!$I$268</f>
        <v>7124587.9075489389</v>
      </c>
      <c r="AF212" s="21">
        <f>'Core Loads'!AE$541*'Core Inputs'!$I$277+'Core Loads'!AE$561*'Core Inputs'!$I$268</f>
        <v>7124587.9075489389</v>
      </c>
      <c r="AG212" s="21">
        <f>'Core Loads'!AF$541*'Core Inputs'!$I$277+'Core Loads'!AF$561*'Core Inputs'!$I$268</f>
        <v>7124587.9075489389</v>
      </c>
      <c r="AH212"/>
      <c r="AI212" s="23" t="s">
        <v>293</v>
      </c>
    </row>
    <row r="213" spans="2:35" s="1" customFormat="1" hidden="1" outlineLevel="1" x14ac:dyDescent="0.25">
      <c r="B213" t="s">
        <v>154</v>
      </c>
      <c r="C213" t="s">
        <v>170</v>
      </c>
      <c r="D213" s="21">
        <f>'Core Loads'!C$541*'Core Inputs'!$I$278+'Core Loads'!C$561*'Core Inputs'!$I$269+'Core Loads'!C$581*'Core Inputs'!$I$273</f>
        <v>0</v>
      </c>
      <c r="E213" s="21">
        <f>'Core Loads'!D$541*'Core Inputs'!$I$278+'Core Loads'!D$561*'Core Inputs'!$I$269+'Core Loads'!D$581*'Core Inputs'!$I$273</f>
        <v>0</v>
      </c>
      <c r="F213" s="21">
        <f>'Core Loads'!E$541*'Core Inputs'!$I$278+'Core Loads'!E$561*'Core Inputs'!$I$269+'Core Loads'!E$581*'Core Inputs'!$I$273</f>
        <v>42994.32653860229</v>
      </c>
      <c r="G213" s="21">
        <f>'Core Loads'!F$541*'Core Inputs'!$I$278+'Core Loads'!F$561*'Core Inputs'!$I$269+'Core Loads'!F$581*'Core Inputs'!$I$273</f>
        <v>134952.52243551117</v>
      </c>
      <c r="H213" s="21">
        <f>'Core Loads'!G$541*'Core Inputs'!$I$278+'Core Loads'!G$561*'Core Inputs'!$I$269+'Core Loads'!G$581*'Core Inputs'!$I$273</f>
        <v>134952.52243551117</v>
      </c>
      <c r="I213" s="21">
        <f>'Core Loads'!H$541*'Core Inputs'!$I$278+'Core Loads'!H$561*'Core Inputs'!$I$269+'Core Loads'!H$581*'Core Inputs'!$I$273</f>
        <v>148916.80927474546</v>
      </c>
      <c r="J213" s="21">
        <f>'Core Loads'!I$541*'Core Inputs'!$I$278+'Core Loads'!I$561*'Core Inputs'!$I$269+'Core Loads'!I$581*'Core Inputs'!$I$273</f>
        <v>148916.80927474546</v>
      </c>
      <c r="K213" s="21">
        <f>'Core Loads'!J$541*'Core Inputs'!$I$278+'Core Loads'!J$561*'Core Inputs'!$I$269+'Core Loads'!J$581*'Core Inputs'!$I$273</f>
        <v>144579.49070036993</v>
      </c>
      <c r="L213" s="21">
        <f>'Core Loads'!K$541*'Core Inputs'!$I$278+'Core Loads'!K$561*'Core Inputs'!$I$269+'Core Loads'!K$581*'Core Inputs'!$I$273</f>
        <v>144579.49070036993</v>
      </c>
      <c r="M213" s="21">
        <f>'Core Loads'!L$541*'Core Inputs'!$I$278+'Core Loads'!L$561*'Core Inputs'!$I$269+'Core Loads'!L$581*'Core Inputs'!$I$273</f>
        <v>146193.88917096626</v>
      </c>
      <c r="N213" s="21">
        <f>'Core Loads'!M$541*'Core Inputs'!$I$278+'Core Loads'!M$561*'Core Inputs'!$I$269+'Core Loads'!M$581*'Core Inputs'!$I$273</f>
        <v>146193.88917096626</v>
      </c>
      <c r="O213" s="21">
        <f>'Core Loads'!N$541*'Core Inputs'!$I$278+'Core Loads'!N$561*'Core Inputs'!$I$269+'Core Loads'!N$581*'Core Inputs'!$I$273</f>
        <v>144821.92137333384</v>
      </c>
      <c r="P213" s="21">
        <f>'Core Loads'!O$541*'Core Inputs'!$I$278+'Core Loads'!O$561*'Core Inputs'!$I$269+'Core Loads'!O$581*'Core Inputs'!$I$273</f>
        <v>144821.92137333384</v>
      </c>
      <c r="Q213" s="21">
        <f>'Core Loads'!P$541*'Core Inputs'!$I$278+'Core Loads'!P$561*'Core Inputs'!$I$269+'Core Loads'!P$581*'Core Inputs'!$I$273</f>
        <v>144483.60155555297</v>
      </c>
      <c r="R213" s="21">
        <f>'Core Loads'!Q$541*'Core Inputs'!$I$278+'Core Loads'!Q$561*'Core Inputs'!$I$269+'Core Loads'!Q$581*'Core Inputs'!$I$273</f>
        <v>144483.60155555297</v>
      </c>
      <c r="S213" s="21">
        <f>'Core Loads'!R$541*'Core Inputs'!$I$278+'Core Loads'!R$561*'Core Inputs'!$I$269+'Core Loads'!R$581*'Core Inputs'!$I$273</f>
        <v>165316.17341266479</v>
      </c>
      <c r="T213" s="21">
        <f>'Core Loads'!S$541*'Core Inputs'!$I$278+'Core Loads'!S$561*'Core Inputs'!$I$269+'Core Loads'!S$581*'Core Inputs'!$I$273</f>
        <v>165316.17341266479</v>
      </c>
      <c r="U213" s="21">
        <f>'Core Loads'!T$541*'Core Inputs'!$I$278+'Core Loads'!T$561*'Core Inputs'!$I$269+'Core Loads'!T$581*'Core Inputs'!$I$273</f>
        <v>165249.68529523592</v>
      </c>
      <c r="V213" s="21">
        <f>'Core Loads'!U$541*'Core Inputs'!$I$278+'Core Loads'!U$561*'Core Inputs'!$I$269+'Core Loads'!U$581*'Core Inputs'!$I$273</f>
        <v>165249.68529523592</v>
      </c>
      <c r="W213" s="21">
        <f>'Core Loads'!V$541*'Core Inputs'!$I$278+'Core Loads'!V$561*'Core Inputs'!$I$269+'Core Loads'!V$581*'Core Inputs'!$I$273</f>
        <v>164877.54257590559</v>
      </c>
      <c r="X213" s="21">
        <f>'Core Loads'!W$541*'Core Inputs'!$I$278+'Core Loads'!W$561*'Core Inputs'!$I$269+'Core Loads'!W$581*'Core Inputs'!$I$273</f>
        <v>164877.54257590559</v>
      </c>
      <c r="Y213" s="21">
        <f>'Core Loads'!X$541*'Core Inputs'!$I$278+'Core Loads'!X$561*'Core Inputs'!$I$269+'Core Loads'!X$581*'Core Inputs'!$I$273</f>
        <v>164877.54257590559</v>
      </c>
      <c r="Z213" s="21">
        <f>'Core Loads'!Y$541*'Core Inputs'!$I$278+'Core Loads'!Y$561*'Core Inputs'!$I$269+'Core Loads'!Y$581*'Core Inputs'!$I$273</f>
        <v>164877.54257590559</v>
      </c>
      <c r="AA213" s="21">
        <f>'Core Loads'!Z$541*'Core Inputs'!$I$278+'Core Loads'!Z$561*'Core Inputs'!$I$269+'Core Loads'!Z$581*'Core Inputs'!$I$273</f>
        <v>164877.54257590559</v>
      </c>
      <c r="AB213" s="21">
        <f>'Core Loads'!AA$541*'Core Inputs'!$I$278+'Core Loads'!AA$561*'Core Inputs'!$I$269+'Core Loads'!AA$581*'Core Inputs'!$I$273</f>
        <v>164877.54257590559</v>
      </c>
      <c r="AC213" s="21">
        <f>'Core Loads'!AB$541*'Core Inputs'!$I$278+'Core Loads'!AB$561*'Core Inputs'!$I$269+'Core Loads'!AB$581*'Core Inputs'!$I$273</f>
        <v>164385.26105735954</v>
      </c>
      <c r="AD213" s="21">
        <f>'Core Loads'!AC$541*'Core Inputs'!$I$278+'Core Loads'!AC$561*'Core Inputs'!$I$269+'Core Loads'!AC$581*'Core Inputs'!$I$273</f>
        <v>164385.26105735954</v>
      </c>
      <c r="AE213" s="21">
        <f>'Core Loads'!AD$541*'Core Inputs'!$I$278+'Core Loads'!AD$561*'Core Inputs'!$I$269+'Core Loads'!AD$581*'Core Inputs'!$I$273</f>
        <v>164385.26105735954</v>
      </c>
      <c r="AF213" s="21">
        <f>'Core Loads'!AE$541*'Core Inputs'!$I$278+'Core Loads'!AE$561*'Core Inputs'!$I$269+'Core Loads'!AE$581*'Core Inputs'!$I$273</f>
        <v>164385.26105735954</v>
      </c>
      <c r="AG213" s="21">
        <f>'Core Loads'!AF$541*'Core Inputs'!$I$278+'Core Loads'!AF$561*'Core Inputs'!$I$269+'Core Loads'!AF$581*'Core Inputs'!$I$273</f>
        <v>164385.26105735954</v>
      </c>
      <c r="AH213"/>
      <c r="AI213" s="23" t="s">
        <v>293</v>
      </c>
    </row>
    <row r="214" spans="2:35" ht="15.75" collapsed="1" thickTop="1" x14ac:dyDescent="0.25"/>
    <row r="216" spans="2:35" s="1" customFormat="1" ht="20.25" thickBot="1" x14ac:dyDescent="0.35">
      <c r="B216" s="18" t="s">
        <v>301</v>
      </c>
      <c r="C216" s="18"/>
      <c r="D216" s="18"/>
      <c r="E216" s="25"/>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row>
    <row r="217" spans="2:35" s="1" customFormat="1" ht="18" hidden="1" outlineLevel="1" thickTop="1" thickBot="1" x14ac:dyDescent="0.3">
      <c r="B217" s="19" t="s">
        <v>278</v>
      </c>
      <c r="C217" s="19"/>
      <c r="D217" s="19"/>
      <c r="E217" s="67"/>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row>
    <row r="218" spans="2:35" s="1" customFormat="1" ht="16.5" hidden="1" outlineLevel="1" thickTop="1" thickBot="1" x14ac:dyDescent="0.3">
      <c r="B218" s="20" t="s">
        <v>292</v>
      </c>
      <c r="C218" s="20" t="s">
        <v>13</v>
      </c>
      <c r="D218" s="20" t="s">
        <v>17</v>
      </c>
      <c r="E218" s="68"/>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t="s">
        <v>15</v>
      </c>
    </row>
    <row r="219" spans="2:35" hidden="1" outlineLevel="1" x14ac:dyDescent="0.25">
      <c r="D219" s="8">
        <f>'Core Loads'!$C$14</f>
        <v>2025</v>
      </c>
      <c r="E219" s="62">
        <f>'Core Loads'!$D$14</f>
        <v>2026</v>
      </c>
      <c r="F219" s="8">
        <f>'Core Loads'!$E$14</f>
        <v>2027</v>
      </c>
      <c r="G219" s="8">
        <f>'Core Loads'!$F$14</f>
        <v>2028</v>
      </c>
      <c r="H219" s="8">
        <f>'Core Loads'!$G$14</f>
        <v>2029</v>
      </c>
      <c r="I219" s="8">
        <f>'Core Loads'!$H$14</f>
        <v>2030</v>
      </c>
      <c r="J219" s="8">
        <f>'Core Loads'!$I$14</f>
        <v>2031</v>
      </c>
      <c r="K219" s="8">
        <f>'Core Loads'!$J$14</f>
        <v>2032</v>
      </c>
      <c r="L219" s="8">
        <f>'Core Loads'!$K$14</f>
        <v>2033</v>
      </c>
      <c r="M219" s="8">
        <f>'Core Loads'!$L$14</f>
        <v>2034</v>
      </c>
      <c r="N219" s="8">
        <f>'Core Loads'!$M$14</f>
        <v>2035</v>
      </c>
      <c r="O219" s="8">
        <f>'Core Loads'!$N$14</f>
        <v>2036</v>
      </c>
      <c r="P219" s="8">
        <f>'Core Loads'!$O$14</f>
        <v>2037</v>
      </c>
      <c r="Q219" s="8">
        <f>'Core Loads'!$P$14</f>
        <v>2038</v>
      </c>
      <c r="R219" s="8">
        <f>'Core Loads'!$Q$14</f>
        <v>2039</v>
      </c>
      <c r="S219" s="8">
        <f>'Core Loads'!$R$14</f>
        <v>2040</v>
      </c>
      <c r="T219" s="8">
        <f>'Core Loads'!$S$14</f>
        <v>2041</v>
      </c>
      <c r="U219" s="8">
        <f>'Core Loads'!$T$14</f>
        <v>2042</v>
      </c>
      <c r="V219" s="8">
        <f>'Core Loads'!$U$14</f>
        <v>2043</v>
      </c>
      <c r="W219" s="8">
        <f>'Core Loads'!$V$14</f>
        <v>2044</v>
      </c>
      <c r="X219" s="8">
        <f>'Core Loads'!$W$14</f>
        <v>2045</v>
      </c>
      <c r="Y219" s="8">
        <f>'Core Loads'!$X$14</f>
        <v>2046</v>
      </c>
      <c r="Z219" s="8">
        <f>'Core Loads'!$Y$14</f>
        <v>2047</v>
      </c>
      <c r="AA219" s="8">
        <f>'Core Loads'!$Z$14</f>
        <v>2048</v>
      </c>
      <c r="AB219" s="8">
        <f>'Core Loads'!$AA$14</f>
        <v>2049</v>
      </c>
      <c r="AC219" s="8">
        <f>'Core Loads'!$AB$14</f>
        <v>2050</v>
      </c>
      <c r="AD219" s="8">
        <f>'Core Loads'!$AC$14</f>
        <v>2051</v>
      </c>
      <c r="AE219" s="8">
        <f>'Core Loads'!$AD$14</f>
        <v>2052</v>
      </c>
      <c r="AF219" s="8">
        <f>'Core Loads'!$AE$14</f>
        <v>2053</v>
      </c>
      <c r="AG219" s="8">
        <f>'Core Loads'!$AF$14</f>
        <v>2054</v>
      </c>
    </row>
    <row r="220" spans="2:35" s="1" customFormat="1" hidden="1" outlineLevel="1" x14ac:dyDescent="0.25">
      <c r="B220" t="s">
        <v>141</v>
      </c>
      <c r="C220" t="s">
        <v>109</v>
      </c>
      <c r="D220" s="21">
        <f>MAX('Core Loads'!C$512*Elec_exstg_kWh_per_kWh_campus+'Core Loads'!C$532*Process_exstg_kWh_per_lb_campus+'Core Loads'!C$552*Htg_exstg_kWh_per_MMBtu_campus+MAX('Core Loads'!C$572-AbsChillerLoad,0)*Clg_exstg_kWh_per_ton_campus-CogenElecOutputExstg,0)</f>
        <v>0</v>
      </c>
      <c r="E220" s="69">
        <f>MAX('Core Loads'!D$512*Elec_exstg_kWh_per_kWh_campus+'Core Loads'!D$532*Process_exstg_kWh_per_lb_campus+'Core Loads'!D$552*Htg_exstg_kWh_per_MMBtu_campus+MAX('Core Loads'!D$572-AbsChillerLoad,0)*Clg_exstg_kWh_per_ton_campus-CogenElecOutputExstg,0)</f>
        <v>2865758.5345967412</v>
      </c>
      <c r="F220" s="21">
        <f>MAX('Core Loads'!E$512*Elec_exstg_kWh_per_kWh_campus+'Core Loads'!E$532*Process_exstg_kWh_per_lb_campus+'Core Loads'!E$552*Htg_exstg_kWh_per_MMBtu_campus+MAX('Core Loads'!E$572-AbsChillerLoad,0)*Clg_exstg_kWh_per_ton_campus-CogenElecOutputExstg,0)</f>
        <v>0</v>
      </c>
      <c r="G220" s="21">
        <f>MAX('Core Loads'!F$512*Elec_exstg_kWh_per_kWh_campus+'Core Loads'!F$532*Process_exstg_kWh_per_lb_campus+'Core Loads'!F$552*Htg_exstg_kWh_per_MMBtu_campus+MAX('Core Loads'!F$572-AbsChillerLoad,0)*Clg_exstg_kWh_per_ton_campus-CogenElecOutputExstg,0)</f>
        <v>0</v>
      </c>
      <c r="H220" s="21">
        <f>MAX('Core Loads'!G$512*Elec_exstg_kWh_per_kWh_campus+'Core Loads'!G$532*Process_exstg_kWh_per_lb_campus+'Core Loads'!G$552*Htg_exstg_kWh_per_MMBtu_campus+MAX('Core Loads'!G$572-AbsChillerLoad,0)*Clg_exstg_kWh_per_ton_campus-CogenElecOutputExstg,0)</f>
        <v>0</v>
      </c>
      <c r="I220" s="21">
        <f>MAX('Core Loads'!H$512*Elec_exstg_kWh_per_kWh_campus+'Core Loads'!H$532*Process_exstg_kWh_per_lb_campus+'Core Loads'!H$552*Htg_exstg_kWh_per_MMBtu_campus+MAX('Core Loads'!H$572-AbsChillerLoad,0)*Clg_exstg_kWh_per_ton_campus-CogenElecOutputExstg,0)</f>
        <v>0</v>
      </c>
      <c r="J220" s="21">
        <f>MAX('Core Loads'!I$512*Elec_exstg_kWh_per_kWh_campus+'Core Loads'!I$532*Process_exstg_kWh_per_lb_campus+'Core Loads'!I$552*Htg_exstg_kWh_per_MMBtu_campus+MAX('Core Loads'!I$572-AbsChillerLoad,0)*Clg_exstg_kWh_per_ton_campus-CogenElecOutputExstg,0)</f>
        <v>0</v>
      </c>
      <c r="K220" s="21">
        <f>MAX('Core Loads'!J$512*Elec_exstg_kWh_per_kWh_campus+'Core Loads'!J$532*Process_exstg_kWh_per_lb_campus+'Core Loads'!J$552*Htg_exstg_kWh_per_MMBtu_campus+MAX('Core Loads'!J$572-AbsChillerLoad,0)*Clg_exstg_kWh_per_ton_campus-CogenElecOutputExstg,0)</f>
        <v>0</v>
      </c>
      <c r="L220" s="21">
        <f>MAX('Core Loads'!K$512*Elec_exstg_kWh_per_kWh_campus+'Core Loads'!K$532*Process_exstg_kWh_per_lb_campus+'Core Loads'!K$552*Htg_exstg_kWh_per_MMBtu_campus+MAX('Core Loads'!K$572-AbsChillerLoad,0)*Clg_exstg_kWh_per_ton_campus-CogenElecOutputExstg,0)</f>
        <v>0</v>
      </c>
      <c r="M220" s="21">
        <f>MAX('Core Loads'!L$512*Elec_exstg_kWh_per_kWh_campus+'Core Loads'!L$532*Process_exstg_kWh_per_lb_campus+'Core Loads'!L$552*Htg_exstg_kWh_per_MMBtu_campus+MAX('Core Loads'!L$572-AbsChillerLoad,0)*Clg_exstg_kWh_per_ton_campus-CogenElecOutputExstg,0)</f>
        <v>0</v>
      </c>
      <c r="N220" s="21">
        <f>MAX('Core Loads'!M$512*Elec_exstg_kWh_per_kWh_campus+'Core Loads'!M$532*Process_exstg_kWh_per_lb_campus+'Core Loads'!M$552*Htg_exstg_kWh_per_MMBtu_campus+MAX('Core Loads'!M$572-AbsChillerLoad,0)*Clg_exstg_kWh_per_ton_campus-CogenElecOutputExstg,0)</f>
        <v>0</v>
      </c>
      <c r="O220" s="21">
        <f>MAX('Core Loads'!N$512*Elec_exstg_kWh_per_kWh_campus+'Core Loads'!N$532*Process_exstg_kWh_per_lb_campus+'Core Loads'!N$552*Htg_exstg_kWh_per_MMBtu_campus+MAX('Core Loads'!N$572-AbsChillerLoad,0)*Clg_exstg_kWh_per_ton_campus-CogenElecOutputExstg,0)</f>
        <v>0</v>
      </c>
      <c r="P220" s="21">
        <f>MAX('Core Loads'!O$512*Elec_exstg_kWh_per_kWh_campus+'Core Loads'!O$532*Process_exstg_kWh_per_lb_campus+'Core Loads'!O$552*Htg_exstg_kWh_per_MMBtu_campus+MAX('Core Loads'!O$572-AbsChillerLoad,0)*Clg_exstg_kWh_per_ton_campus-CogenElecOutputExstg,0)</f>
        <v>0</v>
      </c>
      <c r="Q220" s="21">
        <f>MAX('Core Loads'!P$512*Elec_exstg_kWh_per_kWh_campus+'Core Loads'!P$532*Process_exstg_kWh_per_lb_campus+'Core Loads'!P$552*Htg_exstg_kWh_per_MMBtu_campus+MAX('Core Loads'!P$572-AbsChillerLoad,0)*Clg_exstg_kWh_per_ton_campus-CogenElecOutputExstg,0)</f>
        <v>0</v>
      </c>
      <c r="R220" s="21">
        <f>MAX('Core Loads'!Q$512*Elec_exstg_kWh_per_kWh_campus+'Core Loads'!Q$532*Process_exstg_kWh_per_lb_campus+'Core Loads'!Q$552*Htg_exstg_kWh_per_MMBtu_campus+MAX('Core Loads'!Q$572-AbsChillerLoad,0)*Clg_exstg_kWh_per_ton_campus-CogenElecOutputExstg,0)</f>
        <v>0</v>
      </c>
      <c r="S220" s="21">
        <f>MAX('Core Loads'!R$512*Elec_exstg_kWh_per_kWh_campus+'Core Loads'!R$532*Process_exstg_kWh_per_lb_campus+'Core Loads'!R$552*Htg_exstg_kWh_per_MMBtu_campus+MAX('Core Loads'!R$572-AbsChillerLoad,0)*Clg_exstg_kWh_per_ton_campus-CogenElecOutputExstg,0)</f>
        <v>0</v>
      </c>
      <c r="T220" s="21">
        <f>MAX('Core Loads'!S$512*Elec_exstg_kWh_per_kWh_campus+'Core Loads'!S$532*Process_exstg_kWh_per_lb_campus+'Core Loads'!S$552*Htg_exstg_kWh_per_MMBtu_campus+MAX('Core Loads'!S$572-AbsChillerLoad,0)*Clg_exstg_kWh_per_ton_campus-CogenElecOutputExstg,0)</f>
        <v>0</v>
      </c>
      <c r="U220" s="21">
        <f>MAX('Core Loads'!T$512*Elec_exstg_kWh_per_kWh_campus+'Core Loads'!T$532*Process_exstg_kWh_per_lb_campus+'Core Loads'!T$552*Htg_exstg_kWh_per_MMBtu_campus+MAX('Core Loads'!T$572-AbsChillerLoad,0)*Clg_exstg_kWh_per_ton_campus-CogenElecOutputExstg,0)</f>
        <v>0</v>
      </c>
      <c r="V220" s="21">
        <f>MAX('Core Loads'!U$512*Elec_exstg_kWh_per_kWh_campus+'Core Loads'!U$532*Process_exstg_kWh_per_lb_campus+'Core Loads'!U$552*Htg_exstg_kWh_per_MMBtu_campus+MAX('Core Loads'!U$572-AbsChillerLoad,0)*Clg_exstg_kWh_per_ton_campus-CogenElecOutputExstg,0)</f>
        <v>0</v>
      </c>
      <c r="W220" s="21">
        <f>MAX('Core Loads'!V$512*Elec_exstg_kWh_per_kWh_campus+'Core Loads'!V$532*Process_exstg_kWh_per_lb_campus+'Core Loads'!V$552*Htg_exstg_kWh_per_MMBtu_campus+MAX('Core Loads'!V$572-AbsChillerLoad,0)*Clg_exstg_kWh_per_ton_campus-CogenElecOutputExstg,0)</f>
        <v>0</v>
      </c>
      <c r="X220" s="21">
        <f>MAX('Core Loads'!W$512*Elec_exstg_kWh_per_kWh_campus+'Core Loads'!W$532*Process_exstg_kWh_per_lb_campus+'Core Loads'!W$552*Htg_exstg_kWh_per_MMBtu_campus+MAX('Core Loads'!W$572-AbsChillerLoad,0)*Clg_exstg_kWh_per_ton_campus-CogenElecOutputExstg,0)</f>
        <v>0</v>
      </c>
      <c r="Y220" s="21">
        <f>MAX('Core Loads'!X$512*Elec_exstg_kWh_per_kWh_campus+'Core Loads'!X$532*Process_exstg_kWh_per_lb_campus+'Core Loads'!X$552*Htg_exstg_kWh_per_MMBtu_campus+MAX('Core Loads'!X$572-AbsChillerLoad,0)*Clg_exstg_kWh_per_ton_campus-CogenElecOutputExstg,0)</f>
        <v>0</v>
      </c>
      <c r="Z220" s="21">
        <f>MAX('Core Loads'!Y$512*Elec_exstg_kWh_per_kWh_campus+'Core Loads'!Y$532*Process_exstg_kWh_per_lb_campus+'Core Loads'!Y$552*Htg_exstg_kWh_per_MMBtu_campus+MAX('Core Loads'!Y$572-AbsChillerLoad,0)*Clg_exstg_kWh_per_ton_campus-CogenElecOutputExstg,0)</f>
        <v>0</v>
      </c>
      <c r="AA220" s="21">
        <f>MAX('Core Loads'!Z$512*Elec_exstg_kWh_per_kWh_campus+'Core Loads'!Z$532*Process_exstg_kWh_per_lb_campus+'Core Loads'!Z$552*Htg_exstg_kWh_per_MMBtu_campus+MAX('Core Loads'!Z$572-AbsChillerLoad,0)*Clg_exstg_kWh_per_ton_campus-CogenElecOutputExstg,0)</f>
        <v>0</v>
      </c>
      <c r="AB220" s="21">
        <f>MAX('Core Loads'!AA$512*Elec_exstg_kWh_per_kWh_campus+'Core Loads'!AA$532*Process_exstg_kWh_per_lb_campus+'Core Loads'!AA$552*Htg_exstg_kWh_per_MMBtu_campus+MAX('Core Loads'!AA$572-AbsChillerLoad,0)*Clg_exstg_kWh_per_ton_campus-CogenElecOutputExstg,0)</f>
        <v>0</v>
      </c>
      <c r="AC220" s="21">
        <f>MAX('Core Loads'!AB$512*Elec_exstg_kWh_per_kWh_campus+'Core Loads'!AB$532*Process_exstg_kWh_per_lb_campus+'Core Loads'!AB$552*Htg_exstg_kWh_per_MMBtu_campus+MAX('Core Loads'!AB$572-AbsChillerLoad,0)*Clg_exstg_kWh_per_ton_campus-CogenElecOutputExstg,0)</f>
        <v>0</v>
      </c>
      <c r="AD220" s="21">
        <f>MAX('Core Loads'!AC$512*Elec_exstg_kWh_per_kWh_campus+'Core Loads'!AC$532*Process_exstg_kWh_per_lb_campus+'Core Loads'!AC$552*Htg_exstg_kWh_per_MMBtu_campus+MAX('Core Loads'!AC$572-AbsChillerLoad,0)*Clg_exstg_kWh_per_ton_campus-CogenElecOutputExstg,0)</f>
        <v>0</v>
      </c>
      <c r="AE220" s="21">
        <f>MAX('Core Loads'!AD$512*Elec_exstg_kWh_per_kWh_campus+'Core Loads'!AD$532*Process_exstg_kWh_per_lb_campus+'Core Loads'!AD$552*Htg_exstg_kWh_per_MMBtu_campus+MAX('Core Loads'!AD$572-AbsChillerLoad,0)*Clg_exstg_kWh_per_ton_campus-CogenElecOutputExstg,0)</f>
        <v>0</v>
      </c>
      <c r="AF220" s="21">
        <f>MAX('Core Loads'!AE$512*Elec_exstg_kWh_per_kWh_campus+'Core Loads'!AE$532*Process_exstg_kWh_per_lb_campus+'Core Loads'!AE$552*Htg_exstg_kWh_per_MMBtu_campus+MAX('Core Loads'!AE$572-AbsChillerLoad,0)*Clg_exstg_kWh_per_ton_campus-CogenElecOutputExstg,0)</f>
        <v>0</v>
      </c>
      <c r="AG220" s="21">
        <f>MAX('Core Loads'!AF$512*Elec_exstg_kWh_per_kWh_campus+'Core Loads'!AF$532*Process_exstg_kWh_per_lb_campus+'Core Loads'!AF$552*Htg_exstg_kWh_per_MMBtu_campus+MAX('Core Loads'!AF$572-AbsChillerLoad,0)*Clg_exstg_kWh_per_ton_campus-CogenElecOutputExstg,0)</f>
        <v>0</v>
      </c>
      <c r="AH220"/>
      <c r="AI220" s="23" t="s">
        <v>293</v>
      </c>
    </row>
    <row r="221" spans="2:35" s="1" customFormat="1" hidden="1" outlineLevel="1" x14ac:dyDescent="0.25">
      <c r="B221" t="s">
        <v>136</v>
      </c>
      <c r="C221" t="s">
        <v>169</v>
      </c>
      <c r="D221" s="21">
        <f>'Core Loads'!C$532*Process_exstg_therm_per_lb_campus+'Core Loads'!C$552*Htg_exstg_therm_per_MMBtu_campus+MIN('Core Loads'!C$572,AbsChillerLoad)*Clg_exstg_therm_per_ton_campus</f>
        <v>31258877.283118241</v>
      </c>
      <c r="E221" s="69">
        <f>'Core Loads'!D$532*Process_exstg_therm_per_lb_campus+'Core Loads'!D$552*Htg_exstg_therm_per_MMBtu_campus+MIN('Core Loads'!D$572,AbsChillerLoad)*Clg_exstg_therm_per_ton_campus</f>
        <v>31258877.283118241</v>
      </c>
      <c r="F221" s="21">
        <f>'Core Loads'!E$532*Process_exstg_therm_per_lb_campus+'Core Loads'!E$552*Htg_exstg_therm_per_MMBtu_campus+MIN('Core Loads'!E$572,AbsChillerLoad)*Clg_exstg_therm_per_ton_campus</f>
        <v>22981692.329201803</v>
      </c>
      <c r="G221" s="21">
        <f>'Core Loads'!F$532*Process_exstg_therm_per_lb_campus+'Core Loads'!F$552*Htg_exstg_therm_per_MMBtu_campus+MIN('Core Loads'!F$572,AbsChillerLoad)*Clg_exstg_therm_per_ton_campus</f>
        <v>0</v>
      </c>
      <c r="H221" s="21">
        <f>'Core Loads'!G$532*Process_exstg_therm_per_lb_campus+'Core Loads'!G$552*Htg_exstg_therm_per_MMBtu_campus+MIN('Core Loads'!G$572,AbsChillerLoad)*Clg_exstg_therm_per_ton_campus</f>
        <v>0</v>
      </c>
      <c r="I221" s="21">
        <f>'Core Loads'!H$532*Process_exstg_therm_per_lb_campus+'Core Loads'!H$552*Htg_exstg_therm_per_MMBtu_campus+MIN('Core Loads'!H$572,AbsChillerLoad)*Clg_exstg_therm_per_ton_campus</f>
        <v>0</v>
      </c>
      <c r="J221" s="21">
        <f>'Core Loads'!I$532*Process_exstg_therm_per_lb_campus+'Core Loads'!I$552*Htg_exstg_therm_per_MMBtu_campus+MIN('Core Loads'!I$572,AbsChillerLoad)*Clg_exstg_therm_per_ton_campus</f>
        <v>0</v>
      </c>
      <c r="K221" s="21">
        <f>'Core Loads'!J$532*Process_exstg_therm_per_lb_campus+'Core Loads'!J$552*Htg_exstg_therm_per_MMBtu_campus+MIN('Core Loads'!J$572,AbsChillerLoad)*Clg_exstg_therm_per_ton_campus</f>
        <v>0</v>
      </c>
      <c r="L221" s="21">
        <f>'Core Loads'!K$532*Process_exstg_therm_per_lb_campus+'Core Loads'!K$552*Htg_exstg_therm_per_MMBtu_campus+MIN('Core Loads'!K$572,AbsChillerLoad)*Clg_exstg_therm_per_ton_campus</f>
        <v>0</v>
      </c>
      <c r="M221" s="21">
        <f>'Core Loads'!L$532*Process_exstg_therm_per_lb_campus+'Core Loads'!L$552*Htg_exstg_therm_per_MMBtu_campus+MIN('Core Loads'!L$572,AbsChillerLoad)*Clg_exstg_therm_per_ton_campus</f>
        <v>0</v>
      </c>
      <c r="N221" s="21">
        <f>'Core Loads'!M$532*Process_exstg_therm_per_lb_campus+'Core Loads'!M$552*Htg_exstg_therm_per_MMBtu_campus+MIN('Core Loads'!M$572,AbsChillerLoad)*Clg_exstg_therm_per_ton_campus</f>
        <v>0</v>
      </c>
      <c r="O221" s="21">
        <f>'Core Loads'!N$532*Process_exstg_therm_per_lb_campus+'Core Loads'!N$552*Htg_exstg_therm_per_MMBtu_campus+MIN('Core Loads'!N$572,AbsChillerLoad)*Clg_exstg_therm_per_ton_campus</f>
        <v>0</v>
      </c>
      <c r="P221" s="21">
        <f>'Core Loads'!O$532*Process_exstg_therm_per_lb_campus+'Core Loads'!O$552*Htg_exstg_therm_per_MMBtu_campus+MIN('Core Loads'!O$572,AbsChillerLoad)*Clg_exstg_therm_per_ton_campus</f>
        <v>0</v>
      </c>
      <c r="Q221" s="21">
        <f>'Core Loads'!P$532*Process_exstg_therm_per_lb_campus+'Core Loads'!P$552*Htg_exstg_therm_per_MMBtu_campus+MIN('Core Loads'!P$572,AbsChillerLoad)*Clg_exstg_therm_per_ton_campus</f>
        <v>0</v>
      </c>
      <c r="R221" s="21">
        <f>'Core Loads'!Q$532*Process_exstg_therm_per_lb_campus+'Core Loads'!Q$552*Htg_exstg_therm_per_MMBtu_campus+MIN('Core Loads'!Q$572,AbsChillerLoad)*Clg_exstg_therm_per_ton_campus</f>
        <v>0</v>
      </c>
      <c r="S221" s="21">
        <f>'Core Loads'!R$532*Process_exstg_therm_per_lb_campus+'Core Loads'!R$552*Htg_exstg_therm_per_MMBtu_campus+MIN('Core Loads'!R$572,AbsChillerLoad)*Clg_exstg_therm_per_ton_campus</f>
        <v>0</v>
      </c>
      <c r="T221" s="21">
        <f>'Core Loads'!S$532*Process_exstg_therm_per_lb_campus+'Core Loads'!S$552*Htg_exstg_therm_per_MMBtu_campus+MIN('Core Loads'!S$572,AbsChillerLoad)*Clg_exstg_therm_per_ton_campus</f>
        <v>0</v>
      </c>
      <c r="U221" s="21">
        <f>'Core Loads'!T$532*Process_exstg_therm_per_lb_campus+'Core Loads'!T$552*Htg_exstg_therm_per_MMBtu_campus+MIN('Core Loads'!T$572,AbsChillerLoad)*Clg_exstg_therm_per_ton_campus</f>
        <v>0</v>
      </c>
      <c r="V221" s="21">
        <f>'Core Loads'!U$532*Process_exstg_therm_per_lb_campus+'Core Loads'!U$552*Htg_exstg_therm_per_MMBtu_campus+MIN('Core Loads'!U$572,AbsChillerLoad)*Clg_exstg_therm_per_ton_campus</f>
        <v>0</v>
      </c>
      <c r="W221" s="21">
        <f>'Core Loads'!V$532*Process_exstg_therm_per_lb_campus+'Core Loads'!V$552*Htg_exstg_therm_per_MMBtu_campus+MIN('Core Loads'!V$572,AbsChillerLoad)*Clg_exstg_therm_per_ton_campus</f>
        <v>0</v>
      </c>
      <c r="X221" s="21">
        <f>'Core Loads'!W$532*Process_exstg_therm_per_lb_campus+'Core Loads'!W$552*Htg_exstg_therm_per_MMBtu_campus+MIN('Core Loads'!W$572,AbsChillerLoad)*Clg_exstg_therm_per_ton_campus</f>
        <v>0</v>
      </c>
      <c r="Y221" s="21">
        <f>'Core Loads'!X$532*Process_exstg_therm_per_lb_campus+'Core Loads'!X$552*Htg_exstg_therm_per_MMBtu_campus+MIN('Core Loads'!X$572,AbsChillerLoad)*Clg_exstg_therm_per_ton_campus</f>
        <v>0</v>
      </c>
      <c r="Z221" s="21">
        <f>'Core Loads'!Y$532*Process_exstg_therm_per_lb_campus+'Core Loads'!Y$552*Htg_exstg_therm_per_MMBtu_campus+MIN('Core Loads'!Y$572,AbsChillerLoad)*Clg_exstg_therm_per_ton_campus</f>
        <v>0</v>
      </c>
      <c r="AA221" s="21">
        <f>'Core Loads'!Z$532*Process_exstg_therm_per_lb_campus+'Core Loads'!Z$552*Htg_exstg_therm_per_MMBtu_campus+MIN('Core Loads'!Z$572,AbsChillerLoad)*Clg_exstg_therm_per_ton_campus</f>
        <v>0</v>
      </c>
      <c r="AB221" s="21">
        <f>'Core Loads'!AA$532*Process_exstg_therm_per_lb_campus+'Core Loads'!AA$552*Htg_exstg_therm_per_MMBtu_campus+MIN('Core Loads'!AA$572,AbsChillerLoad)*Clg_exstg_therm_per_ton_campus</f>
        <v>0</v>
      </c>
      <c r="AC221" s="21">
        <f>'Core Loads'!AB$532*Process_exstg_therm_per_lb_campus+'Core Loads'!AB$552*Htg_exstg_therm_per_MMBtu_campus+MIN('Core Loads'!AB$572,AbsChillerLoad)*Clg_exstg_therm_per_ton_campus</f>
        <v>0</v>
      </c>
      <c r="AD221" s="21">
        <f>'Core Loads'!AC$532*Process_exstg_therm_per_lb_campus+'Core Loads'!AC$552*Htg_exstg_therm_per_MMBtu_campus+MIN('Core Loads'!AC$572,AbsChillerLoad)*Clg_exstg_therm_per_ton_campus</f>
        <v>0</v>
      </c>
      <c r="AE221" s="21">
        <f>'Core Loads'!AD$532*Process_exstg_therm_per_lb_campus+'Core Loads'!AD$552*Htg_exstg_therm_per_MMBtu_campus+MIN('Core Loads'!AD$572,AbsChillerLoad)*Clg_exstg_therm_per_ton_campus</f>
        <v>0</v>
      </c>
      <c r="AF221" s="21">
        <f>'Core Loads'!AE$532*Process_exstg_therm_per_lb_campus+'Core Loads'!AE$552*Htg_exstg_therm_per_MMBtu_campus+MIN('Core Loads'!AE$572,AbsChillerLoad)*Clg_exstg_therm_per_ton_campus</f>
        <v>0</v>
      </c>
      <c r="AG221" s="21">
        <f>'Core Loads'!AF$532*Process_exstg_therm_per_lb_campus+'Core Loads'!AF$552*Htg_exstg_therm_per_MMBtu_campus+MIN('Core Loads'!AF$572,AbsChillerLoad)*Clg_exstg_therm_per_ton_campus</f>
        <v>0</v>
      </c>
      <c r="AH221"/>
      <c r="AI221" s="23" t="s">
        <v>293</v>
      </c>
    </row>
    <row r="222" spans="2:35" s="1" customFormat="1" hidden="1" outlineLevel="1" x14ac:dyDescent="0.25">
      <c r="B222" t="s">
        <v>154</v>
      </c>
      <c r="C222" t="s">
        <v>170</v>
      </c>
      <c r="D222" s="21">
        <f>'Core Loads'!C$532*Process_exstg_CCF_per_lb_campus+'Core Loads'!C$552*Htg_exstg_CCF_per_MMBtu_campus+'Core Loads'!C$572*Clg_exstg_CCF_per_ton_campus</f>
        <v>278436.87957137165</v>
      </c>
      <c r="E222" s="69">
        <f>'Core Loads'!D$532*Process_exstg_CCF_per_lb_campus+'Core Loads'!D$552*Htg_exstg_CCF_per_MMBtu_campus+'Core Loads'!D$572*Clg_exstg_CCF_per_ton_campus</f>
        <v>297204.70349500491</v>
      </c>
      <c r="F222" s="21">
        <f>'Core Loads'!E$532*Process_exstg_CCF_per_lb_campus+'Core Loads'!E$552*Htg_exstg_CCF_per_MMBtu_campus+'Core Loads'!E$572*Clg_exstg_CCF_per_ton_campus</f>
        <v>191606.7622058175</v>
      </c>
      <c r="G222" s="21">
        <f>'Core Loads'!F$532*Process_exstg_CCF_per_lb_campus+'Core Loads'!F$552*Htg_exstg_CCF_per_MMBtu_campus+'Core Loads'!F$572*Clg_exstg_CCF_per_ton_campus</f>
        <v>0</v>
      </c>
      <c r="H222" s="21">
        <f>'Core Loads'!G$532*Process_exstg_CCF_per_lb_campus+'Core Loads'!G$552*Htg_exstg_CCF_per_MMBtu_campus+'Core Loads'!G$572*Clg_exstg_CCF_per_ton_campus</f>
        <v>0</v>
      </c>
      <c r="I222" s="21">
        <f>'Core Loads'!H$532*Process_exstg_CCF_per_lb_campus+'Core Loads'!H$552*Htg_exstg_CCF_per_MMBtu_campus+'Core Loads'!H$572*Clg_exstg_CCF_per_ton_campus</f>
        <v>0</v>
      </c>
      <c r="J222" s="21">
        <f>'Core Loads'!I$532*Process_exstg_CCF_per_lb_campus+'Core Loads'!I$552*Htg_exstg_CCF_per_MMBtu_campus+'Core Loads'!I$572*Clg_exstg_CCF_per_ton_campus</f>
        <v>0</v>
      </c>
      <c r="K222" s="21">
        <f>'Core Loads'!J$532*Process_exstg_CCF_per_lb_campus+'Core Loads'!J$552*Htg_exstg_CCF_per_MMBtu_campus+'Core Loads'!J$572*Clg_exstg_CCF_per_ton_campus</f>
        <v>0</v>
      </c>
      <c r="L222" s="21">
        <f>'Core Loads'!K$532*Process_exstg_CCF_per_lb_campus+'Core Loads'!K$552*Htg_exstg_CCF_per_MMBtu_campus+'Core Loads'!K$572*Clg_exstg_CCF_per_ton_campus</f>
        <v>0</v>
      </c>
      <c r="M222" s="21">
        <f>'Core Loads'!L$532*Process_exstg_CCF_per_lb_campus+'Core Loads'!L$552*Htg_exstg_CCF_per_MMBtu_campus+'Core Loads'!L$572*Clg_exstg_CCF_per_ton_campus</f>
        <v>0</v>
      </c>
      <c r="N222" s="21">
        <f>'Core Loads'!M$532*Process_exstg_CCF_per_lb_campus+'Core Loads'!M$552*Htg_exstg_CCF_per_MMBtu_campus+'Core Loads'!M$572*Clg_exstg_CCF_per_ton_campus</f>
        <v>0</v>
      </c>
      <c r="O222" s="21">
        <f>'Core Loads'!N$532*Process_exstg_CCF_per_lb_campus+'Core Loads'!N$552*Htg_exstg_CCF_per_MMBtu_campus+'Core Loads'!N$572*Clg_exstg_CCF_per_ton_campus</f>
        <v>0</v>
      </c>
      <c r="P222" s="21">
        <f>'Core Loads'!O$532*Process_exstg_CCF_per_lb_campus+'Core Loads'!O$552*Htg_exstg_CCF_per_MMBtu_campus+'Core Loads'!O$572*Clg_exstg_CCF_per_ton_campus</f>
        <v>0</v>
      </c>
      <c r="Q222" s="21">
        <f>'Core Loads'!P$532*Process_exstg_CCF_per_lb_campus+'Core Loads'!P$552*Htg_exstg_CCF_per_MMBtu_campus+'Core Loads'!P$572*Clg_exstg_CCF_per_ton_campus</f>
        <v>0</v>
      </c>
      <c r="R222" s="21">
        <f>'Core Loads'!Q$532*Process_exstg_CCF_per_lb_campus+'Core Loads'!Q$552*Htg_exstg_CCF_per_MMBtu_campus+'Core Loads'!Q$572*Clg_exstg_CCF_per_ton_campus</f>
        <v>0</v>
      </c>
      <c r="S222" s="21">
        <f>'Core Loads'!R$532*Process_exstg_CCF_per_lb_campus+'Core Loads'!R$552*Htg_exstg_CCF_per_MMBtu_campus+'Core Loads'!R$572*Clg_exstg_CCF_per_ton_campus</f>
        <v>0</v>
      </c>
      <c r="T222" s="21">
        <f>'Core Loads'!S$532*Process_exstg_CCF_per_lb_campus+'Core Loads'!S$552*Htg_exstg_CCF_per_MMBtu_campus+'Core Loads'!S$572*Clg_exstg_CCF_per_ton_campus</f>
        <v>0</v>
      </c>
      <c r="U222" s="21">
        <f>'Core Loads'!T$532*Process_exstg_CCF_per_lb_campus+'Core Loads'!T$552*Htg_exstg_CCF_per_MMBtu_campus+'Core Loads'!T$572*Clg_exstg_CCF_per_ton_campus</f>
        <v>0</v>
      </c>
      <c r="V222" s="21">
        <f>'Core Loads'!U$532*Process_exstg_CCF_per_lb_campus+'Core Loads'!U$552*Htg_exstg_CCF_per_MMBtu_campus+'Core Loads'!U$572*Clg_exstg_CCF_per_ton_campus</f>
        <v>0</v>
      </c>
      <c r="W222" s="21">
        <f>'Core Loads'!V$532*Process_exstg_CCF_per_lb_campus+'Core Loads'!V$552*Htg_exstg_CCF_per_MMBtu_campus+'Core Loads'!V$572*Clg_exstg_CCF_per_ton_campus</f>
        <v>0</v>
      </c>
      <c r="X222" s="21">
        <f>'Core Loads'!W$532*Process_exstg_CCF_per_lb_campus+'Core Loads'!W$552*Htg_exstg_CCF_per_MMBtu_campus+'Core Loads'!W$572*Clg_exstg_CCF_per_ton_campus</f>
        <v>0</v>
      </c>
      <c r="Y222" s="21">
        <f>'Core Loads'!X$532*Process_exstg_CCF_per_lb_campus+'Core Loads'!X$552*Htg_exstg_CCF_per_MMBtu_campus+'Core Loads'!X$572*Clg_exstg_CCF_per_ton_campus</f>
        <v>0</v>
      </c>
      <c r="Z222" s="21">
        <f>'Core Loads'!Y$532*Process_exstg_CCF_per_lb_campus+'Core Loads'!Y$552*Htg_exstg_CCF_per_MMBtu_campus+'Core Loads'!Y$572*Clg_exstg_CCF_per_ton_campus</f>
        <v>0</v>
      </c>
      <c r="AA222" s="21">
        <f>'Core Loads'!Z$532*Process_exstg_CCF_per_lb_campus+'Core Loads'!Z$552*Htg_exstg_CCF_per_MMBtu_campus+'Core Loads'!Z$572*Clg_exstg_CCF_per_ton_campus</f>
        <v>0</v>
      </c>
      <c r="AB222" s="21">
        <f>'Core Loads'!AA$532*Process_exstg_CCF_per_lb_campus+'Core Loads'!AA$552*Htg_exstg_CCF_per_MMBtu_campus+'Core Loads'!AA$572*Clg_exstg_CCF_per_ton_campus</f>
        <v>0</v>
      </c>
      <c r="AC222" s="21">
        <f>'Core Loads'!AB$532*Process_exstg_CCF_per_lb_campus+'Core Loads'!AB$552*Htg_exstg_CCF_per_MMBtu_campus+'Core Loads'!AB$572*Clg_exstg_CCF_per_ton_campus</f>
        <v>0</v>
      </c>
      <c r="AD222" s="21">
        <f>'Core Loads'!AC$532*Process_exstg_CCF_per_lb_campus+'Core Loads'!AC$552*Htg_exstg_CCF_per_MMBtu_campus+'Core Loads'!AC$572*Clg_exstg_CCF_per_ton_campus</f>
        <v>0</v>
      </c>
      <c r="AE222" s="21">
        <f>'Core Loads'!AD$532*Process_exstg_CCF_per_lb_campus+'Core Loads'!AD$552*Htg_exstg_CCF_per_MMBtu_campus+'Core Loads'!AD$572*Clg_exstg_CCF_per_ton_campus</f>
        <v>0</v>
      </c>
      <c r="AF222" s="21">
        <f>'Core Loads'!AE$532*Process_exstg_CCF_per_lb_campus+'Core Loads'!AE$552*Htg_exstg_CCF_per_MMBtu_campus+'Core Loads'!AE$572*Clg_exstg_CCF_per_ton_campus</f>
        <v>0</v>
      </c>
      <c r="AG222" s="21">
        <f>'Core Loads'!AF$532*Process_exstg_CCF_per_lb_campus+'Core Loads'!AF$552*Htg_exstg_CCF_per_MMBtu_campus+'Core Loads'!AF$572*Clg_exstg_CCF_per_ton_campus</f>
        <v>0</v>
      </c>
      <c r="AH222"/>
      <c r="AI222" s="23" t="s">
        <v>293</v>
      </c>
    </row>
    <row r="223" spans="2:35" hidden="1" outlineLevel="1" x14ac:dyDescent="0.25"/>
    <row r="224" spans="2:35" s="1" customFormat="1" ht="17.25" hidden="1" outlineLevel="1" thickBot="1" x14ac:dyDescent="0.3">
      <c r="B224" s="19" t="s">
        <v>280</v>
      </c>
      <c r="C224" s="19"/>
      <c r="D224" s="19"/>
      <c r="E224" s="67"/>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row>
    <row r="225" spans="2:35" s="1" customFormat="1" ht="16.5" hidden="1" outlineLevel="1" thickTop="1" thickBot="1" x14ac:dyDescent="0.3">
      <c r="B225" s="20" t="s">
        <v>292</v>
      </c>
      <c r="C225" s="20" t="s">
        <v>13</v>
      </c>
      <c r="D225" s="20" t="s">
        <v>17</v>
      </c>
      <c r="E225" s="68"/>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t="s">
        <v>15</v>
      </c>
    </row>
    <row r="226" spans="2:35" hidden="1" outlineLevel="1" x14ac:dyDescent="0.25">
      <c r="D226" s="8">
        <f>'Core Loads'!$C$14</f>
        <v>2025</v>
      </c>
      <c r="E226" s="62">
        <f>'Core Loads'!$D$14</f>
        <v>2026</v>
      </c>
      <c r="F226" s="8">
        <f>'Core Loads'!$E$14</f>
        <v>2027</v>
      </c>
      <c r="G226" s="8">
        <f>'Core Loads'!$F$14</f>
        <v>2028</v>
      </c>
      <c r="H226" s="8">
        <f>'Core Loads'!$G$14</f>
        <v>2029</v>
      </c>
      <c r="I226" s="8">
        <f>'Core Loads'!$H$14</f>
        <v>2030</v>
      </c>
      <c r="J226" s="8">
        <f>'Core Loads'!$I$14</f>
        <v>2031</v>
      </c>
      <c r="K226" s="8">
        <f>'Core Loads'!$J$14</f>
        <v>2032</v>
      </c>
      <c r="L226" s="8">
        <f>'Core Loads'!$K$14</f>
        <v>2033</v>
      </c>
      <c r="M226" s="8">
        <f>'Core Loads'!$L$14</f>
        <v>2034</v>
      </c>
      <c r="N226" s="8">
        <f>'Core Loads'!$M$14</f>
        <v>2035</v>
      </c>
      <c r="O226" s="8">
        <f>'Core Loads'!$N$14</f>
        <v>2036</v>
      </c>
      <c r="P226" s="8">
        <f>'Core Loads'!$O$14</f>
        <v>2037</v>
      </c>
      <c r="Q226" s="8">
        <f>'Core Loads'!$P$14</f>
        <v>2038</v>
      </c>
      <c r="R226" s="8">
        <f>'Core Loads'!$Q$14</f>
        <v>2039</v>
      </c>
      <c r="S226" s="8">
        <f>'Core Loads'!$R$14</f>
        <v>2040</v>
      </c>
      <c r="T226" s="8">
        <f>'Core Loads'!$S$14</f>
        <v>2041</v>
      </c>
      <c r="U226" s="8">
        <f>'Core Loads'!$T$14</f>
        <v>2042</v>
      </c>
      <c r="V226" s="8">
        <f>'Core Loads'!$U$14</f>
        <v>2043</v>
      </c>
      <c r="W226" s="8">
        <f>'Core Loads'!$V$14</f>
        <v>2044</v>
      </c>
      <c r="X226" s="8">
        <f>'Core Loads'!$W$14</f>
        <v>2045</v>
      </c>
      <c r="Y226" s="8">
        <f>'Core Loads'!$X$14</f>
        <v>2046</v>
      </c>
      <c r="Z226" s="8">
        <f>'Core Loads'!$Y$14</f>
        <v>2047</v>
      </c>
      <c r="AA226" s="8">
        <f>'Core Loads'!$Z$14</f>
        <v>2048</v>
      </c>
      <c r="AB226" s="8">
        <f>'Core Loads'!$AA$14</f>
        <v>2049</v>
      </c>
      <c r="AC226" s="8">
        <f>'Core Loads'!$AB$14</f>
        <v>2050</v>
      </c>
      <c r="AD226" s="8">
        <f>'Core Loads'!$AC$14</f>
        <v>2051</v>
      </c>
      <c r="AE226" s="8">
        <f>'Core Loads'!$AD$14</f>
        <v>2052</v>
      </c>
      <c r="AF226" s="8">
        <f>'Core Loads'!$AE$14</f>
        <v>2053</v>
      </c>
      <c r="AG226" s="8">
        <f>'Core Loads'!$AF$14</f>
        <v>2054</v>
      </c>
    </row>
    <row r="227" spans="2:35" s="1" customFormat="1" hidden="1" outlineLevel="1" x14ac:dyDescent="0.25">
      <c r="B227" t="s">
        <v>141</v>
      </c>
      <c r="C227" t="s">
        <v>109</v>
      </c>
      <c r="D227" s="21">
        <f>'Core Loads'!C$521*'Core Inputs'!$I$306+'Core Loads'!C$541*'Core Inputs'!$I$301+'Core Loads'!C$561*'Core Inputs'!$I$292+'Core Loads'!C$571*'Core Inputs'!$I$297</f>
        <v>1011886.434656</v>
      </c>
      <c r="E227" s="69">
        <f>'Core Loads'!D$521*'Core Inputs'!$I$306+'Core Loads'!D$541*'Core Inputs'!$I$301+'Core Loads'!D$561*'Core Inputs'!$I$292+'Core Loads'!D$571*'Core Inputs'!$I$297</f>
        <v>1011886.434656</v>
      </c>
      <c r="F227" s="21">
        <f>'Core Loads'!E$521*'Core Inputs'!$I$306+'Core Loads'!E$541*'Core Inputs'!$I$301+'Core Loads'!E$561*'Core Inputs'!$I$292+'Core Loads'!E$571*'Core Inputs'!$I$297</f>
        <v>145235755.52535781</v>
      </c>
      <c r="G227" s="21">
        <f>'Core Loads'!F$521*'Core Inputs'!$I$306+'Core Loads'!F$541*'Core Inputs'!$I$301+'Core Loads'!F$561*'Core Inputs'!$I$292+'Core Loads'!F$571*'Core Inputs'!$I$297</f>
        <v>352865229.80409026</v>
      </c>
      <c r="H227" s="21">
        <f>'Core Loads'!G$521*'Core Inputs'!$I$306+'Core Loads'!G$541*'Core Inputs'!$I$301+'Core Loads'!G$561*'Core Inputs'!$I$292+'Core Loads'!G$571*'Core Inputs'!$I$297</f>
        <v>352865229.80409026</v>
      </c>
      <c r="I227" s="21">
        <f>'Core Loads'!H$521*'Core Inputs'!$I$306+'Core Loads'!H$541*'Core Inputs'!$I$301+'Core Loads'!H$561*'Core Inputs'!$I$292+'Core Loads'!H$571*'Core Inputs'!$I$297</f>
        <v>350530524.14324093</v>
      </c>
      <c r="J227" s="21">
        <f>'Core Loads'!I$521*'Core Inputs'!$I$306+'Core Loads'!I$541*'Core Inputs'!$I$301+'Core Loads'!I$561*'Core Inputs'!$I$292+'Core Loads'!I$571*'Core Inputs'!$I$297</f>
        <v>350530524.14324093</v>
      </c>
      <c r="K227" s="21">
        <f>'Core Loads'!J$521*'Core Inputs'!$I$306+'Core Loads'!J$541*'Core Inputs'!$I$301+'Core Loads'!J$561*'Core Inputs'!$I$292+'Core Loads'!J$571*'Core Inputs'!$I$297</f>
        <v>333626369.80401313</v>
      </c>
      <c r="L227" s="21">
        <f>'Core Loads'!K$521*'Core Inputs'!$I$306+'Core Loads'!K$541*'Core Inputs'!$I$301+'Core Loads'!K$561*'Core Inputs'!$I$292+'Core Loads'!K$571*'Core Inputs'!$I$297</f>
        <v>333626369.80401313</v>
      </c>
      <c r="M227" s="21">
        <f>'Core Loads'!L$521*'Core Inputs'!$I$306+'Core Loads'!L$541*'Core Inputs'!$I$301+'Core Loads'!L$561*'Core Inputs'!$I$292+'Core Loads'!L$571*'Core Inputs'!$I$297</f>
        <v>330851127.08902746</v>
      </c>
      <c r="N227" s="21">
        <f>'Core Loads'!M$521*'Core Inputs'!$I$306+'Core Loads'!M$541*'Core Inputs'!$I$301+'Core Loads'!M$561*'Core Inputs'!$I$292+'Core Loads'!M$571*'Core Inputs'!$I$297</f>
        <v>330851127.08902746</v>
      </c>
      <c r="O227" s="21">
        <f>'Core Loads'!N$521*'Core Inputs'!$I$306+'Core Loads'!N$541*'Core Inputs'!$I$301+'Core Loads'!N$561*'Core Inputs'!$I$292+'Core Loads'!N$571*'Core Inputs'!$I$297</f>
        <v>325993668.99065566</v>
      </c>
      <c r="P227" s="21">
        <f>'Core Loads'!O$521*'Core Inputs'!$I$306+'Core Loads'!O$541*'Core Inputs'!$I$301+'Core Loads'!O$561*'Core Inputs'!$I$292+'Core Loads'!O$571*'Core Inputs'!$I$297</f>
        <v>325993668.99065566</v>
      </c>
      <c r="Q227" s="21">
        <f>'Core Loads'!P$521*'Core Inputs'!$I$306+'Core Loads'!P$541*'Core Inputs'!$I$301+'Core Loads'!P$561*'Core Inputs'!$I$292+'Core Loads'!P$571*'Core Inputs'!$I$297</f>
        <v>324918032.97917044</v>
      </c>
      <c r="R227" s="21">
        <f>'Core Loads'!Q$521*'Core Inputs'!$I$306+'Core Loads'!Q$541*'Core Inputs'!$I$301+'Core Loads'!Q$561*'Core Inputs'!$I$292+'Core Loads'!Q$571*'Core Inputs'!$I$297</f>
        <v>324918032.97917044</v>
      </c>
      <c r="S227" s="21">
        <f>'Core Loads'!R$521*'Core Inputs'!$I$306+'Core Loads'!R$541*'Core Inputs'!$I$301+'Core Loads'!R$561*'Core Inputs'!$I$292+'Core Loads'!R$571*'Core Inputs'!$I$297</f>
        <v>370368508.6458528</v>
      </c>
      <c r="T227" s="21">
        <f>'Core Loads'!S$521*'Core Inputs'!$I$306+'Core Loads'!S$541*'Core Inputs'!$I$301+'Core Loads'!S$561*'Core Inputs'!$I$292+'Core Loads'!S$571*'Core Inputs'!$I$297</f>
        <v>370368508.6458528</v>
      </c>
      <c r="U227" s="21">
        <f>'Core Loads'!T$521*'Core Inputs'!$I$306+'Core Loads'!T$541*'Core Inputs'!$I$301+'Core Loads'!T$561*'Core Inputs'!$I$292+'Core Loads'!T$571*'Core Inputs'!$I$297</f>
        <v>369870643.11415946</v>
      </c>
      <c r="V227" s="21">
        <f>'Core Loads'!U$521*'Core Inputs'!$I$306+'Core Loads'!U$541*'Core Inputs'!$I$301+'Core Loads'!U$561*'Core Inputs'!$I$292+'Core Loads'!U$571*'Core Inputs'!$I$297</f>
        <v>369870643.11415946</v>
      </c>
      <c r="W227" s="21">
        <f>'Core Loads'!V$521*'Core Inputs'!$I$306+'Core Loads'!V$541*'Core Inputs'!$I$301+'Core Loads'!V$561*'Core Inputs'!$I$292+'Core Loads'!V$571*'Core Inputs'!$I$297</f>
        <v>368928302.92435688</v>
      </c>
      <c r="X227" s="21">
        <f>'Core Loads'!W$521*'Core Inputs'!$I$306+'Core Loads'!W$541*'Core Inputs'!$I$301+'Core Loads'!W$561*'Core Inputs'!$I$292+'Core Loads'!W$571*'Core Inputs'!$I$297</f>
        <v>368928302.92435688</v>
      </c>
      <c r="Y227" s="21">
        <f>'Core Loads'!X$521*'Core Inputs'!$I$306+'Core Loads'!X$541*'Core Inputs'!$I$301+'Core Loads'!X$561*'Core Inputs'!$I$292+'Core Loads'!X$571*'Core Inputs'!$I$297</f>
        <v>368928302.92435688</v>
      </c>
      <c r="Z227" s="21">
        <f>'Core Loads'!Y$521*'Core Inputs'!$I$306+'Core Loads'!Y$541*'Core Inputs'!$I$301+'Core Loads'!Y$561*'Core Inputs'!$I$292+'Core Loads'!Y$571*'Core Inputs'!$I$297</f>
        <v>368928302.92435688</v>
      </c>
      <c r="AA227" s="21">
        <f>'Core Loads'!Z$521*'Core Inputs'!$I$306+'Core Loads'!Z$541*'Core Inputs'!$I$301+'Core Loads'!Z$561*'Core Inputs'!$I$292+'Core Loads'!Z$571*'Core Inputs'!$I$297</f>
        <v>368928302.92435688</v>
      </c>
      <c r="AB227" s="21">
        <f>'Core Loads'!AA$521*'Core Inputs'!$I$306+'Core Loads'!AA$541*'Core Inputs'!$I$301+'Core Loads'!AA$561*'Core Inputs'!$I$292+'Core Loads'!AA$571*'Core Inputs'!$I$297</f>
        <v>368928302.92435688</v>
      </c>
      <c r="AC227" s="21">
        <f>'Core Loads'!AB$521*'Core Inputs'!$I$306+'Core Loads'!AB$541*'Core Inputs'!$I$301+'Core Loads'!AB$561*'Core Inputs'!$I$292+'Core Loads'!AB$571*'Core Inputs'!$I$297</f>
        <v>367889998.89360023</v>
      </c>
      <c r="AD227" s="21">
        <f>'Core Loads'!AC$521*'Core Inputs'!$I$306+'Core Loads'!AC$541*'Core Inputs'!$I$301+'Core Loads'!AC$561*'Core Inputs'!$I$292+'Core Loads'!AC$571*'Core Inputs'!$I$297</f>
        <v>367889998.89360023</v>
      </c>
      <c r="AE227" s="21">
        <f>'Core Loads'!AD$521*'Core Inputs'!$I$306+'Core Loads'!AD$541*'Core Inputs'!$I$301+'Core Loads'!AD$561*'Core Inputs'!$I$292+'Core Loads'!AD$571*'Core Inputs'!$I$297</f>
        <v>367889998.89360023</v>
      </c>
      <c r="AF227" s="21">
        <f>'Core Loads'!AE$521*'Core Inputs'!$I$306+'Core Loads'!AE$541*'Core Inputs'!$I$301+'Core Loads'!AE$561*'Core Inputs'!$I$292+'Core Loads'!AE$571*'Core Inputs'!$I$297</f>
        <v>367889998.89360023</v>
      </c>
      <c r="AG227" s="21">
        <f>'Core Loads'!AF$521*'Core Inputs'!$I$306+'Core Loads'!AF$541*'Core Inputs'!$I$301+'Core Loads'!AF$561*'Core Inputs'!$I$292+'Core Loads'!AF$571*'Core Inputs'!$I$297</f>
        <v>367889998.89360023</v>
      </c>
      <c r="AH227"/>
      <c r="AI227" s="23" t="s">
        <v>293</v>
      </c>
    </row>
    <row r="228" spans="2:35" s="1" customFormat="1" hidden="1" outlineLevel="1" x14ac:dyDescent="0.25">
      <c r="B228" t="s">
        <v>136</v>
      </c>
      <c r="C228" t="s">
        <v>169</v>
      </c>
      <c r="D228" s="21">
        <f>'Core Loads'!C$541*'Core Inputs'!$I$302+'Core Loads'!C$561*'Core Inputs'!$I$293</f>
        <v>0</v>
      </c>
      <c r="E228" s="69">
        <f>'Core Loads'!D$541*'Core Inputs'!$I$302+'Core Loads'!D$561*'Core Inputs'!$I$293</f>
        <v>0</v>
      </c>
      <c r="F228" s="21">
        <f>'Core Loads'!E$541*'Core Inputs'!$I$302+'Core Loads'!E$561*'Core Inputs'!$I$293</f>
        <v>0</v>
      </c>
      <c r="G228" s="21">
        <f>'Core Loads'!F$541*'Core Inputs'!$I$302+'Core Loads'!F$561*'Core Inputs'!$I$293</f>
        <v>0</v>
      </c>
      <c r="H228" s="21">
        <f>'Core Loads'!G$541*'Core Inputs'!$I$302+'Core Loads'!G$561*'Core Inputs'!$I$293</f>
        <v>0</v>
      </c>
      <c r="I228" s="21">
        <f>'Core Loads'!H$541*'Core Inputs'!$I$302+'Core Loads'!H$561*'Core Inputs'!$I$293</f>
        <v>0</v>
      </c>
      <c r="J228" s="21">
        <f>'Core Loads'!I$541*'Core Inputs'!$I$302+'Core Loads'!I$561*'Core Inputs'!$I$293</f>
        <v>0</v>
      </c>
      <c r="K228" s="21">
        <f>'Core Loads'!J$541*'Core Inputs'!$I$302+'Core Loads'!J$561*'Core Inputs'!$I$293</f>
        <v>0</v>
      </c>
      <c r="L228" s="21">
        <f>'Core Loads'!K$541*'Core Inputs'!$I$302+'Core Loads'!K$561*'Core Inputs'!$I$293</f>
        <v>0</v>
      </c>
      <c r="M228" s="21">
        <f>'Core Loads'!L$541*'Core Inputs'!$I$302+'Core Loads'!L$561*'Core Inputs'!$I$293</f>
        <v>0</v>
      </c>
      <c r="N228" s="21">
        <f>'Core Loads'!M$541*'Core Inputs'!$I$302+'Core Loads'!M$561*'Core Inputs'!$I$293</f>
        <v>0</v>
      </c>
      <c r="O228" s="21">
        <f>'Core Loads'!N$541*'Core Inputs'!$I$302+'Core Loads'!N$561*'Core Inputs'!$I$293</f>
        <v>0</v>
      </c>
      <c r="P228" s="21">
        <f>'Core Loads'!O$541*'Core Inputs'!$I$302+'Core Loads'!O$561*'Core Inputs'!$I$293</f>
        <v>0</v>
      </c>
      <c r="Q228" s="21">
        <f>'Core Loads'!P$541*'Core Inputs'!$I$302+'Core Loads'!P$561*'Core Inputs'!$I$293</f>
        <v>0</v>
      </c>
      <c r="R228" s="21">
        <f>'Core Loads'!Q$541*'Core Inputs'!$I$302+'Core Loads'!Q$561*'Core Inputs'!$I$293</f>
        <v>0</v>
      </c>
      <c r="S228" s="21">
        <f>'Core Loads'!R$541*'Core Inputs'!$I$302+'Core Loads'!R$561*'Core Inputs'!$I$293</f>
        <v>0</v>
      </c>
      <c r="T228" s="21">
        <f>'Core Loads'!S$541*'Core Inputs'!$I$302+'Core Loads'!S$561*'Core Inputs'!$I$293</f>
        <v>0</v>
      </c>
      <c r="U228" s="21">
        <f>'Core Loads'!T$541*'Core Inputs'!$I$302+'Core Loads'!T$561*'Core Inputs'!$I$293</f>
        <v>0</v>
      </c>
      <c r="V228" s="21">
        <f>'Core Loads'!U$541*'Core Inputs'!$I$302+'Core Loads'!U$561*'Core Inputs'!$I$293</f>
        <v>0</v>
      </c>
      <c r="W228" s="21">
        <f>'Core Loads'!V$541*'Core Inputs'!$I$302+'Core Loads'!V$561*'Core Inputs'!$I$293</f>
        <v>0</v>
      </c>
      <c r="X228" s="21">
        <f>'Core Loads'!W$541*'Core Inputs'!$I$302+'Core Loads'!W$561*'Core Inputs'!$I$293</f>
        <v>0</v>
      </c>
      <c r="Y228" s="21">
        <f>'Core Loads'!X$541*'Core Inputs'!$I$302+'Core Loads'!X$561*'Core Inputs'!$I$293</f>
        <v>0</v>
      </c>
      <c r="Z228" s="21">
        <f>'Core Loads'!Y$541*'Core Inputs'!$I$302+'Core Loads'!Y$561*'Core Inputs'!$I$293</f>
        <v>0</v>
      </c>
      <c r="AA228" s="21">
        <f>'Core Loads'!Z$541*'Core Inputs'!$I$302+'Core Loads'!Z$561*'Core Inputs'!$I$293</f>
        <v>0</v>
      </c>
      <c r="AB228" s="21">
        <f>'Core Loads'!AA$541*'Core Inputs'!$I$302+'Core Loads'!AA$561*'Core Inputs'!$I$293</f>
        <v>0</v>
      </c>
      <c r="AC228" s="21">
        <f>'Core Loads'!AB$541*'Core Inputs'!$I$302+'Core Loads'!AB$561*'Core Inputs'!$I$293</f>
        <v>0</v>
      </c>
      <c r="AD228" s="21">
        <f>'Core Loads'!AC$541*'Core Inputs'!$I$302+'Core Loads'!AC$561*'Core Inputs'!$I$293</f>
        <v>0</v>
      </c>
      <c r="AE228" s="21">
        <f>'Core Loads'!AD$541*'Core Inputs'!$I$302+'Core Loads'!AD$561*'Core Inputs'!$I$293</f>
        <v>0</v>
      </c>
      <c r="AF228" s="21">
        <f>'Core Loads'!AE$541*'Core Inputs'!$I$302+'Core Loads'!AE$561*'Core Inputs'!$I$293</f>
        <v>0</v>
      </c>
      <c r="AG228" s="21">
        <f>'Core Loads'!AF$541*'Core Inputs'!$I$302+'Core Loads'!AF$561*'Core Inputs'!$I$293</f>
        <v>0</v>
      </c>
      <c r="AH228"/>
      <c r="AI228" s="23" t="s">
        <v>293</v>
      </c>
    </row>
    <row r="229" spans="2:35" s="1" customFormat="1" hidden="1" outlineLevel="1" x14ac:dyDescent="0.25">
      <c r="B229" t="s">
        <v>154</v>
      </c>
      <c r="C229" t="s">
        <v>170</v>
      </c>
      <c r="D229" s="21">
        <f>'Core Loads'!C$541*'Core Inputs'!$I$303+'Core Loads'!C$561*'Core Inputs'!$I$294+'Core Loads'!C$581*'Core Inputs'!$I$298</f>
        <v>0</v>
      </c>
      <c r="E229" s="21">
        <f>'Core Loads'!D$541*'Core Inputs'!$I$303+'Core Loads'!D$561*'Core Inputs'!$I$294+'Core Loads'!D$581*'Core Inputs'!$I$298</f>
        <v>0</v>
      </c>
      <c r="F229" s="21">
        <f>'Core Loads'!E$541*'Core Inputs'!$I$303+'Core Loads'!E$561*'Core Inputs'!$I$294+'Core Loads'!E$581*'Core Inputs'!$I$298</f>
        <v>42994.32653860229</v>
      </c>
      <c r="G229" s="21">
        <f>'Core Loads'!F$541*'Core Inputs'!$I$303+'Core Loads'!F$561*'Core Inputs'!$I$294+'Core Loads'!F$581*'Core Inputs'!$I$298</f>
        <v>134952.52243551117</v>
      </c>
      <c r="H229" s="21">
        <f>'Core Loads'!G$541*'Core Inputs'!$I$303+'Core Loads'!G$561*'Core Inputs'!$I$294+'Core Loads'!G$581*'Core Inputs'!$I$298</f>
        <v>134952.52243551117</v>
      </c>
      <c r="I229" s="21">
        <f>'Core Loads'!H$541*'Core Inputs'!$I$303+'Core Loads'!H$561*'Core Inputs'!$I$294+'Core Loads'!H$581*'Core Inputs'!$I$298</f>
        <v>148916.80927474546</v>
      </c>
      <c r="J229" s="21">
        <f>'Core Loads'!I$541*'Core Inputs'!$I$303+'Core Loads'!I$561*'Core Inputs'!$I$294+'Core Loads'!I$581*'Core Inputs'!$I$298</f>
        <v>148916.80927474546</v>
      </c>
      <c r="K229" s="21">
        <f>'Core Loads'!J$541*'Core Inputs'!$I$303+'Core Loads'!J$561*'Core Inputs'!$I$294+'Core Loads'!J$581*'Core Inputs'!$I$298</f>
        <v>144579.49070036993</v>
      </c>
      <c r="L229" s="21">
        <f>'Core Loads'!K$541*'Core Inputs'!$I$303+'Core Loads'!K$561*'Core Inputs'!$I$294+'Core Loads'!K$581*'Core Inputs'!$I$298</f>
        <v>144579.49070036993</v>
      </c>
      <c r="M229" s="21">
        <f>'Core Loads'!L$541*'Core Inputs'!$I$303+'Core Loads'!L$561*'Core Inputs'!$I$294+'Core Loads'!L$581*'Core Inputs'!$I$298</f>
        <v>146193.88917096626</v>
      </c>
      <c r="N229" s="21">
        <f>'Core Loads'!M$541*'Core Inputs'!$I$303+'Core Loads'!M$561*'Core Inputs'!$I$294+'Core Loads'!M$581*'Core Inputs'!$I$298</f>
        <v>146193.88917096626</v>
      </c>
      <c r="O229" s="21">
        <f>'Core Loads'!N$541*'Core Inputs'!$I$303+'Core Loads'!N$561*'Core Inputs'!$I$294+'Core Loads'!N$581*'Core Inputs'!$I$298</f>
        <v>144821.92137333384</v>
      </c>
      <c r="P229" s="21">
        <f>'Core Loads'!O$541*'Core Inputs'!$I$303+'Core Loads'!O$561*'Core Inputs'!$I$294+'Core Loads'!O$581*'Core Inputs'!$I$298</f>
        <v>144821.92137333384</v>
      </c>
      <c r="Q229" s="21">
        <f>'Core Loads'!P$541*'Core Inputs'!$I$303+'Core Loads'!P$561*'Core Inputs'!$I$294+'Core Loads'!P$581*'Core Inputs'!$I$298</f>
        <v>144483.60155555297</v>
      </c>
      <c r="R229" s="21">
        <f>'Core Loads'!Q$541*'Core Inputs'!$I$303+'Core Loads'!Q$561*'Core Inputs'!$I$294+'Core Loads'!Q$581*'Core Inputs'!$I$298</f>
        <v>144483.60155555297</v>
      </c>
      <c r="S229" s="21">
        <f>'Core Loads'!R$541*'Core Inputs'!$I$303+'Core Loads'!R$561*'Core Inputs'!$I$294+'Core Loads'!R$581*'Core Inputs'!$I$298</f>
        <v>165316.17341266479</v>
      </c>
      <c r="T229" s="21">
        <f>'Core Loads'!S$541*'Core Inputs'!$I$303+'Core Loads'!S$561*'Core Inputs'!$I$294+'Core Loads'!S$581*'Core Inputs'!$I$298</f>
        <v>165316.17341266479</v>
      </c>
      <c r="U229" s="21">
        <f>'Core Loads'!T$541*'Core Inputs'!$I$303+'Core Loads'!T$561*'Core Inputs'!$I$294+'Core Loads'!T$581*'Core Inputs'!$I$298</f>
        <v>165249.68529523592</v>
      </c>
      <c r="V229" s="21">
        <f>'Core Loads'!U$541*'Core Inputs'!$I$303+'Core Loads'!U$561*'Core Inputs'!$I$294+'Core Loads'!U$581*'Core Inputs'!$I$298</f>
        <v>165249.68529523592</v>
      </c>
      <c r="W229" s="21">
        <f>'Core Loads'!V$541*'Core Inputs'!$I$303+'Core Loads'!V$561*'Core Inputs'!$I$294+'Core Loads'!V$581*'Core Inputs'!$I$298</f>
        <v>164877.54257590559</v>
      </c>
      <c r="X229" s="21">
        <f>'Core Loads'!W$541*'Core Inputs'!$I$303+'Core Loads'!W$561*'Core Inputs'!$I$294+'Core Loads'!W$581*'Core Inputs'!$I$298</f>
        <v>164877.54257590559</v>
      </c>
      <c r="Y229" s="21">
        <f>'Core Loads'!X$541*'Core Inputs'!$I$303+'Core Loads'!X$561*'Core Inputs'!$I$294+'Core Loads'!X$581*'Core Inputs'!$I$298</f>
        <v>164877.54257590559</v>
      </c>
      <c r="Z229" s="21">
        <f>'Core Loads'!Y$541*'Core Inputs'!$I$303+'Core Loads'!Y$561*'Core Inputs'!$I$294+'Core Loads'!Y$581*'Core Inputs'!$I$298</f>
        <v>164877.54257590559</v>
      </c>
      <c r="AA229" s="21">
        <f>'Core Loads'!Z$541*'Core Inputs'!$I$303+'Core Loads'!Z$561*'Core Inputs'!$I$294+'Core Loads'!Z$581*'Core Inputs'!$I$298</f>
        <v>164877.54257590559</v>
      </c>
      <c r="AB229" s="21">
        <f>'Core Loads'!AA$541*'Core Inputs'!$I$303+'Core Loads'!AA$561*'Core Inputs'!$I$294+'Core Loads'!AA$581*'Core Inputs'!$I$298</f>
        <v>164877.54257590559</v>
      </c>
      <c r="AC229" s="21">
        <f>'Core Loads'!AB$541*'Core Inputs'!$I$303+'Core Loads'!AB$561*'Core Inputs'!$I$294+'Core Loads'!AB$581*'Core Inputs'!$I$298</f>
        <v>164385.26105735954</v>
      </c>
      <c r="AD229" s="21">
        <f>'Core Loads'!AC$541*'Core Inputs'!$I$303+'Core Loads'!AC$561*'Core Inputs'!$I$294+'Core Loads'!AC$581*'Core Inputs'!$I$298</f>
        <v>164385.26105735954</v>
      </c>
      <c r="AE229" s="21">
        <f>'Core Loads'!AD$541*'Core Inputs'!$I$303+'Core Loads'!AD$561*'Core Inputs'!$I$294+'Core Loads'!AD$581*'Core Inputs'!$I$298</f>
        <v>164385.26105735954</v>
      </c>
      <c r="AF229" s="21">
        <f>'Core Loads'!AE$541*'Core Inputs'!$I$303+'Core Loads'!AE$561*'Core Inputs'!$I$294+'Core Loads'!AE$581*'Core Inputs'!$I$298</f>
        <v>164385.26105735954</v>
      </c>
      <c r="AG229" s="21">
        <f>'Core Loads'!AF$541*'Core Inputs'!$I$303+'Core Loads'!AF$561*'Core Inputs'!$I$294+'Core Loads'!AF$581*'Core Inputs'!$I$298</f>
        <v>164385.26105735954</v>
      </c>
      <c r="AH229"/>
      <c r="AI229" s="23" t="s">
        <v>293</v>
      </c>
    </row>
    <row r="230" spans="2:35" ht="15.75" collapsed="1" thickTop="1" x14ac:dyDescent="0.25"/>
    <row r="232" spans="2:35" s="1" customFormat="1" ht="20.25" thickBot="1" x14ac:dyDescent="0.35">
      <c r="B232" s="18" t="s">
        <v>302</v>
      </c>
      <c r="C232" s="18"/>
      <c r="D232" s="18"/>
      <c r="E232" s="25"/>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row>
    <row r="233" spans="2:35" s="1" customFormat="1" ht="18" hidden="1" outlineLevel="1" thickTop="1" thickBot="1" x14ac:dyDescent="0.3">
      <c r="B233" s="19" t="s">
        <v>278</v>
      </c>
      <c r="C233" s="19"/>
      <c r="D233" s="19"/>
      <c r="E233" s="67"/>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row>
    <row r="234" spans="2:35" s="1" customFormat="1" ht="16.5" hidden="1" outlineLevel="1" thickTop="1" thickBot="1" x14ac:dyDescent="0.3">
      <c r="B234" s="20" t="s">
        <v>292</v>
      </c>
      <c r="C234" s="20" t="s">
        <v>13</v>
      </c>
      <c r="D234" s="20" t="s">
        <v>17</v>
      </c>
      <c r="E234" s="68"/>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t="s">
        <v>15</v>
      </c>
    </row>
    <row r="235" spans="2:35" hidden="1" outlineLevel="1" x14ac:dyDescent="0.25">
      <c r="D235" s="8">
        <f>'Core Loads'!$C$14</f>
        <v>2025</v>
      </c>
      <c r="E235" s="62">
        <f>'Core Loads'!$D$14</f>
        <v>2026</v>
      </c>
      <c r="F235" s="8">
        <f>'Core Loads'!$E$14</f>
        <v>2027</v>
      </c>
      <c r="G235" s="8">
        <f>'Core Loads'!$F$14</f>
        <v>2028</v>
      </c>
      <c r="H235" s="8">
        <f>'Core Loads'!$G$14</f>
        <v>2029</v>
      </c>
      <c r="I235" s="8">
        <f>'Core Loads'!$H$14</f>
        <v>2030</v>
      </c>
      <c r="J235" s="8">
        <f>'Core Loads'!$I$14</f>
        <v>2031</v>
      </c>
      <c r="K235" s="8">
        <f>'Core Loads'!$J$14</f>
        <v>2032</v>
      </c>
      <c r="L235" s="8">
        <f>'Core Loads'!$K$14</f>
        <v>2033</v>
      </c>
      <c r="M235" s="8">
        <f>'Core Loads'!$L$14</f>
        <v>2034</v>
      </c>
      <c r="N235" s="8">
        <f>'Core Loads'!$M$14</f>
        <v>2035</v>
      </c>
      <c r="O235" s="8">
        <f>'Core Loads'!$N$14</f>
        <v>2036</v>
      </c>
      <c r="P235" s="8">
        <f>'Core Loads'!$O$14</f>
        <v>2037</v>
      </c>
      <c r="Q235" s="8">
        <f>'Core Loads'!$P$14</f>
        <v>2038</v>
      </c>
      <c r="R235" s="8">
        <f>'Core Loads'!$Q$14</f>
        <v>2039</v>
      </c>
      <c r="S235" s="8">
        <f>'Core Loads'!$R$14</f>
        <v>2040</v>
      </c>
      <c r="T235" s="8">
        <f>'Core Loads'!$S$14</f>
        <v>2041</v>
      </c>
      <c r="U235" s="8">
        <f>'Core Loads'!$T$14</f>
        <v>2042</v>
      </c>
      <c r="V235" s="8">
        <f>'Core Loads'!$U$14</f>
        <v>2043</v>
      </c>
      <c r="W235" s="8">
        <f>'Core Loads'!$V$14</f>
        <v>2044</v>
      </c>
      <c r="X235" s="8">
        <f>'Core Loads'!$W$14</f>
        <v>2045</v>
      </c>
      <c r="Y235" s="8">
        <f>'Core Loads'!$X$14</f>
        <v>2046</v>
      </c>
      <c r="Z235" s="8">
        <f>'Core Loads'!$Y$14</f>
        <v>2047</v>
      </c>
      <c r="AA235" s="8">
        <f>'Core Loads'!$Z$14</f>
        <v>2048</v>
      </c>
      <c r="AB235" s="8">
        <f>'Core Loads'!$AA$14</f>
        <v>2049</v>
      </c>
      <c r="AC235" s="8">
        <f>'Core Loads'!$AB$14</f>
        <v>2050</v>
      </c>
      <c r="AD235" s="8">
        <f>'Core Loads'!$AC$14</f>
        <v>2051</v>
      </c>
      <c r="AE235" s="8">
        <f>'Core Loads'!$AD$14</f>
        <v>2052</v>
      </c>
      <c r="AF235" s="8">
        <f>'Core Loads'!$AE$14</f>
        <v>2053</v>
      </c>
      <c r="AG235" s="8">
        <f>'Core Loads'!$AF$14</f>
        <v>2054</v>
      </c>
    </row>
    <row r="236" spans="2:35" s="1" customFormat="1" hidden="1" outlineLevel="1" x14ac:dyDescent="0.25">
      <c r="B236" t="s">
        <v>141</v>
      </c>
      <c r="C236" t="s">
        <v>109</v>
      </c>
      <c r="D236" s="21">
        <f>MAX('Core Loads'!C$512*Elec_exstg_kWh_per_kWh_campus+'Core Loads'!C$532*Process_exstg_kWh_per_lb_campus+'Core Loads'!C$552*Htg_exstg_kWh_per_MMBtu_campus+MAX('Core Loads'!C$572-AbsChillerLoad,0)*Clg_exstg_kWh_per_ton_campus-CogenElecOutputExstg,0)</f>
        <v>0</v>
      </c>
      <c r="E236" s="69">
        <f>MAX('Core Loads'!D$512*Elec_exstg_kWh_per_kWh_campus+'Core Loads'!D$532*Process_exstg_kWh_per_lb_campus+'Core Loads'!D$552*Htg_exstg_kWh_per_MMBtu_campus+MAX('Core Loads'!D$572-AbsChillerLoad,0)*Clg_exstg_kWh_per_ton_campus-CogenElecOutputExstg,0)</f>
        <v>2865758.5345967412</v>
      </c>
      <c r="F236" s="21">
        <f>MAX('Core Loads'!E$512*Elec_exstg_kWh_per_kWh_campus+'Core Loads'!E$532*Process_exstg_kWh_per_lb_campus+'Core Loads'!E$552*Htg_exstg_kWh_per_MMBtu_campus+MAX('Core Loads'!E$572-AbsChillerLoad,0)*Clg_exstg_kWh_per_ton_campus-CogenElecOutputExstg,0)</f>
        <v>0</v>
      </c>
      <c r="G236" s="21">
        <f>MAX('Core Loads'!F$512*Elec_exstg_kWh_per_kWh_campus+'Core Loads'!F$532*Process_exstg_kWh_per_lb_campus+'Core Loads'!F$552*Htg_exstg_kWh_per_MMBtu_campus+MAX('Core Loads'!F$572-AbsChillerLoad,0)*Clg_exstg_kWh_per_ton_campus-CogenElecOutputExstg,0)</f>
        <v>0</v>
      </c>
      <c r="H236" s="21">
        <f>MAX('Core Loads'!G$512*Elec_exstg_kWh_per_kWh_campus+'Core Loads'!G$532*Process_exstg_kWh_per_lb_campus+'Core Loads'!G$552*Htg_exstg_kWh_per_MMBtu_campus+MAX('Core Loads'!G$572-AbsChillerLoad,0)*Clg_exstg_kWh_per_ton_campus-CogenElecOutputExstg,0)</f>
        <v>0</v>
      </c>
      <c r="I236" s="21">
        <f>MAX('Core Loads'!H$512*Elec_exstg_kWh_per_kWh_campus+'Core Loads'!H$532*Process_exstg_kWh_per_lb_campus+'Core Loads'!H$552*Htg_exstg_kWh_per_MMBtu_campus+MAX('Core Loads'!H$572-AbsChillerLoad,0)*Clg_exstg_kWh_per_ton_campus-CogenElecOutputExstg,0)</f>
        <v>0</v>
      </c>
      <c r="J236" s="21">
        <f>MAX('Core Loads'!I$512*Elec_exstg_kWh_per_kWh_campus+'Core Loads'!I$532*Process_exstg_kWh_per_lb_campus+'Core Loads'!I$552*Htg_exstg_kWh_per_MMBtu_campus+MAX('Core Loads'!I$572-AbsChillerLoad,0)*Clg_exstg_kWh_per_ton_campus-CogenElecOutputExstg,0)</f>
        <v>0</v>
      </c>
      <c r="K236" s="21">
        <f>MAX('Core Loads'!J$512*Elec_exstg_kWh_per_kWh_campus+'Core Loads'!J$532*Process_exstg_kWh_per_lb_campus+'Core Loads'!J$552*Htg_exstg_kWh_per_MMBtu_campus+MAX('Core Loads'!J$572-AbsChillerLoad,0)*Clg_exstg_kWh_per_ton_campus-CogenElecOutputExstg,0)</f>
        <v>0</v>
      </c>
      <c r="L236" s="21">
        <f>MAX('Core Loads'!K$512*Elec_exstg_kWh_per_kWh_campus+'Core Loads'!K$532*Process_exstg_kWh_per_lb_campus+'Core Loads'!K$552*Htg_exstg_kWh_per_MMBtu_campus+MAX('Core Loads'!K$572-AbsChillerLoad,0)*Clg_exstg_kWh_per_ton_campus-CogenElecOutputExstg,0)</f>
        <v>0</v>
      </c>
      <c r="M236" s="21">
        <f>MAX('Core Loads'!L$512*Elec_exstg_kWh_per_kWh_campus+'Core Loads'!L$532*Process_exstg_kWh_per_lb_campus+'Core Loads'!L$552*Htg_exstg_kWh_per_MMBtu_campus+MAX('Core Loads'!L$572-AbsChillerLoad,0)*Clg_exstg_kWh_per_ton_campus-CogenElecOutputExstg,0)</f>
        <v>0</v>
      </c>
      <c r="N236" s="21">
        <f>MAX('Core Loads'!M$512*Elec_exstg_kWh_per_kWh_campus+'Core Loads'!M$532*Process_exstg_kWh_per_lb_campus+'Core Loads'!M$552*Htg_exstg_kWh_per_MMBtu_campus+MAX('Core Loads'!M$572-AbsChillerLoad,0)*Clg_exstg_kWh_per_ton_campus-CogenElecOutputExstg,0)</f>
        <v>0</v>
      </c>
      <c r="O236" s="21">
        <f>MAX('Core Loads'!N$512*Elec_exstg_kWh_per_kWh_campus+'Core Loads'!N$532*Process_exstg_kWh_per_lb_campus+'Core Loads'!N$552*Htg_exstg_kWh_per_MMBtu_campus+MAX('Core Loads'!N$572-AbsChillerLoad,0)*Clg_exstg_kWh_per_ton_campus-CogenElecOutputExstg,0)</f>
        <v>0</v>
      </c>
      <c r="P236" s="21">
        <f>MAX('Core Loads'!O$512*Elec_exstg_kWh_per_kWh_campus+'Core Loads'!O$532*Process_exstg_kWh_per_lb_campus+'Core Loads'!O$552*Htg_exstg_kWh_per_MMBtu_campus+MAX('Core Loads'!O$572-AbsChillerLoad,0)*Clg_exstg_kWh_per_ton_campus-CogenElecOutputExstg,0)</f>
        <v>0</v>
      </c>
      <c r="Q236" s="21">
        <f>MAX('Core Loads'!P$512*Elec_exstg_kWh_per_kWh_campus+'Core Loads'!P$532*Process_exstg_kWh_per_lb_campus+'Core Loads'!P$552*Htg_exstg_kWh_per_MMBtu_campus+MAX('Core Loads'!P$572-AbsChillerLoad,0)*Clg_exstg_kWh_per_ton_campus-CogenElecOutputExstg,0)</f>
        <v>0</v>
      </c>
      <c r="R236" s="21">
        <f>MAX('Core Loads'!Q$512*Elec_exstg_kWh_per_kWh_campus+'Core Loads'!Q$532*Process_exstg_kWh_per_lb_campus+'Core Loads'!Q$552*Htg_exstg_kWh_per_MMBtu_campus+MAX('Core Loads'!Q$572-AbsChillerLoad,0)*Clg_exstg_kWh_per_ton_campus-CogenElecOutputExstg,0)</f>
        <v>0</v>
      </c>
      <c r="S236" s="21">
        <f>MAX('Core Loads'!R$512*Elec_exstg_kWh_per_kWh_campus+'Core Loads'!R$532*Process_exstg_kWh_per_lb_campus+'Core Loads'!R$552*Htg_exstg_kWh_per_MMBtu_campus+MAX('Core Loads'!R$572-AbsChillerLoad,0)*Clg_exstg_kWh_per_ton_campus-CogenElecOutputExstg,0)</f>
        <v>0</v>
      </c>
      <c r="T236" s="21">
        <f>MAX('Core Loads'!S$512*Elec_exstg_kWh_per_kWh_campus+'Core Loads'!S$532*Process_exstg_kWh_per_lb_campus+'Core Loads'!S$552*Htg_exstg_kWh_per_MMBtu_campus+MAX('Core Loads'!S$572-AbsChillerLoad,0)*Clg_exstg_kWh_per_ton_campus-CogenElecOutputExstg,0)</f>
        <v>0</v>
      </c>
      <c r="U236" s="21">
        <f>MAX('Core Loads'!T$512*Elec_exstg_kWh_per_kWh_campus+'Core Loads'!T$532*Process_exstg_kWh_per_lb_campus+'Core Loads'!T$552*Htg_exstg_kWh_per_MMBtu_campus+MAX('Core Loads'!T$572-AbsChillerLoad,0)*Clg_exstg_kWh_per_ton_campus-CogenElecOutputExstg,0)</f>
        <v>0</v>
      </c>
      <c r="V236" s="21">
        <f>MAX('Core Loads'!U$512*Elec_exstg_kWh_per_kWh_campus+'Core Loads'!U$532*Process_exstg_kWh_per_lb_campus+'Core Loads'!U$552*Htg_exstg_kWh_per_MMBtu_campus+MAX('Core Loads'!U$572-AbsChillerLoad,0)*Clg_exstg_kWh_per_ton_campus-CogenElecOutputExstg,0)</f>
        <v>0</v>
      </c>
      <c r="W236" s="21">
        <f>MAX('Core Loads'!V$512*Elec_exstg_kWh_per_kWh_campus+'Core Loads'!V$532*Process_exstg_kWh_per_lb_campus+'Core Loads'!V$552*Htg_exstg_kWh_per_MMBtu_campus+MAX('Core Loads'!V$572-AbsChillerLoad,0)*Clg_exstg_kWh_per_ton_campus-CogenElecOutputExstg,0)</f>
        <v>0</v>
      </c>
      <c r="X236" s="21">
        <f>MAX('Core Loads'!W$512*Elec_exstg_kWh_per_kWh_campus+'Core Loads'!W$532*Process_exstg_kWh_per_lb_campus+'Core Loads'!W$552*Htg_exstg_kWh_per_MMBtu_campus+MAX('Core Loads'!W$572-AbsChillerLoad,0)*Clg_exstg_kWh_per_ton_campus-CogenElecOutputExstg,0)</f>
        <v>0</v>
      </c>
      <c r="Y236" s="21">
        <f>MAX('Core Loads'!X$512*Elec_exstg_kWh_per_kWh_campus+'Core Loads'!X$532*Process_exstg_kWh_per_lb_campus+'Core Loads'!X$552*Htg_exstg_kWh_per_MMBtu_campus+MAX('Core Loads'!X$572-AbsChillerLoad,0)*Clg_exstg_kWh_per_ton_campus-CogenElecOutputExstg,0)</f>
        <v>0</v>
      </c>
      <c r="Z236" s="21">
        <f>MAX('Core Loads'!Y$512*Elec_exstg_kWh_per_kWh_campus+'Core Loads'!Y$532*Process_exstg_kWh_per_lb_campus+'Core Loads'!Y$552*Htg_exstg_kWh_per_MMBtu_campus+MAX('Core Loads'!Y$572-AbsChillerLoad,0)*Clg_exstg_kWh_per_ton_campus-CogenElecOutputExstg,0)</f>
        <v>0</v>
      </c>
      <c r="AA236" s="21">
        <f>MAX('Core Loads'!Z$512*Elec_exstg_kWh_per_kWh_campus+'Core Loads'!Z$532*Process_exstg_kWh_per_lb_campus+'Core Loads'!Z$552*Htg_exstg_kWh_per_MMBtu_campus+MAX('Core Loads'!Z$572-AbsChillerLoad,0)*Clg_exstg_kWh_per_ton_campus-CogenElecOutputExstg,0)</f>
        <v>0</v>
      </c>
      <c r="AB236" s="21">
        <f>MAX('Core Loads'!AA$512*Elec_exstg_kWh_per_kWh_campus+'Core Loads'!AA$532*Process_exstg_kWh_per_lb_campus+'Core Loads'!AA$552*Htg_exstg_kWh_per_MMBtu_campus+MAX('Core Loads'!AA$572-AbsChillerLoad,0)*Clg_exstg_kWh_per_ton_campus-CogenElecOutputExstg,0)</f>
        <v>0</v>
      </c>
      <c r="AC236" s="21">
        <f>MAX('Core Loads'!AB$512*Elec_exstg_kWh_per_kWh_campus+'Core Loads'!AB$532*Process_exstg_kWh_per_lb_campus+'Core Loads'!AB$552*Htg_exstg_kWh_per_MMBtu_campus+MAX('Core Loads'!AB$572-AbsChillerLoad,0)*Clg_exstg_kWh_per_ton_campus-CogenElecOutputExstg,0)</f>
        <v>0</v>
      </c>
      <c r="AD236" s="21">
        <f>MAX('Core Loads'!AC$512*Elec_exstg_kWh_per_kWh_campus+'Core Loads'!AC$532*Process_exstg_kWh_per_lb_campus+'Core Loads'!AC$552*Htg_exstg_kWh_per_MMBtu_campus+MAX('Core Loads'!AC$572-AbsChillerLoad,0)*Clg_exstg_kWh_per_ton_campus-CogenElecOutputExstg,0)</f>
        <v>0</v>
      </c>
      <c r="AE236" s="21">
        <f>MAX('Core Loads'!AD$512*Elec_exstg_kWh_per_kWh_campus+'Core Loads'!AD$532*Process_exstg_kWh_per_lb_campus+'Core Loads'!AD$552*Htg_exstg_kWh_per_MMBtu_campus+MAX('Core Loads'!AD$572-AbsChillerLoad,0)*Clg_exstg_kWh_per_ton_campus-CogenElecOutputExstg,0)</f>
        <v>0</v>
      </c>
      <c r="AF236" s="21">
        <f>MAX('Core Loads'!AE$512*Elec_exstg_kWh_per_kWh_campus+'Core Loads'!AE$532*Process_exstg_kWh_per_lb_campus+'Core Loads'!AE$552*Htg_exstg_kWh_per_MMBtu_campus+MAX('Core Loads'!AE$572-AbsChillerLoad,0)*Clg_exstg_kWh_per_ton_campus-CogenElecOutputExstg,0)</f>
        <v>0</v>
      </c>
      <c r="AG236" s="21">
        <f>MAX('Core Loads'!AF$512*Elec_exstg_kWh_per_kWh_campus+'Core Loads'!AF$532*Process_exstg_kWh_per_lb_campus+'Core Loads'!AF$552*Htg_exstg_kWh_per_MMBtu_campus+MAX('Core Loads'!AF$572-AbsChillerLoad,0)*Clg_exstg_kWh_per_ton_campus-CogenElecOutputExstg,0)</f>
        <v>0</v>
      </c>
      <c r="AH236"/>
      <c r="AI236" s="23" t="s">
        <v>293</v>
      </c>
    </row>
    <row r="237" spans="2:35" s="1" customFormat="1" hidden="1" outlineLevel="1" x14ac:dyDescent="0.25">
      <c r="B237" t="s">
        <v>136</v>
      </c>
      <c r="C237" t="s">
        <v>169</v>
      </c>
      <c r="D237" s="21">
        <f>'Core Loads'!C$532*Process_exstg_therm_per_lb_campus+'Core Loads'!C$552*Htg_exstg_therm_per_MMBtu_campus+MIN('Core Loads'!C$572,AbsChillerLoad)*Clg_exstg_therm_per_ton_campus</f>
        <v>31258877.283118241</v>
      </c>
      <c r="E237" s="69">
        <f>'Core Loads'!D$532*Process_exstg_therm_per_lb_campus+'Core Loads'!D$552*Htg_exstg_therm_per_MMBtu_campus+MIN('Core Loads'!D$572,AbsChillerLoad)*Clg_exstg_therm_per_ton_campus</f>
        <v>31258877.283118241</v>
      </c>
      <c r="F237" s="21">
        <f>'Core Loads'!E$532*Process_exstg_therm_per_lb_campus+'Core Loads'!E$552*Htg_exstg_therm_per_MMBtu_campus+MIN('Core Loads'!E$572,AbsChillerLoad)*Clg_exstg_therm_per_ton_campus</f>
        <v>22981692.329201803</v>
      </c>
      <c r="G237" s="21">
        <f>'Core Loads'!F$532*Process_exstg_therm_per_lb_campus+'Core Loads'!F$552*Htg_exstg_therm_per_MMBtu_campus+MIN('Core Loads'!F$572,AbsChillerLoad)*Clg_exstg_therm_per_ton_campus</f>
        <v>0</v>
      </c>
      <c r="H237" s="21">
        <f>'Core Loads'!G$532*Process_exstg_therm_per_lb_campus+'Core Loads'!G$552*Htg_exstg_therm_per_MMBtu_campus+MIN('Core Loads'!G$572,AbsChillerLoad)*Clg_exstg_therm_per_ton_campus</f>
        <v>0</v>
      </c>
      <c r="I237" s="21">
        <f>'Core Loads'!H$532*Process_exstg_therm_per_lb_campus+'Core Loads'!H$552*Htg_exstg_therm_per_MMBtu_campus+MIN('Core Loads'!H$572,AbsChillerLoad)*Clg_exstg_therm_per_ton_campus</f>
        <v>0</v>
      </c>
      <c r="J237" s="21">
        <f>'Core Loads'!I$532*Process_exstg_therm_per_lb_campus+'Core Loads'!I$552*Htg_exstg_therm_per_MMBtu_campus+MIN('Core Loads'!I$572,AbsChillerLoad)*Clg_exstg_therm_per_ton_campus</f>
        <v>0</v>
      </c>
      <c r="K237" s="21">
        <f>'Core Loads'!J$532*Process_exstg_therm_per_lb_campus+'Core Loads'!J$552*Htg_exstg_therm_per_MMBtu_campus+MIN('Core Loads'!J$572,AbsChillerLoad)*Clg_exstg_therm_per_ton_campus</f>
        <v>0</v>
      </c>
      <c r="L237" s="21">
        <f>'Core Loads'!K$532*Process_exstg_therm_per_lb_campus+'Core Loads'!K$552*Htg_exstg_therm_per_MMBtu_campus+MIN('Core Loads'!K$572,AbsChillerLoad)*Clg_exstg_therm_per_ton_campus</f>
        <v>0</v>
      </c>
      <c r="M237" s="21">
        <f>'Core Loads'!L$532*Process_exstg_therm_per_lb_campus+'Core Loads'!L$552*Htg_exstg_therm_per_MMBtu_campus+MIN('Core Loads'!L$572,AbsChillerLoad)*Clg_exstg_therm_per_ton_campus</f>
        <v>0</v>
      </c>
      <c r="N237" s="21">
        <f>'Core Loads'!M$532*Process_exstg_therm_per_lb_campus+'Core Loads'!M$552*Htg_exstg_therm_per_MMBtu_campus+MIN('Core Loads'!M$572,AbsChillerLoad)*Clg_exstg_therm_per_ton_campus</f>
        <v>0</v>
      </c>
      <c r="O237" s="21">
        <f>'Core Loads'!N$532*Process_exstg_therm_per_lb_campus+'Core Loads'!N$552*Htg_exstg_therm_per_MMBtu_campus+MIN('Core Loads'!N$572,AbsChillerLoad)*Clg_exstg_therm_per_ton_campus</f>
        <v>0</v>
      </c>
      <c r="P237" s="21">
        <f>'Core Loads'!O$532*Process_exstg_therm_per_lb_campus+'Core Loads'!O$552*Htg_exstg_therm_per_MMBtu_campus+MIN('Core Loads'!O$572,AbsChillerLoad)*Clg_exstg_therm_per_ton_campus</f>
        <v>0</v>
      </c>
      <c r="Q237" s="21">
        <f>'Core Loads'!P$532*Process_exstg_therm_per_lb_campus+'Core Loads'!P$552*Htg_exstg_therm_per_MMBtu_campus+MIN('Core Loads'!P$572,AbsChillerLoad)*Clg_exstg_therm_per_ton_campus</f>
        <v>0</v>
      </c>
      <c r="R237" s="21">
        <f>'Core Loads'!Q$532*Process_exstg_therm_per_lb_campus+'Core Loads'!Q$552*Htg_exstg_therm_per_MMBtu_campus+MIN('Core Loads'!Q$572,AbsChillerLoad)*Clg_exstg_therm_per_ton_campus</f>
        <v>0</v>
      </c>
      <c r="S237" s="21">
        <f>'Core Loads'!R$532*Process_exstg_therm_per_lb_campus+'Core Loads'!R$552*Htg_exstg_therm_per_MMBtu_campus+MIN('Core Loads'!R$572,AbsChillerLoad)*Clg_exstg_therm_per_ton_campus</f>
        <v>0</v>
      </c>
      <c r="T237" s="21">
        <f>'Core Loads'!S$532*Process_exstg_therm_per_lb_campus+'Core Loads'!S$552*Htg_exstg_therm_per_MMBtu_campus+MIN('Core Loads'!S$572,AbsChillerLoad)*Clg_exstg_therm_per_ton_campus</f>
        <v>0</v>
      </c>
      <c r="U237" s="21">
        <f>'Core Loads'!T$532*Process_exstg_therm_per_lb_campus+'Core Loads'!T$552*Htg_exstg_therm_per_MMBtu_campus+MIN('Core Loads'!T$572,AbsChillerLoad)*Clg_exstg_therm_per_ton_campus</f>
        <v>0</v>
      </c>
      <c r="V237" s="21">
        <f>'Core Loads'!U$532*Process_exstg_therm_per_lb_campus+'Core Loads'!U$552*Htg_exstg_therm_per_MMBtu_campus+MIN('Core Loads'!U$572,AbsChillerLoad)*Clg_exstg_therm_per_ton_campus</f>
        <v>0</v>
      </c>
      <c r="W237" s="21">
        <f>'Core Loads'!V$532*Process_exstg_therm_per_lb_campus+'Core Loads'!V$552*Htg_exstg_therm_per_MMBtu_campus+MIN('Core Loads'!V$572,AbsChillerLoad)*Clg_exstg_therm_per_ton_campus</f>
        <v>0</v>
      </c>
      <c r="X237" s="21">
        <f>'Core Loads'!W$532*Process_exstg_therm_per_lb_campus+'Core Loads'!W$552*Htg_exstg_therm_per_MMBtu_campus+MIN('Core Loads'!W$572,AbsChillerLoad)*Clg_exstg_therm_per_ton_campus</f>
        <v>0</v>
      </c>
      <c r="Y237" s="21">
        <f>'Core Loads'!X$532*Process_exstg_therm_per_lb_campus+'Core Loads'!X$552*Htg_exstg_therm_per_MMBtu_campus+MIN('Core Loads'!X$572,AbsChillerLoad)*Clg_exstg_therm_per_ton_campus</f>
        <v>0</v>
      </c>
      <c r="Z237" s="21">
        <f>'Core Loads'!Y$532*Process_exstg_therm_per_lb_campus+'Core Loads'!Y$552*Htg_exstg_therm_per_MMBtu_campus+MIN('Core Loads'!Y$572,AbsChillerLoad)*Clg_exstg_therm_per_ton_campus</f>
        <v>0</v>
      </c>
      <c r="AA237" s="21">
        <f>'Core Loads'!Z$532*Process_exstg_therm_per_lb_campus+'Core Loads'!Z$552*Htg_exstg_therm_per_MMBtu_campus+MIN('Core Loads'!Z$572,AbsChillerLoad)*Clg_exstg_therm_per_ton_campus</f>
        <v>0</v>
      </c>
      <c r="AB237" s="21">
        <f>'Core Loads'!AA$532*Process_exstg_therm_per_lb_campus+'Core Loads'!AA$552*Htg_exstg_therm_per_MMBtu_campus+MIN('Core Loads'!AA$572,AbsChillerLoad)*Clg_exstg_therm_per_ton_campus</f>
        <v>0</v>
      </c>
      <c r="AC237" s="21">
        <f>'Core Loads'!AB$532*Process_exstg_therm_per_lb_campus+'Core Loads'!AB$552*Htg_exstg_therm_per_MMBtu_campus+MIN('Core Loads'!AB$572,AbsChillerLoad)*Clg_exstg_therm_per_ton_campus</f>
        <v>0</v>
      </c>
      <c r="AD237" s="21">
        <f>'Core Loads'!AC$532*Process_exstg_therm_per_lb_campus+'Core Loads'!AC$552*Htg_exstg_therm_per_MMBtu_campus+MIN('Core Loads'!AC$572,AbsChillerLoad)*Clg_exstg_therm_per_ton_campus</f>
        <v>0</v>
      </c>
      <c r="AE237" s="21">
        <f>'Core Loads'!AD$532*Process_exstg_therm_per_lb_campus+'Core Loads'!AD$552*Htg_exstg_therm_per_MMBtu_campus+MIN('Core Loads'!AD$572,AbsChillerLoad)*Clg_exstg_therm_per_ton_campus</f>
        <v>0</v>
      </c>
      <c r="AF237" s="21">
        <f>'Core Loads'!AE$532*Process_exstg_therm_per_lb_campus+'Core Loads'!AE$552*Htg_exstg_therm_per_MMBtu_campus+MIN('Core Loads'!AE$572,AbsChillerLoad)*Clg_exstg_therm_per_ton_campus</f>
        <v>0</v>
      </c>
      <c r="AG237" s="21">
        <f>'Core Loads'!AF$532*Process_exstg_therm_per_lb_campus+'Core Loads'!AF$552*Htg_exstg_therm_per_MMBtu_campus+MIN('Core Loads'!AF$572,AbsChillerLoad)*Clg_exstg_therm_per_ton_campus</f>
        <v>0</v>
      </c>
      <c r="AH237"/>
      <c r="AI237" s="23" t="s">
        <v>293</v>
      </c>
    </row>
    <row r="238" spans="2:35" s="1" customFormat="1" hidden="1" outlineLevel="1" x14ac:dyDescent="0.25">
      <c r="B238" t="s">
        <v>154</v>
      </c>
      <c r="C238" t="s">
        <v>170</v>
      </c>
      <c r="D238" s="21">
        <f>'Core Loads'!C$532*Process_exstg_CCF_per_lb_campus+'Core Loads'!C$552*Htg_exstg_CCF_per_MMBtu_campus+'Core Loads'!C$572*Clg_exstg_CCF_per_ton_campus</f>
        <v>278436.87957137165</v>
      </c>
      <c r="E238" s="69">
        <f>'Core Loads'!D$532*Process_exstg_CCF_per_lb_campus+'Core Loads'!D$552*Htg_exstg_CCF_per_MMBtu_campus+'Core Loads'!D$572*Clg_exstg_CCF_per_ton_campus</f>
        <v>297204.70349500491</v>
      </c>
      <c r="F238" s="21">
        <f>'Core Loads'!E$532*Process_exstg_CCF_per_lb_campus+'Core Loads'!E$552*Htg_exstg_CCF_per_MMBtu_campus+'Core Loads'!E$572*Clg_exstg_CCF_per_ton_campus</f>
        <v>191606.7622058175</v>
      </c>
      <c r="G238" s="21">
        <f>'Core Loads'!F$532*Process_exstg_CCF_per_lb_campus+'Core Loads'!F$552*Htg_exstg_CCF_per_MMBtu_campus+'Core Loads'!F$572*Clg_exstg_CCF_per_ton_campus</f>
        <v>0</v>
      </c>
      <c r="H238" s="21">
        <f>'Core Loads'!G$532*Process_exstg_CCF_per_lb_campus+'Core Loads'!G$552*Htg_exstg_CCF_per_MMBtu_campus+'Core Loads'!G$572*Clg_exstg_CCF_per_ton_campus</f>
        <v>0</v>
      </c>
      <c r="I238" s="21">
        <f>'Core Loads'!H$532*Process_exstg_CCF_per_lb_campus+'Core Loads'!H$552*Htg_exstg_CCF_per_MMBtu_campus+'Core Loads'!H$572*Clg_exstg_CCF_per_ton_campus</f>
        <v>0</v>
      </c>
      <c r="J238" s="21">
        <f>'Core Loads'!I$532*Process_exstg_CCF_per_lb_campus+'Core Loads'!I$552*Htg_exstg_CCF_per_MMBtu_campus+'Core Loads'!I$572*Clg_exstg_CCF_per_ton_campus</f>
        <v>0</v>
      </c>
      <c r="K238" s="21">
        <f>'Core Loads'!J$532*Process_exstg_CCF_per_lb_campus+'Core Loads'!J$552*Htg_exstg_CCF_per_MMBtu_campus+'Core Loads'!J$572*Clg_exstg_CCF_per_ton_campus</f>
        <v>0</v>
      </c>
      <c r="L238" s="21">
        <f>'Core Loads'!K$532*Process_exstg_CCF_per_lb_campus+'Core Loads'!K$552*Htg_exstg_CCF_per_MMBtu_campus+'Core Loads'!K$572*Clg_exstg_CCF_per_ton_campus</f>
        <v>0</v>
      </c>
      <c r="M238" s="21">
        <f>'Core Loads'!L$532*Process_exstg_CCF_per_lb_campus+'Core Loads'!L$552*Htg_exstg_CCF_per_MMBtu_campus+'Core Loads'!L$572*Clg_exstg_CCF_per_ton_campus</f>
        <v>0</v>
      </c>
      <c r="N238" s="21">
        <f>'Core Loads'!M$532*Process_exstg_CCF_per_lb_campus+'Core Loads'!M$552*Htg_exstg_CCF_per_MMBtu_campus+'Core Loads'!M$572*Clg_exstg_CCF_per_ton_campus</f>
        <v>0</v>
      </c>
      <c r="O238" s="21">
        <f>'Core Loads'!N$532*Process_exstg_CCF_per_lb_campus+'Core Loads'!N$552*Htg_exstg_CCF_per_MMBtu_campus+'Core Loads'!N$572*Clg_exstg_CCF_per_ton_campus</f>
        <v>0</v>
      </c>
      <c r="P238" s="21">
        <f>'Core Loads'!O$532*Process_exstg_CCF_per_lb_campus+'Core Loads'!O$552*Htg_exstg_CCF_per_MMBtu_campus+'Core Loads'!O$572*Clg_exstg_CCF_per_ton_campus</f>
        <v>0</v>
      </c>
      <c r="Q238" s="21">
        <f>'Core Loads'!P$532*Process_exstg_CCF_per_lb_campus+'Core Loads'!P$552*Htg_exstg_CCF_per_MMBtu_campus+'Core Loads'!P$572*Clg_exstg_CCF_per_ton_campus</f>
        <v>0</v>
      </c>
      <c r="R238" s="21">
        <f>'Core Loads'!Q$532*Process_exstg_CCF_per_lb_campus+'Core Loads'!Q$552*Htg_exstg_CCF_per_MMBtu_campus+'Core Loads'!Q$572*Clg_exstg_CCF_per_ton_campus</f>
        <v>0</v>
      </c>
      <c r="S238" s="21">
        <f>'Core Loads'!R$532*Process_exstg_CCF_per_lb_campus+'Core Loads'!R$552*Htg_exstg_CCF_per_MMBtu_campus+'Core Loads'!R$572*Clg_exstg_CCF_per_ton_campus</f>
        <v>0</v>
      </c>
      <c r="T238" s="21">
        <f>'Core Loads'!S$532*Process_exstg_CCF_per_lb_campus+'Core Loads'!S$552*Htg_exstg_CCF_per_MMBtu_campus+'Core Loads'!S$572*Clg_exstg_CCF_per_ton_campus</f>
        <v>0</v>
      </c>
      <c r="U238" s="21">
        <f>'Core Loads'!T$532*Process_exstg_CCF_per_lb_campus+'Core Loads'!T$552*Htg_exstg_CCF_per_MMBtu_campus+'Core Loads'!T$572*Clg_exstg_CCF_per_ton_campus</f>
        <v>0</v>
      </c>
      <c r="V238" s="21">
        <f>'Core Loads'!U$532*Process_exstg_CCF_per_lb_campus+'Core Loads'!U$552*Htg_exstg_CCF_per_MMBtu_campus+'Core Loads'!U$572*Clg_exstg_CCF_per_ton_campus</f>
        <v>0</v>
      </c>
      <c r="W238" s="21">
        <f>'Core Loads'!V$532*Process_exstg_CCF_per_lb_campus+'Core Loads'!V$552*Htg_exstg_CCF_per_MMBtu_campus+'Core Loads'!V$572*Clg_exstg_CCF_per_ton_campus</f>
        <v>0</v>
      </c>
      <c r="X238" s="21">
        <f>'Core Loads'!W$532*Process_exstg_CCF_per_lb_campus+'Core Loads'!W$552*Htg_exstg_CCF_per_MMBtu_campus+'Core Loads'!W$572*Clg_exstg_CCF_per_ton_campus</f>
        <v>0</v>
      </c>
      <c r="Y238" s="21">
        <f>'Core Loads'!X$532*Process_exstg_CCF_per_lb_campus+'Core Loads'!X$552*Htg_exstg_CCF_per_MMBtu_campus+'Core Loads'!X$572*Clg_exstg_CCF_per_ton_campus</f>
        <v>0</v>
      </c>
      <c r="Z238" s="21">
        <f>'Core Loads'!Y$532*Process_exstg_CCF_per_lb_campus+'Core Loads'!Y$552*Htg_exstg_CCF_per_MMBtu_campus+'Core Loads'!Y$572*Clg_exstg_CCF_per_ton_campus</f>
        <v>0</v>
      </c>
      <c r="AA238" s="21">
        <f>'Core Loads'!Z$532*Process_exstg_CCF_per_lb_campus+'Core Loads'!Z$552*Htg_exstg_CCF_per_MMBtu_campus+'Core Loads'!Z$572*Clg_exstg_CCF_per_ton_campus</f>
        <v>0</v>
      </c>
      <c r="AB238" s="21">
        <f>'Core Loads'!AA$532*Process_exstg_CCF_per_lb_campus+'Core Loads'!AA$552*Htg_exstg_CCF_per_MMBtu_campus+'Core Loads'!AA$572*Clg_exstg_CCF_per_ton_campus</f>
        <v>0</v>
      </c>
      <c r="AC238" s="21">
        <f>'Core Loads'!AB$532*Process_exstg_CCF_per_lb_campus+'Core Loads'!AB$552*Htg_exstg_CCF_per_MMBtu_campus+'Core Loads'!AB$572*Clg_exstg_CCF_per_ton_campus</f>
        <v>0</v>
      </c>
      <c r="AD238" s="21">
        <f>'Core Loads'!AC$532*Process_exstg_CCF_per_lb_campus+'Core Loads'!AC$552*Htg_exstg_CCF_per_MMBtu_campus+'Core Loads'!AC$572*Clg_exstg_CCF_per_ton_campus</f>
        <v>0</v>
      </c>
      <c r="AE238" s="21">
        <f>'Core Loads'!AD$532*Process_exstg_CCF_per_lb_campus+'Core Loads'!AD$552*Htg_exstg_CCF_per_MMBtu_campus+'Core Loads'!AD$572*Clg_exstg_CCF_per_ton_campus</f>
        <v>0</v>
      </c>
      <c r="AF238" s="21">
        <f>'Core Loads'!AE$532*Process_exstg_CCF_per_lb_campus+'Core Loads'!AE$552*Htg_exstg_CCF_per_MMBtu_campus+'Core Loads'!AE$572*Clg_exstg_CCF_per_ton_campus</f>
        <v>0</v>
      </c>
      <c r="AG238" s="21">
        <f>'Core Loads'!AF$532*Process_exstg_CCF_per_lb_campus+'Core Loads'!AF$552*Htg_exstg_CCF_per_MMBtu_campus+'Core Loads'!AF$572*Clg_exstg_CCF_per_ton_campus</f>
        <v>0</v>
      </c>
      <c r="AH238"/>
      <c r="AI238" s="23" t="s">
        <v>293</v>
      </c>
    </row>
    <row r="239" spans="2:35" hidden="1" outlineLevel="1" x14ac:dyDescent="0.25"/>
    <row r="240" spans="2:35" s="1" customFormat="1" ht="17.25" hidden="1" outlineLevel="1" thickBot="1" x14ac:dyDescent="0.3">
      <c r="B240" s="19" t="s">
        <v>280</v>
      </c>
      <c r="C240" s="19"/>
      <c r="D240" s="19"/>
      <c r="E240" s="67"/>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row>
    <row r="241" spans="2:35" s="1" customFormat="1" ht="16.5" hidden="1" outlineLevel="1" thickTop="1" thickBot="1" x14ac:dyDescent="0.3">
      <c r="B241" s="20" t="s">
        <v>292</v>
      </c>
      <c r="C241" s="20" t="s">
        <v>13</v>
      </c>
      <c r="D241" s="20" t="s">
        <v>17</v>
      </c>
      <c r="E241" s="68"/>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t="s">
        <v>15</v>
      </c>
    </row>
    <row r="242" spans="2:35" hidden="1" outlineLevel="1" x14ac:dyDescent="0.25">
      <c r="D242" s="8">
        <f>'Core Loads'!$C$14</f>
        <v>2025</v>
      </c>
      <c r="E242" s="62">
        <f>'Core Loads'!$D$14</f>
        <v>2026</v>
      </c>
      <c r="F242" s="8">
        <f>'Core Loads'!$E$14</f>
        <v>2027</v>
      </c>
      <c r="G242" s="8">
        <f>'Core Loads'!$F$14</f>
        <v>2028</v>
      </c>
      <c r="H242" s="8">
        <f>'Core Loads'!$G$14</f>
        <v>2029</v>
      </c>
      <c r="I242" s="8">
        <f>'Core Loads'!$H$14</f>
        <v>2030</v>
      </c>
      <c r="J242" s="8">
        <f>'Core Loads'!$I$14</f>
        <v>2031</v>
      </c>
      <c r="K242" s="8">
        <f>'Core Loads'!$J$14</f>
        <v>2032</v>
      </c>
      <c r="L242" s="8">
        <f>'Core Loads'!$K$14</f>
        <v>2033</v>
      </c>
      <c r="M242" s="8">
        <f>'Core Loads'!$L$14</f>
        <v>2034</v>
      </c>
      <c r="N242" s="8">
        <f>'Core Loads'!$M$14</f>
        <v>2035</v>
      </c>
      <c r="O242" s="8">
        <f>'Core Loads'!$N$14</f>
        <v>2036</v>
      </c>
      <c r="P242" s="8">
        <f>'Core Loads'!$O$14</f>
        <v>2037</v>
      </c>
      <c r="Q242" s="8">
        <f>'Core Loads'!$P$14</f>
        <v>2038</v>
      </c>
      <c r="R242" s="8">
        <f>'Core Loads'!$Q$14</f>
        <v>2039</v>
      </c>
      <c r="S242" s="8">
        <f>'Core Loads'!$R$14</f>
        <v>2040</v>
      </c>
      <c r="T242" s="8">
        <f>'Core Loads'!$S$14</f>
        <v>2041</v>
      </c>
      <c r="U242" s="8">
        <f>'Core Loads'!$T$14</f>
        <v>2042</v>
      </c>
      <c r="V242" s="8">
        <f>'Core Loads'!$U$14</f>
        <v>2043</v>
      </c>
      <c r="W242" s="8">
        <f>'Core Loads'!$V$14</f>
        <v>2044</v>
      </c>
      <c r="X242" s="8">
        <f>'Core Loads'!$W$14</f>
        <v>2045</v>
      </c>
      <c r="Y242" s="8">
        <f>'Core Loads'!$X$14</f>
        <v>2046</v>
      </c>
      <c r="Z242" s="8">
        <f>'Core Loads'!$Y$14</f>
        <v>2047</v>
      </c>
      <c r="AA242" s="8">
        <f>'Core Loads'!$Z$14</f>
        <v>2048</v>
      </c>
      <c r="AB242" s="8">
        <f>'Core Loads'!$AA$14</f>
        <v>2049</v>
      </c>
      <c r="AC242" s="8">
        <f>'Core Loads'!$AB$14</f>
        <v>2050</v>
      </c>
      <c r="AD242" s="8">
        <f>'Core Loads'!$AC$14</f>
        <v>2051</v>
      </c>
      <c r="AE242" s="8">
        <f>'Core Loads'!$AD$14</f>
        <v>2052</v>
      </c>
      <c r="AF242" s="8">
        <f>'Core Loads'!$AE$14</f>
        <v>2053</v>
      </c>
      <c r="AG242" s="8">
        <f>'Core Loads'!$AF$14</f>
        <v>2054</v>
      </c>
    </row>
    <row r="243" spans="2:35" s="1" customFormat="1" hidden="1" outlineLevel="1" x14ac:dyDescent="0.25">
      <c r="B243" t="s">
        <v>141</v>
      </c>
      <c r="C243" t="s">
        <v>109</v>
      </c>
      <c r="D243" s="21">
        <f>'Core Loads'!C$521*Elec_11C_kWh_per_kWh_campus+'Core Loads'!C$541*Process_11C_kWh_per_lb_campus+'Core Loads'!C$561*Htg_11C_kWh_per_MMBtu_campus+'Core Loads'!C$571*Clg_11C_kWh_per_ton_campus</f>
        <v>1011886.434656</v>
      </c>
      <c r="E243" s="69">
        <f>'Core Loads'!D$521*Elec_11C_kWh_per_kWh_campus+'Core Loads'!D$541*Process_11C_kWh_per_lb_campus+'Core Loads'!D$561*Htg_11C_kWh_per_MMBtu_campus+'Core Loads'!D$571*Clg_11C_kWh_per_ton_campus</f>
        <v>1011886.434656</v>
      </c>
      <c r="F243" s="21">
        <f>'Core Loads'!E$521*Elec_11C_kWh_per_kWh_campus+'Core Loads'!E$541*Process_11C_kWh_per_lb_campus+'Core Loads'!E$561*Htg_11C_kWh_per_MMBtu_campus+'Core Loads'!E$571*Clg_11C_kWh_per_ton_campus</f>
        <v>107335630.53078811</v>
      </c>
      <c r="G243" s="21">
        <f>'Core Loads'!F$521*Elec_11C_kWh_per_kWh_campus+'Core Loads'!F$541*Process_11C_kWh_per_lb_campus+'Core Loads'!F$561*Htg_11C_kWh_per_MMBtu_campus+'Core Loads'!F$571*Clg_11C_kWh_per_ton_campus</f>
        <v>248041141.17284435</v>
      </c>
      <c r="H243" s="21">
        <f>'Core Loads'!G$521*Elec_11C_kWh_per_kWh_campus+'Core Loads'!G$541*Process_11C_kWh_per_lb_campus+'Core Loads'!G$561*Htg_11C_kWh_per_MMBtu_campus+'Core Loads'!G$571*Clg_11C_kWh_per_ton_campus</f>
        <v>248041141.17284435</v>
      </c>
      <c r="I243" s="21">
        <f>'Core Loads'!H$521*Elec_11C_kWh_per_kWh_campus+'Core Loads'!H$541*Process_11C_kWh_per_lb_campus+'Core Loads'!H$561*Htg_11C_kWh_per_MMBtu_campus+'Core Loads'!H$571*Clg_11C_kWh_per_ton_campus</f>
        <v>247366116.42451665</v>
      </c>
      <c r="J243" s="21">
        <f>'Core Loads'!I$521*Elec_11C_kWh_per_kWh_campus+'Core Loads'!I$541*Process_11C_kWh_per_lb_campus+'Core Loads'!I$561*Htg_11C_kWh_per_MMBtu_campus+'Core Loads'!I$571*Clg_11C_kWh_per_ton_campus</f>
        <v>247366116.42451665</v>
      </c>
      <c r="K243" s="21">
        <f>'Core Loads'!J$521*Elec_11C_kWh_per_kWh_campus+'Core Loads'!J$541*Process_11C_kWh_per_lb_campus+'Core Loads'!J$561*Htg_11C_kWh_per_MMBtu_campus+'Core Loads'!J$571*Clg_11C_kWh_per_ton_campus</f>
        <v>235378791.15010735</v>
      </c>
      <c r="L243" s="21">
        <f>'Core Loads'!K$521*Elec_11C_kWh_per_kWh_campus+'Core Loads'!K$541*Process_11C_kWh_per_lb_campus+'Core Loads'!K$561*Htg_11C_kWh_per_MMBtu_campus+'Core Loads'!K$571*Clg_11C_kWh_per_ton_campus</f>
        <v>235378791.15010735</v>
      </c>
      <c r="M243" s="21">
        <f>'Core Loads'!L$521*Elec_11C_kWh_per_kWh_campus+'Core Loads'!L$541*Process_11C_kWh_per_lb_campus+'Core Loads'!L$561*Htg_11C_kWh_per_MMBtu_campus+'Core Loads'!L$571*Clg_11C_kWh_per_ton_campus</f>
        <v>234219175.95363569</v>
      </c>
      <c r="N243" s="21">
        <f>'Core Loads'!M$521*Elec_11C_kWh_per_kWh_campus+'Core Loads'!M$541*Process_11C_kWh_per_lb_campus+'Core Loads'!M$561*Htg_11C_kWh_per_MMBtu_campus+'Core Loads'!M$571*Clg_11C_kWh_per_ton_campus</f>
        <v>234219175.95363569</v>
      </c>
      <c r="O243" s="21">
        <f>'Core Loads'!N$521*Elec_11C_kWh_per_kWh_campus+'Core Loads'!N$541*Process_11C_kWh_per_lb_campus+'Core Loads'!N$561*Htg_11C_kWh_per_MMBtu_campus+'Core Loads'!N$571*Clg_11C_kWh_per_ton_campus</f>
        <v>231623330.39256436</v>
      </c>
      <c r="P243" s="21">
        <f>'Core Loads'!O$521*Elec_11C_kWh_per_kWh_campus+'Core Loads'!O$541*Process_11C_kWh_per_lb_campus+'Core Loads'!O$561*Htg_11C_kWh_per_MMBtu_campus+'Core Loads'!O$571*Clg_11C_kWh_per_ton_campus</f>
        <v>231623330.39256436</v>
      </c>
      <c r="Q243" s="21">
        <f>'Core Loads'!P$521*Elec_11C_kWh_per_kWh_campus+'Core Loads'!P$541*Process_11C_kWh_per_lb_campus+'Core Loads'!P$561*Htg_11C_kWh_per_MMBtu_campus+'Core Loads'!P$571*Clg_11C_kWh_per_ton_campus</f>
        <v>231042498.77821451</v>
      </c>
      <c r="R243" s="21">
        <f>'Core Loads'!Q$521*Elec_11C_kWh_per_kWh_campus+'Core Loads'!Q$541*Process_11C_kWh_per_lb_campus+'Core Loads'!Q$561*Htg_11C_kWh_per_MMBtu_campus+'Core Loads'!Q$571*Clg_11C_kWh_per_ton_campus</f>
        <v>231042498.77821451</v>
      </c>
      <c r="S243" s="21">
        <f>'Core Loads'!R$521*Elec_11C_kWh_per_kWh_campus+'Core Loads'!R$541*Process_11C_kWh_per_lb_campus+'Core Loads'!R$561*Htg_11C_kWh_per_MMBtu_campus+'Core Loads'!R$571*Clg_11C_kWh_per_ton_campus</f>
        <v>269800467.92349821</v>
      </c>
      <c r="T243" s="21">
        <f>'Core Loads'!S$521*Elec_11C_kWh_per_kWh_campus+'Core Loads'!S$541*Process_11C_kWh_per_lb_campus+'Core Loads'!S$561*Htg_11C_kWh_per_MMBtu_campus+'Core Loads'!S$571*Clg_11C_kWh_per_ton_campus</f>
        <v>269800467.92349821</v>
      </c>
      <c r="U243" s="21">
        <f>'Core Loads'!T$521*Elec_11C_kWh_per_kWh_campus+'Core Loads'!T$541*Process_11C_kWh_per_lb_campus+'Core Loads'!T$561*Htg_11C_kWh_per_MMBtu_campus+'Core Loads'!T$571*Clg_11C_kWh_per_ton_campus</f>
        <v>269557439.5775125</v>
      </c>
      <c r="V243" s="21">
        <f>'Core Loads'!U$521*Elec_11C_kWh_per_kWh_campus+'Core Loads'!U$541*Process_11C_kWh_per_lb_campus+'Core Loads'!U$561*Htg_11C_kWh_per_MMBtu_campus+'Core Loads'!U$571*Clg_11C_kWh_per_ton_campus</f>
        <v>269557439.5775125</v>
      </c>
      <c r="W243" s="21">
        <f>'Core Loads'!V$521*Elec_11C_kWh_per_kWh_campus+'Core Loads'!V$541*Process_11C_kWh_per_lb_campus+'Core Loads'!V$561*Htg_11C_kWh_per_MMBtu_campus+'Core Loads'!V$571*Clg_11C_kWh_per_ton_campus</f>
        <v>268936172.25015575</v>
      </c>
      <c r="X243" s="21">
        <f>'Core Loads'!W$521*Elec_11C_kWh_per_kWh_campus+'Core Loads'!W$541*Process_11C_kWh_per_lb_campus+'Core Loads'!W$561*Htg_11C_kWh_per_MMBtu_campus+'Core Loads'!W$571*Clg_11C_kWh_per_ton_campus</f>
        <v>268936172.25015575</v>
      </c>
      <c r="Y243" s="21">
        <f>'Core Loads'!X$521*Elec_11C_kWh_per_kWh_campus+'Core Loads'!X$541*Process_11C_kWh_per_lb_campus+'Core Loads'!X$561*Htg_11C_kWh_per_MMBtu_campus+'Core Loads'!X$571*Clg_11C_kWh_per_ton_campus</f>
        <v>268936172.25015575</v>
      </c>
      <c r="Z243" s="21">
        <f>'Core Loads'!Y$521*Elec_11C_kWh_per_kWh_campus+'Core Loads'!Y$541*Process_11C_kWh_per_lb_campus+'Core Loads'!Y$561*Htg_11C_kWh_per_MMBtu_campus+'Core Loads'!Y$571*Clg_11C_kWh_per_ton_campus</f>
        <v>268936172.25015575</v>
      </c>
      <c r="AA243" s="21">
        <f>'Core Loads'!Z$521*Elec_11C_kWh_per_kWh_campus+'Core Loads'!Z$541*Process_11C_kWh_per_lb_campus+'Core Loads'!Z$561*Htg_11C_kWh_per_MMBtu_campus+'Core Loads'!Z$571*Clg_11C_kWh_per_ton_campus</f>
        <v>268936172.25015575</v>
      </c>
      <c r="AB243" s="21">
        <f>'Core Loads'!AA$521*Elec_11C_kWh_per_kWh_campus+'Core Loads'!AA$541*Process_11C_kWh_per_lb_campus+'Core Loads'!AA$561*Htg_11C_kWh_per_MMBtu_campus+'Core Loads'!AA$571*Clg_11C_kWh_per_ton_campus</f>
        <v>268936172.25015575</v>
      </c>
      <c r="AC243" s="21">
        <f>'Core Loads'!AB$521*Elec_11C_kWh_per_kWh_campus+'Core Loads'!AB$541*Process_11C_kWh_per_lb_campus+'Core Loads'!AB$561*Htg_11C_kWh_per_MMBtu_campus+'Core Loads'!AB$571*Clg_11C_kWh_per_ton_campus</f>
        <v>268219720.01826859</v>
      </c>
      <c r="AD243" s="21">
        <f>'Core Loads'!AC$521*Elec_11C_kWh_per_kWh_campus+'Core Loads'!AC$541*Process_11C_kWh_per_lb_campus+'Core Loads'!AC$561*Htg_11C_kWh_per_MMBtu_campus+'Core Loads'!AC$571*Clg_11C_kWh_per_ton_campus</f>
        <v>268219720.01826859</v>
      </c>
      <c r="AE243" s="21">
        <f>'Core Loads'!AD$521*Elec_11C_kWh_per_kWh_campus+'Core Loads'!AD$541*Process_11C_kWh_per_lb_campus+'Core Loads'!AD$561*Htg_11C_kWh_per_MMBtu_campus+'Core Loads'!AD$571*Clg_11C_kWh_per_ton_campus</f>
        <v>268219720.01826859</v>
      </c>
      <c r="AF243" s="21">
        <f>'Core Loads'!AE$521*Elec_11C_kWh_per_kWh_campus+'Core Loads'!AE$541*Process_11C_kWh_per_lb_campus+'Core Loads'!AE$561*Htg_11C_kWh_per_MMBtu_campus+'Core Loads'!AE$571*Clg_11C_kWh_per_ton_campus</f>
        <v>268219720.01826859</v>
      </c>
      <c r="AG243" s="21">
        <f>'Core Loads'!AF$521*Elec_11C_kWh_per_kWh_campus+'Core Loads'!AF$541*Process_11C_kWh_per_lb_campus+'Core Loads'!AF$561*Htg_11C_kWh_per_MMBtu_campus+'Core Loads'!AF$571*Clg_11C_kWh_per_ton_campus</f>
        <v>268219720.01826859</v>
      </c>
      <c r="AH243"/>
      <c r="AI243" s="23" t="s">
        <v>293</v>
      </c>
    </row>
    <row r="244" spans="2:35" s="1" customFormat="1" hidden="1" outlineLevel="1" x14ac:dyDescent="0.25">
      <c r="B244" t="s">
        <v>136</v>
      </c>
      <c r="C244" t="s">
        <v>169</v>
      </c>
      <c r="D244" s="21">
        <f>'Core Loads'!C$541*Process_11C_therm_per_lb_campus+'Core Loads'!C$561*Htg_11C_therm_per_MMBtu_campus</f>
        <v>0</v>
      </c>
      <c r="E244" s="69">
        <f>'Core Loads'!D$541*Process_11C_therm_per_lb_campus+'Core Loads'!D$561*Htg_11C_therm_per_MMBtu_campus</f>
        <v>0</v>
      </c>
      <c r="F244" s="21">
        <f>'Core Loads'!E$541*Process_11C_therm_per_lb_campus+'Core Loads'!E$561*Htg_11C_therm_per_MMBtu_campus</f>
        <v>0</v>
      </c>
      <c r="G244" s="21">
        <f>'Core Loads'!F$541*Process_11C_therm_per_lb_campus+'Core Loads'!F$561*Htg_11C_therm_per_MMBtu_campus</f>
        <v>0</v>
      </c>
      <c r="H244" s="21">
        <f>'Core Loads'!G$541*Process_11C_therm_per_lb_campus+'Core Loads'!G$561*Htg_11C_therm_per_MMBtu_campus</f>
        <v>0</v>
      </c>
      <c r="I244" s="21">
        <f>'Core Loads'!H$541*Process_11C_therm_per_lb_campus+'Core Loads'!H$561*Htg_11C_therm_per_MMBtu_campus</f>
        <v>0</v>
      </c>
      <c r="J244" s="21">
        <f>'Core Loads'!I$541*Process_11C_therm_per_lb_campus+'Core Loads'!I$561*Htg_11C_therm_per_MMBtu_campus</f>
        <v>0</v>
      </c>
      <c r="K244" s="21">
        <f>'Core Loads'!J$541*Process_11C_therm_per_lb_campus+'Core Loads'!J$561*Htg_11C_therm_per_MMBtu_campus</f>
        <v>0</v>
      </c>
      <c r="L244" s="21">
        <f>'Core Loads'!K$541*Process_11C_therm_per_lb_campus+'Core Loads'!K$561*Htg_11C_therm_per_MMBtu_campus</f>
        <v>0</v>
      </c>
      <c r="M244" s="21">
        <f>'Core Loads'!L$541*Process_11C_therm_per_lb_campus+'Core Loads'!L$561*Htg_11C_therm_per_MMBtu_campus</f>
        <v>0</v>
      </c>
      <c r="N244" s="21">
        <f>'Core Loads'!M$541*Process_11C_therm_per_lb_campus+'Core Loads'!M$561*Htg_11C_therm_per_MMBtu_campus</f>
        <v>0</v>
      </c>
      <c r="O244" s="21">
        <f>'Core Loads'!N$541*Process_11C_therm_per_lb_campus+'Core Loads'!N$561*Htg_11C_therm_per_MMBtu_campus</f>
        <v>0</v>
      </c>
      <c r="P244" s="21">
        <f>'Core Loads'!O$541*Process_11C_therm_per_lb_campus+'Core Loads'!O$561*Htg_11C_therm_per_MMBtu_campus</f>
        <v>0</v>
      </c>
      <c r="Q244" s="21">
        <f>'Core Loads'!P$541*Process_11C_therm_per_lb_campus+'Core Loads'!P$561*Htg_11C_therm_per_MMBtu_campus</f>
        <v>0</v>
      </c>
      <c r="R244" s="21">
        <f>'Core Loads'!Q$541*Process_11C_therm_per_lb_campus+'Core Loads'!Q$561*Htg_11C_therm_per_MMBtu_campus</f>
        <v>0</v>
      </c>
      <c r="S244" s="21">
        <f>'Core Loads'!R$541*Process_11C_therm_per_lb_campus+'Core Loads'!R$561*Htg_11C_therm_per_MMBtu_campus</f>
        <v>0</v>
      </c>
      <c r="T244" s="21">
        <f>'Core Loads'!S$541*Process_11C_therm_per_lb_campus+'Core Loads'!S$561*Htg_11C_therm_per_MMBtu_campus</f>
        <v>0</v>
      </c>
      <c r="U244" s="21">
        <f>'Core Loads'!T$541*Process_11C_therm_per_lb_campus+'Core Loads'!T$561*Htg_11C_therm_per_MMBtu_campus</f>
        <v>0</v>
      </c>
      <c r="V244" s="21">
        <f>'Core Loads'!U$541*Process_11C_therm_per_lb_campus+'Core Loads'!U$561*Htg_11C_therm_per_MMBtu_campus</f>
        <v>0</v>
      </c>
      <c r="W244" s="21">
        <f>'Core Loads'!V$541*Process_11C_therm_per_lb_campus+'Core Loads'!V$561*Htg_11C_therm_per_MMBtu_campus</f>
        <v>0</v>
      </c>
      <c r="X244" s="21">
        <f>'Core Loads'!W$541*Process_11C_therm_per_lb_campus+'Core Loads'!W$561*Htg_11C_therm_per_MMBtu_campus</f>
        <v>0</v>
      </c>
      <c r="Y244" s="21">
        <f>'Core Loads'!X$541*Process_11C_therm_per_lb_campus+'Core Loads'!X$561*Htg_11C_therm_per_MMBtu_campus</f>
        <v>0</v>
      </c>
      <c r="Z244" s="21">
        <f>'Core Loads'!Y$541*Process_11C_therm_per_lb_campus+'Core Loads'!Y$561*Htg_11C_therm_per_MMBtu_campus</f>
        <v>0</v>
      </c>
      <c r="AA244" s="21">
        <f>'Core Loads'!Z$541*Process_11C_therm_per_lb_campus+'Core Loads'!Z$561*Htg_11C_therm_per_MMBtu_campus</f>
        <v>0</v>
      </c>
      <c r="AB244" s="21">
        <f>'Core Loads'!AA$541*Process_11C_therm_per_lb_campus+'Core Loads'!AA$561*Htg_11C_therm_per_MMBtu_campus</f>
        <v>0</v>
      </c>
      <c r="AC244" s="21">
        <f>'Core Loads'!AB$541*Process_11C_therm_per_lb_campus+'Core Loads'!AB$561*Htg_11C_therm_per_MMBtu_campus</f>
        <v>0</v>
      </c>
      <c r="AD244" s="21">
        <f>'Core Loads'!AC$541*Process_11C_therm_per_lb_campus+'Core Loads'!AC$561*Htg_11C_therm_per_MMBtu_campus</f>
        <v>0</v>
      </c>
      <c r="AE244" s="21">
        <f>'Core Loads'!AD$541*Process_11C_therm_per_lb_campus+'Core Loads'!AD$561*Htg_11C_therm_per_MMBtu_campus</f>
        <v>0</v>
      </c>
      <c r="AF244" s="21">
        <f>'Core Loads'!AE$541*Process_11C_therm_per_lb_campus+'Core Loads'!AE$561*Htg_11C_therm_per_MMBtu_campus</f>
        <v>0</v>
      </c>
      <c r="AG244" s="21">
        <f>'Core Loads'!AF$541*Process_11C_therm_per_lb_campus+'Core Loads'!AF$561*Htg_11C_therm_per_MMBtu_campus</f>
        <v>0</v>
      </c>
      <c r="AH244"/>
      <c r="AI244" s="23" t="s">
        <v>293</v>
      </c>
    </row>
    <row r="245" spans="2:35" s="1" customFormat="1" hidden="1" outlineLevel="1" x14ac:dyDescent="0.25">
      <c r="B245" t="s">
        <v>154</v>
      </c>
      <c r="C245" t="s">
        <v>170</v>
      </c>
      <c r="D245" s="21">
        <f>'Core Loads'!C$541*Process_11C_CCF_per_lb_campus+'Core Loads'!C$561*Htg_11C_CCF_per_MMBtu_campus+'Core Loads'!C$581*Clg_11C_CCF_per_ton_campus</f>
        <v>0</v>
      </c>
      <c r="E245" s="21">
        <f>'Core Loads'!D$541*Process_11C_CCF_per_lb_campus+'Core Loads'!D$561*Htg_11C_CCF_per_MMBtu_campus+'Core Loads'!D$581*Clg_11C_CCF_per_ton_campus</f>
        <v>0</v>
      </c>
      <c r="F245" s="21">
        <f>'Core Loads'!E$541*Process_11C_CCF_per_lb_campus+'Core Loads'!E$561*Htg_11C_CCF_per_MMBtu_campus+'Core Loads'!E$581*Clg_11C_CCF_per_ton_campus</f>
        <v>42994.32653860229</v>
      </c>
      <c r="G245" s="21">
        <f>'Core Loads'!F$541*Process_11C_CCF_per_lb_campus+'Core Loads'!F$561*Htg_11C_CCF_per_MMBtu_campus+'Core Loads'!F$581*Clg_11C_CCF_per_ton_campus</f>
        <v>134952.52243551117</v>
      </c>
      <c r="H245" s="21">
        <f>'Core Loads'!G$541*Process_11C_CCF_per_lb_campus+'Core Loads'!G$561*Htg_11C_CCF_per_MMBtu_campus+'Core Loads'!G$581*Clg_11C_CCF_per_ton_campus</f>
        <v>134952.52243551117</v>
      </c>
      <c r="I245" s="21">
        <f>'Core Loads'!H$541*Process_11C_CCF_per_lb_campus+'Core Loads'!H$561*Htg_11C_CCF_per_MMBtu_campus+'Core Loads'!H$581*Clg_11C_CCF_per_ton_campus</f>
        <v>148916.80927474546</v>
      </c>
      <c r="J245" s="21">
        <f>'Core Loads'!I$541*Process_11C_CCF_per_lb_campus+'Core Loads'!I$561*Htg_11C_CCF_per_MMBtu_campus+'Core Loads'!I$581*Clg_11C_CCF_per_ton_campus</f>
        <v>148916.80927474546</v>
      </c>
      <c r="K245" s="21">
        <f>'Core Loads'!J$541*Process_11C_CCF_per_lb_campus+'Core Loads'!J$561*Htg_11C_CCF_per_MMBtu_campus+'Core Loads'!J$581*Clg_11C_CCF_per_ton_campus</f>
        <v>144579.49070036993</v>
      </c>
      <c r="L245" s="21">
        <f>'Core Loads'!K$541*Process_11C_CCF_per_lb_campus+'Core Loads'!K$561*Htg_11C_CCF_per_MMBtu_campus+'Core Loads'!K$581*Clg_11C_CCF_per_ton_campus</f>
        <v>144579.49070036993</v>
      </c>
      <c r="M245" s="21">
        <f>'Core Loads'!L$541*Process_11C_CCF_per_lb_campus+'Core Loads'!L$561*Htg_11C_CCF_per_MMBtu_campus+'Core Loads'!L$581*Clg_11C_CCF_per_ton_campus</f>
        <v>146193.88917096626</v>
      </c>
      <c r="N245" s="21">
        <f>'Core Loads'!M$541*Process_11C_CCF_per_lb_campus+'Core Loads'!M$561*Htg_11C_CCF_per_MMBtu_campus+'Core Loads'!M$581*Clg_11C_CCF_per_ton_campus</f>
        <v>146193.88917096626</v>
      </c>
      <c r="O245" s="21">
        <f>'Core Loads'!N$541*Process_11C_CCF_per_lb_campus+'Core Loads'!N$561*Htg_11C_CCF_per_MMBtu_campus+'Core Loads'!N$581*Clg_11C_CCF_per_ton_campus</f>
        <v>144821.92137333384</v>
      </c>
      <c r="P245" s="21">
        <f>'Core Loads'!O$541*Process_11C_CCF_per_lb_campus+'Core Loads'!O$561*Htg_11C_CCF_per_MMBtu_campus+'Core Loads'!O$581*Clg_11C_CCF_per_ton_campus</f>
        <v>144821.92137333384</v>
      </c>
      <c r="Q245" s="21">
        <f>'Core Loads'!P$541*Process_11C_CCF_per_lb_campus+'Core Loads'!P$561*Htg_11C_CCF_per_MMBtu_campus+'Core Loads'!P$581*Clg_11C_CCF_per_ton_campus</f>
        <v>144483.60155555297</v>
      </c>
      <c r="R245" s="21">
        <f>'Core Loads'!Q$541*Process_11C_CCF_per_lb_campus+'Core Loads'!Q$561*Htg_11C_CCF_per_MMBtu_campus+'Core Loads'!Q$581*Clg_11C_CCF_per_ton_campus</f>
        <v>144483.60155555297</v>
      </c>
      <c r="S245" s="21">
        <f>'Core Loads'!R$541*Process_11C_CCF_per_lb_campus+'Core Loads'!R$561*Htg_11C_CCF_per_MMBtu_campus+'Core Loads'!R$581*Clg_11C_CCF_per_ton_campus</f>
        <v>165316.17341266479</v>
      </c>
      <c r="T245" s="21">
        <f>'Core Loads'!S$541*Process_11C_CCF_per_lb_campus+'Core Loads'!S$561*Htg_11C_CCF_per_MMBtu_campus+'Core Loads'!S$581*Clg_11C_CCF_per_ton_campus</f>
        <v>165316.17341266479</v>
      </c>
      <c r="U245" s="21">
        <f>'Core Loads'!T$541*Process_11C_CCF_per_lb_campus+'Core Loads'!T$561*Htg_11C_CCF_per_MMBtu_campus+'Core Loads'!T$581*Clg_11C_CCF_per_ton_campus</f>
        <v>165249.68529523592</v>
      </c>
      <c r="V245" s="21">
        <f>'Core Loads'!U$541*Process_11C_CCF_per_lb_campus+'Core Loads'!U$561*Htg_11C_CCF_per_MMBtu_campus+'Core Loads'!U$581*Clg_11C_CCF_per_ton_campus</f>
        <v>165249.68529523592</v>
      </c>
      <c r="W245" s="21">
        <f>'Core Loads'!V$541*Process_11C_CCF_per_lb_campus+'Core Loads'!V$561*Htg_11C_CCF_per_MMBtu_campus+'Core Loads'!V$581*Clg_11C_CCF_per_ton_campus</f>
        <v>164877.54257590559</v>
      </c>
      <c r="X245" s="21">
        <f>'Core Loads'!W$541*Process_11C_CCF_per_lb_campus+'Core Loads'!W$561*Htg_11C_CCF_per_MMBtu_campus+'Core Loads'!W$581*Clg_11C_CCF_per_ton_campus</f>
        <v>164877.54257590559</v>
      </c>
      <c r="Y245" s="21">
        <f>'Core Loads'!X$541*Process_11C_CCF_per_lb_campus+'Core Loads'!X$561*Htg_11C_CCF_per_MMBtu_campus+'Core Loads'!X$581*Clg_11C_CCF_per_ton_campus</f>
        <v>164877.54257590559</v>
      </c>
      <c r="Z245" s="21">
        <f>'Core Loads'!Y$541*Process_11C_CCF_per_lb_campus+'Core Loads'!Y$561*Htg_11C_CCF_per_MMBtu_campus+'Core Loads'!Y$581*Clg_11C_CCF_per_ton_campus</f>
        <v>164877.54257590559</v>
      </c>
      <c r="AA245" s="21">
        <f>'Core Loads'!Z$541*Process_11C_CCF_per_lb_campus+'Core Loads'!Z$561*Htg_11C_CCF_per_MMBtu_campus+'Core Loads'!Z$581*Clg_11C_CCF_per_ton_campus</f>
        <v>164877.54257590559</v>
      </c>
      <c r="AB245" s="21">
        <f>'Core Loads'!AA$541*Process_11C_CCF_per_lb_campus+'Core Loads'!AA$561*Htg_11C_CCF_per_MMBtu_campus+'Core Loads'!AA$581*Clg_11C_CCF_per_ton_campus</f>
        <v>164877.54257590559</v>
      </c>
      <c r="AC245" s="21">
        <f>'Core Loads'!AB$541*Process_11C_CCF_per_lb_campus+'Core Loads'!AB$561*Htg_11C_CCF_per_MMBtu_campus+'Core Loads'!AB$581*Clg_11C_CCF_per_ton_campus</f>
        <v>164385.26105735954</v>
      </c>
      <c r="AD245" s="21">
        <f>'Core Loads'!AC$541*Process_11C_CCF_per_lb_campus+'Core Loads'!AC$561*Htg_11C_CCF_per_MMBtu_campus+'Core Loads'!AC$581*Clg_11C_CCF_per_ton_campus</f>
        <v>164385.26105735954</v>
      </c>
      <c r="AE245" s="21">
        <f>'Core Loads'!AD$541*Process_11C_CCF_per_lb_campus+'Core Loads'!AD$561*Htg_11C_CCF_per_MMBtu_campus+'Core Loads'!AD$581*Clg_11C_CCF_per_ton_campus</f>
        <v>164385.26105735954</v>
      </c>
      <c r="AF245" s="21">
        <f>'Core Loads'!AE$541*Process_11C_CCF_per_lb_campus+'Core Loads'!AE$561*Htg_11C_CCF_per_MMBtu_campus+'Core Loads'!AE$581*Clg_11C_CCF_per_ton_campus</f>
        <v>164385.26105735954</v>
      </c>
      <c r="AG245" s="21">
        <f>'Core Loads'!AF$541*Process_11C_CCF_per_lb_campus+'Core Loads'!AF$561*Htg_11C_CCF_per_MMBtu_campus+'Core Loads'!AF$581*Clg_11C_CCF_per_ton_campus</f>
        <v>164385.26105735954</v>
      </c>
      <c r="AH245"/>
      <c r="AI245" s="23" t="s">
        <v>293</v>
      </c>
    </row>
    <row r="246" spans="2:35" ht="15.75" collapsed="1" thickTop="1" x14ac:dyDescent="0.25"/>
    <row r="248" spans="2:35" s="1" customFormat="1" ht="20.25" thickBot="1" x14ac:dyDescent="0.35">
      <c r="B248" s="18" t="s">
        <v>290</v>
      </c>
      <c r="C248" s="18"/>
      <c r="D248" s="18"/>
      <c r="E248" s="25"/>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row>
    <row r="249" spans="2:35" s="1" customFormat="1" ht="18" hidden="1" outlineLevel="1" thickTop="1" thickBot="1" x14ac:dyDescent="0.3">
      <c r="B249" s="19" t="s">
        <v>278</v>
      </c>
      <c r="C249" s="19"/>
      <c r="D249" s="19"/>
      <c r="E249" s="67"/>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row>
    <row r="250" spans="2:35" s="1" customFormat="1" ht="16.5" hidden="1" outlineLevel="1" thickTop="1" thickBot="1" x14ac:dyDescent="0.3">
      <c r="B250" s="20" t="s">
        <v>292</v>
      </c>
      <c r="C250" s="20" t="s">
        <v>13</v>
      </c>
      <c r="D250" s="20" t="s">
        <v>17</v>
      </c>
      <c r="E250" s="68"/>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t="s">
        <v>15</v>
      </c>
    </row>
    <row r="251" spans="2:35" hidden="1" outlineLevel="1" x14ac:dyDescent="0.25">
      <c r="D251" s="8">
        <f>'Core Loads'!$C$14</f>
        <v>2025</v>
      </c>
      <c r="E251" s="62">
        <f>'Core Loads'!$D$14</f>
        <v>2026</v>
      </c>
      <c r="F251" s="8">
        <f>'Core Loads'!$E$14</f>
        <v>2027</v>
      </c>
      <c r="G251" s="8">
        <f>'Core Loads'!$F$14</f>
        <v>2028</v>
      </c>
      <c r="H251" s="8">
        <f>'Core Loads'!$G$14</f>
        <v>2029</v>
      </c>
      <c r="I251" s="8">
        <f>'Core Loads'!$H$14</f>
        <v>2030</v>
      </c>
      <c r="J251" s="8">
        <f>'Core Loads'!$I$14</f>
        <v>2031</v>
      </c>
      <c r="K251" s="8">
        <f>'Core Loads'!$J$14</f>
        <v>2032</v>
      </c>
      <c r="L251" s="8">
        <f>'Core Loads'!$K$14</f>
        <v>2033</v>
      </c>
      <c r="M251" s="8">
        <f>'Core Loads'!$L$14</f>
        <v>2034</v>
      </c>
      <c r="N251" s="8">
        <f>'Core Loads'!$M$14</f>
        <v>2035</v>
      </c>
      <c r="O251" s="8">
        <f>'Core Loads'!$N$14</f>
        <v>2036</v>
      </c>
      <c r="P251" s="8">
        <f>'Core Loads'!$O$14</f>
        <v>2037</v>
      </c>
      <c r="Q251" s="8">
        <f>'Core Loads'!$P$14</f>
        <v>2038</v>
      </c>
      <c r="R251" s="8">
        <f>'Core Loads'!$Q$14</f>
        <v>2039</v>
      </c>
      <c r="S251" s="8">
        <f>'Core Loads'!$R$14</f>
        <v>2040</v>
      </c>
      <c r="T251" s="8">
        <f>'Core Loads'!$S$14</f>
        <v>2041</v>
      </c>
      <c r="U251" s="8">
        <f>'Core Loads'!$T$14</f>
        <v>2042</v>
      </c>
      <c r="V251" s="8">
        <f>'Core Loads'!$U$14</f>
        <v>2043</v>
      </c>
      <c r="W251" s="8">
        <f>'Core Loads'!$V$14</f>
        <v>2044</v>
      </c>
      <c r="X251" s="8">
        <f>'Core Loads'!$W$14</f>
        <v>2045</v>
      </c>
      <c r="Y251" s="8">
        <f>'Core Loads'!$X$14</f>
        <v>2046</v>
      </c>
      <c r="Z251" s="8">
        <f>'Core Loads'!$Y$14</f>
        <v>2047</v>
      </c>
      <c r="AA251" s="8">
        <f>'Core Loads'!$Z$14</f>
        <v>2048</v>
      </c>
      <c r="AB251" s="8">
        <f>'Core Loads'!$AA$14</f>
        <v>2049</v>
      </c>
      <c r="AC251" s="8">
        <f>'Core Loads'!$AB$14</f>
        <v>2050</v>
      </c>
      <c r="AD251" s="8">
        <f>'Core Loads'!$AC$14</f>
        <v>2051</v>
      </c>
      <c r="AE251" s="8">
        <f>'Core Loads'!$AD$14</f>
        <v>2052</v>
      </c>
      <c r="AF251" s="8">
        <f>'Core Loads'!$AE$14</f>
        <v>2053</v>
      </c>
      <c r="AG251" s="8">
        <f>'Core Loads'!$AF$14</f>
        <v>2054</v>
      </c>
    </row>
    <row r="252" spans="2:35" s="1" customFormat="1" hidden="1" outlineLevel="1" x14ac:dyDescent="0.25">
      <c r="B252" t="s">
        <v>141</v>
      </c>
      <c r="C252" t="s">
        <v>109</v>
      </c>
      <c r="D252" s="21">
        <f>MAX('Core Loads'!C$592*Elec_exstg_kWh_per_kWh_campus+'Core Loads'!C$612*Process_exstg_kWh_per_lb_campus+'Core Loads'!C$632*Htg_exstg_kWh_per_MMBtu_campus+MAX('Core Loads'!C$652-AbsChillerLoad,0)*Clg_exstg_kWh_per_ton_campus-CogenElecOutputExstg,0)</f>
        <v>0</v>
      </c>
      <c r="E252" s="21">
        <f>MAX('Core Loads'!D$592*Elec_exstg_kWh_per_kWh_campus+'Core Loads'!D$612*Process_exstg_kWh_per_lb_campus+'Core Loads'!D$632*Htg_exstg_kWh_per_MMBtu_campus+MAX('Core Loads'!D$652-AbsChillerLoad,0)*Clg_exstg_kWh_per_ton_campus-CogenElecOutputExstg,0)</f>
        <v>2865758.5345967412</v>
      </c>
      <c r="F252" s="21">
        <f>MAX('Core Loads'!E$592*Elec_exstg_kWh_per_kWh_campus+'Core Loads'!E$612*Process_exstg_kWh_per_lb_campus+'Core Loads'!E$632*Htg_exstg_kWh_per_MMBtu_campus+MAX('Core Loads'!E$652-AbsChillerLoad,0)*Clg_exstg_kWh_per_ton_campus-CogenElecOutputExstg,0)</f>
        <v>0</v>
      </c>
      <c r="G252" s="21">
        <f>MAX('Core Loads'!F$592*Elec_exstg_kWh_per_kWh_campus+'Core Loads'!F$612*Process_exstg_kWh_per_lb_campus+'Core Loads'!F$632*Htg_exstg_kWh_per_MMBtu_campus+MAX('Core Loads'!F$652-AbsChillerLoad,0)*Clg_exstg_kWh_per_ton_campus-CogenElecOutputExstg,0)</f>
        <v>0</v>
      </c>
      <c r="H252" s="21">
        <f>MAX('Core Loads'!G$592*Elec_exstg_kWh_per_kWh_campus+'Core Loads'!G$612*Process_exstg_kWh_per_lb_campus+'Core Loads'!G$632*Htg_exstg_kWh_per_MMBtu_campus+MAX('Core Loads'!G$652-AbsChillerLoad,0)*Clg_exstg_kWh_per_ton_campus-CogenElecOutputExstg,0)</f>
        <v>0</v>
      </c>
      <c r="I252" s="21">
        <f>MAX('Core Loads'!H$592*Elec_exstg_kWh_per_kWh_campus+'Core Loads'!H$612*Process_exstg_kWh_per_lb_campus+'Core Loads'!H$632*Htg_exstg_kWh_per_MMBtu_campus+MAX('Core Loads'!H$652-AbsChillerLoad,0)*Clg_exstg_kWh_per_ton_campus-CogenElecOutputExstg,0)</f>
        <v>0</v>
      </c>
      <c r="J252" s="21">
        <f>MAX('Core Loads'!I$592*Elec_exstg_kWh_per_kWh_campus+'Core Loads'!I$612*Process_exstg_kWh_per_lb_campus+'Core Loads'!I$632*Htg_exstg_kWh_per_MMBtu_campus+MAX('Core Loads'!I$652-AbsChillerLoad,0)*Clg_exstg_kWh_per_ton_campus-CogenElecOutputExstg,0)</f>
        <v>0</v>
      </c>
      <c r="K252" s="21">
        <f>MAX('Core Loads'!J$592*Elec_exstg_kWh_per_kWh_campus+'Core Loads'!J$612*Process_exstg_kWh_per_lb_campus+'Core Loads'!J$632*Htg_exstg_kWh_per_MMBtu_campus+MAX('Core Loads'!J$652-AbsChillerLoad,0)*Clg_exstg_kWh_per_ton_campus-CogenElecOutputExstg,0)</f>
        <v>0</v>
      </c>
      <c r="L252" s="21">
        <f>MAX('Core Loads'!K$592*Elec_exstg_kWh_per_kWh_campus+'Core Loads'!K$612*Process_exstg_kWh_per_lb_campus+'Core Loads'!K$632*Htg_exstg_kWh_per_MMBtu_campus+MAX('Core Loads'!K$652-AbsChillerLoad,0)*Clg_exstg_kWh_per_ton_campus-CogenElecOutputExstg,0)</f>
        <v>0</v>
      </c>
      <c r="M252" s="21">
        <f>MAX('Core Loads'!L$592*Elec_exstg_kWh_per_kWh_campus+'Core Loads'!L$612*Process_exstg_kWh_per_lb_campus+'Core Loads'!L$632*Htg_exstg_kWh_per_MMBtu_campus+MAX('Core Loads'!L$652-AbsChillerLoad,0)*Clg_exstg_kWh_per_ton_campus-CogenElecOutputExstg,0)</f>
        <v>0</v>
      </c>
      <c r="N252" s="21">
        <f>MAX('Core Loads'!M$592*Elec_exstg_kWh_per_kWh_campus+'Core Loads'!M$612*Process_exstg_kWh_per_lb_campus+'Core Loads'!M$632*Htg_exstg_kWh_per_MMBtu_campus+MAX('Core Loads'!M$652-AbsChillerLoad,0)*Clg_exstg_kWh_per_ton_campus-CogenElecOutputExstg,0)</f>
        <v>0</v>
      </c>
      <c r="O252" s="21">
        <f>MAX('Core Loads'!N$592*Elec_exstg_kWh_per_kWh_campus+'Core Loads'!N$612*Process_exstg_kWh_per_lb_campus+'Core Loads'!N$632*Htg_exstg_kWh_per_MMBtu_campus+MAX('Core Loads'!N$652-AbsChillerLoad,0)*Clg_exstg_kWh_per_ton_campus-CogenElecOutputExstg,0)</f>
        <v>0</v>
      </c>
      <c r="P252" s="21">
        <f>MAX('Core Loads'!O$592*Elec_exstg_kWh_per_kWh_campus+'Core Loads'!O$612*Process_exstg_kWh_per_lb_campus+'Core Loads'!O$632*Htg_exstg_kWh_per_MMBtu_campus+MAX('Core Loads'!O$652-AbsChillerLoad,0)*Clg_exstg_kWh_per_ton_campus-CogenElecOutputExstg,0)</f>
        <v>0</v>
      </c>
      <c r="Q252" s="21">
        <f>MAX('Core Loads'!P$592*Elec_exstg_kWh_per_kWh_campus+'Core Loads'!P$612*Process_exstg_kWh_per_lb_campus+'Core Loads'!P$632*Htg_exstg_kWh_per_MMBtu_campus+MAX('Core Loads'!P$652-AbsChillerLoad,0)*Clg_exstg_kWh_per_ton_campus-CogenElecOutputExstg,0)</f>
        <v>0</v>
      </c>
      <c r="R252" s="21">
        <f>MAX('Core Loads'!Q$592*Elec_exstg_kWh_per_kWh_campus+'Core Loads'!Q$612*Process_exstg_kWh_per_lb_campus+'Core Loads'!Q$632*Htg_exstg_kWh_per_MMBtu_campus+MAX('Core Loads'!Q$652-AbsChillerLoad,0)*Clg_exstg_kWh_per_ton_campus-CogenElecOutputExstg,0)</f>
        <v>0</v>
      </c>
      <c r="S252" s="21">
        <f>MAX('Core Loads'!R$592*Elec_exstg_kWh_per_kWh_campus+'Core Loads'!R$612*Process_exstg_kWh_per_lb_campus+'Core Loads'!R$632*Htg_exstg_kWh_per_MMBtu_campus+MAX('Core Loads'!R$652-AbsChillerLoad,0)*Clg_exstg_kWh_per_ton_campus-CogenElecOutputExstg,0)</f>
        <v>0</v>
      </c>
      <c r="T252" s="21">
        <f>MAX('Core Loads'!S$592*Elec_exstg_kWh_per_kWh_campus+'Core Loads'!S$612*Process_exstg_kWh_per_lb_campus+'Core Loads'!S$632*Htg_exstg_kWh_per_MMBtu_campus+MAX('Core Loads'!S$652-AbsChillerLoad,0)*Clg_exstg_kWh_per_ton_campus-CogenElecOutputExstg,0)</f>
        <v>0</v>
      </c>
      <c r="U252" s="21">
        <f>MAX('Core Loads'!T$592*Elec_exstg_kWh_per_kWh_campus+'Core Loads'!T$612*Process_exstg_kWh_per_lb_campus+'Core Loads'!T$632*Htg_exstg_kWh_per_MMBtu_campus+MAX('Core Loads'!T$652-AbsChillerLoad,0)*Clg_exstg_kWh_per_ton_campus-CogenElecOutputExstg,0)</f>
        <v>0</v>
      </c>
      <c r="V252" s="21">
        <f>MAX('Core Loads'!U$592*Elec_exstg_kWh_per_kWh_campus+'Core Loads'!U$612*Process_exstg_kWh_per_lb_campus+'Core Loads'!U$632*Htg_exstg_kWh_per_MMBtu_campus+MAX('Core Loads'!U$652-AbsChillerLoad,0)*Clg_exstg_kWh_per_ton_campus-CogenElecOutputExstg,0)</f>
        <v>0</v>
      </c>
      <c r="W252" s="21">
        <f>MAX('Core Loads'!V$592*Elec_exstg_kWh_per_kWh_campus+'Core Loads'!V$612*Process_exstg_kWh_per_lb_campus+'Core Loads'!V$632*Htg_exstg_kWh_per_MMBtu_campus+MAX('Core Loads'!V$652-AbsChillerLoad,0)*Clg_exstg_kWh_per_ton_campus-CogenElecOutputExstg,0)</f>
        <v>0</v>
      </c>
      <c r="X252" s="21">
        <f>MAX('Core Loads'!W$592*Elec_exstg_kWh_per_kWh_campus+'Core Loads'!W$612*Process_exstg_kWh_per_lb_campus+'Core Loads'!W$632*Htg_exstg_kWh_per_MMBtu_campus+MAX('Core Loads'!W$652-AbsChillerLoad,0)*Clg_exstg_kWh_per_ton_campus-CogenElecOutputExstg,0)</f>
        <v>0</v>
      </c>
      <c r="Y252" s="21">
        <f>MAX('Core Loads'!X$592*Elec_exstg_kWh_per_kWh_campus+'Core Loads'!X$612*Process_exstg_kWh_per_lb_campus+'Core Loads'!X$632*Htg_exstg_kWh_per_MMBtu_campus+MAX('Core Loads'!X$652-AbsChillerLoad,0)*Clg_exstg_kWh_per_ton_campus-CogenElecOutputExstg,0)</f>
        <v>0</v>
      </c>
      <c r="Z252" s="21">
        <f>MAX('Core Loads'!Y$592*Elec_exstg_kWh_per_kWh_campus+'Core Loads'!Y$612*Process_exstg_kWh_per_lb_campus+'Core Loads'!Y$632*Htg_exstg_kWh_per_MMBtu_campus+MAX('Core Loads'!Y$652-AbsChillerLoad,0)*Clg_exstg_kWh_per_ton_campus-CogenElecOutputExstg,0)</f>
        <v>0</v>
      </c>
      <c r="AA252" s="21">
        <f>MAX('Core Loads'!Z$592*Elec_exstg_kWh_per_kWh_campus+'Core Loads'!Z$612*Process_exstg_kWh_per_lb_campus+'Core Loads'!Z$632*Htg_exstg_kWh_per_MMBtu_campus+MAX('Core Loads'!Z$652-AbsChillerLoad,0)*Clg_exstg_kWh_per_ton_campus-CogenElecOutputExstg,0)</f>
        <v>0</v>
      </c>
      <c r="AB252" s="21">
        <f>MAX('Core Loads'!AA$592*Elec_exstg_kWh_per_kWh_campus+'Core Loads'!AA$612*Process_exstg_kWh_per_lb_campus+'Core Loads'!AA$632*Htg_exstg_kWh_per_MMBtu_campus+MAX('Core Loads'!AA$652-AbsChillerLoad,0)*Clg_exstg_kWh_per_ton_campus-CogenElecOutputExstg,0)</f>
        <v>0</v>
      </c>
      <c r="AC252" s="21">
        <f>MAX('Core Loads'!AB$592*Elec_exstg_kWh_per_kWh_campus+'Core Loads'!AB$612*Process_exstg_kWh_per_lb_campus+'Core Loads'!AB$632*Htg_exstg_kWh_per_MMBtu_campus+MAX('Core Loads'!AB$652-AbsChillerLoad,0)*Clg_exstg_kWh_per_ton_campus-CogenElecOutputExstg,0)</f>
        <v>0</v>
      </c>
      <c r="AD252" s="21">
        <f>MAX('Core Loads'!AC$592*Elec_exstg_kWh_per_kWh_campus+'Core Loads'!AC$612*Process_exstg_kWh_per_lb_campus+'Core Loads'!AC$632*Htg_exstg_kWh_per_MMBtu_campus+MAX('Core Loads'!AC$652-AbsChillerLoad,0)*Clg_exstg_kWh_per_ton_campus-CogenElecOutputExstg,0)</f>
        <v>0</v>
      </c>
      <c r="AE252" s="21">
        <f>MAX('Core Loads'!AD$592*Elec_exstg_kWh_per_kWh_campus+'Core Loads'!AD$612*Process_exstg_kWh_per_lb_campus+'Core Loads'!AD$632*Htg_exstg_kWh_per_MMBtu_campus+MAX('Core Loads'!AD$652-AbsChillerLoad,0)*Clg_exstg_kWh_per_ton_campus-CogenElecOutputExstg,0)</f>
        <v>0</v>
      </c>
      <c r="AF252" s="21">
        <f>MAX('Core Loads'!AE$592*Elec_exstg_kWh_per_kWh_campus+'Core Loads'!AE$612*Process_exstg_kWh_per_lb_campus+'Core Loads'!AE$632*Htg_exstg_kWh_per_MMBtu_campus+MAX('Core Loads'!AE$652-AbsChillerLoad,0)*Clg_exstg_kWh_per_ton_campus-CogenElecOutputExstg,0)</f>
        <v>0</v>
      </c>
      <c r="AG252" s="21">
        <f>MAX('Core Loads'!AF$592*Elec_exstg_kWh_per_kWh_campus+'Core Loads'!AF$612*Process_exstg_kWh_per_lb_campus+'Core Loads'!AF$632*Htg_exstg_kWh_per_MMBtu_campus+MAX('Core Loads'!AF$652-AbsChillerLoad,0)*Clg_exstg_kWh_per_ton_campus-CogenElecOutputExstg,0)</f>
        <v>0</v>
      </c>
      <c r="AH252"/>
      <c r="AI252" s="23" t="s">
        <v>293</v>
      </c>
    </row>
    <row r="253" spans="2:35" s="1" customFormat="1" hidden="1" outlineLevel="1" x14ac:dyDescent="0.25">
      <c r="B253" t="s">
        <v>136</v>
      </c>
      <c r="C253" t="s">
        <v>169</v>
      </c>
      <c r="D253" s="21">
        <f>'Core Loads'!C$612*Process_exstg_therm_per_lb_campus+'Core Loads'!C$632*Htg_exstg_therm_per_MMBtu_campus+MIN('Core Loads'!C$652,AbsChillerLoad)*Clg_exstg_therm_per_ton_campus</f>
        <v>31258877.283118241</v>
      </c>
      <c r="E253" s="21">
        <f>'Core Loads'!D$612*Process_exstg_therm_per_lb_campus+'Core Loads'!D$632*Htg_exstg_therm_per_MMBtu_campus+MIN('Core Loads'!D$652,AbsChillerLoad)*Clg_exstg_therm_per_ton_campus</f>
        <v>31258877.283118241</v>
      </c>
      <c r="F253" s="21">
        <f>'Core Loads'!E$612*Process_exstg_therm_per_lb_campus+'Core Loads'!E$632*Htg_exstg_therm_per_MMBtu_campus+MIN('Core Loads'!E$652,AbsChillerLoad)*Clg_exstg_therm_per_ton_campus</f>
        <v>0</v>
      </c>
      <c r="G253" s="21">
        <f>'Core Loads'!F$612*Process_exstg_therm_per_lb_campus+'Core Loads'!F$632*Htg_exstg_therm_per_MMBtu_campus+MIN('Core Loads'!F$652,AbsChillerLoad)*Clg_exstg_therm_per_ton_campus</f>
        <v>0</v>
      </c>
      <c r="H253" s="21">
        <f>'Core Loads'!G$612*Process_exstg_therm_per_lb_campus+'Core Loads'!G$632*Htg_exstg_therm_per_MMBtu_campus+MIN('Core Loads'!G$652,AbsChillerLoad)*Clg_exstg_therm_per_ton_campus</f>
        <v>0</v>
      </c>
      <c r="I253" s="21">
        <f>'Core Loads'!H$612*Process_exstg_therm_per_lb_campus+'Core Loads'!H$632*Htg_exstg_therm_per_MMBtu_campus+MIN('Core Loads'!H$652,AbsChillerLoad)*Clg_exstg_therm_per_ton_campus</f>
        <v>0</v>
      </c>
      <c r="J253" s="21">
        <f>'Core Loads'!I$612*Process_exstg_therm_per_lb_campus+'Core Loads'!I$632*Htg_exstg_therm_per_MMBtu_campus+MIN('Core Loads'!I$652,AbsChillerLoad)*Clg_exstg_therm_per_ton_campus</f>
        <v>0</v>
      </c>
      <c r="K253" s="21">
        <f>'Core Loads'!J$612*Process_exstg_therm_per_lb_campus+'Core Loads'!J$632*Htg_exstg_therm_per_MMBtu_campus+MIN('Core Loads'!J$652,AbsChillerLoad)*Clg_exstg_therm_per_ton_campus</f>
        <v>0</v>
      </c>
      <c r="L253" s="21">
        <f>'Core Loads'!K$612*Process_exstg_therm_per_lb_campus+'Core Loads'!K$632*Htg_exstg_therm_per_MMBtu_campus+MIN('Core Loads'!K$652,AbsChillerLoad)*Clg_exstg_therm_per_ton_campus</f>
        <v>0</v>
      </c>
      <c r="M253" s="21">
        <f>'Core Loads'!L$612*Process_exstg_therm_per_lb_campus+'Core Loads'!L$632*Htg_exstg_therm_per_MMBtu_campus+MIN('Core Loads'!L$652,AbsChillerLoad)*Clg_exstg_therm_per_ton_campus</f>
        <v>0</v>
      </c>
      <c r="N253" s="21">
        <f>'Core Loads'!M$612*Process_exstg_therm_per_lb_campus+'Core Loads'!M$632*Htg_exstg_therm_per_MMBtu_campus+MIN('Core Loads'!M$652,AbsChillerLoad)*Clg_exstg_therm_per_ton_campus</f>
        <v>0</v>
      </c>
      <c r="O253" s="21">
        <f>'Core Loads'!N$612*Process_exstg_therm_per_lb_campus+'Core Loads'!N$632*Htg_exstg_therm_per_MMBtu_campus+MIN('Core Loads'!N$652,AbsChillerLoad)*Clg_exstg_therm_per_ton_campus</f>
        <v>0</v>
      </c>
      <c r="P253" s="21">
        <f>'Core Loads'!O$612*Process_exstg_therm_per_lb_campus+'Core Loads'!O$632*Htg_exstg_therm_per_MMBtu_campus+MIN('Core Loads'!O$652,AbsChillerLoad)*Clg_exstg_therm_per_ton_campus</f>
        <v>0</v>
      </c>
      <c r="Q253" s="21">
        <f>'Core Loads'!P$612*Process_exstg_therm_per_lb_campus+'Core Loads'!P$632*Htg_exstg_therm_per_MMBtu_campus+MIN('Core Loads'!P$652,AbsChillerLoad)*Clg_exstg_therm_per_ton_campus</f>
        <v>0</v>
      </c>
      <c r="R253" s="21">
        <f>'Core Loads'!Q$612*Process_exstg_therm_per_lb_campus+'Core Loads'!Q$632*Htg_exstg_therm_per_MMBtu_campus+MIN('Core Loads'!Q$652,AbsChillerLoad)*Clg_exstg_therm_per_ton_campus</f>
        <v>0</v>
      </c>
      <c r="S253" s="21">
        <f>'Core Loads'!R$612*Process_exstg_therm_per_lb_campus+'Core Loads'!R$632*Htg_exstg_therm_per_MMBtu_campus+MIN('Core Loads'!R$652,AbsChillerLoad)*Clg_exstg_therm_per_ton_campus</f>
        <v>0</v>
      </c>
      <c r="T253" s="21">
        <f>'Core Loads'!S$612*Process_exstg_therm_per_lb_campus+'Core Loads'!S$632*Htg_exstg_therm_per_MMBtu_campus+MIN('Core Loads'!S$652,AbsChillerLoad)*Clg_exstg_therm_per_ton_campus</f>
        <v>0</v>
      </c>
      <c r="U253" s="21">
        <f>'Core Loads'!T$612*Process_exstg_therm_per_lb_campus+'Core Loads'!T$632*Htg_exstg_therm_per_MMBtu_campus+MIN('Core Loads'!T$652,AbsChillerLoad)*Clg_exstg_therm_per_ton_campus</f>
        <v>0</v>
      </c>
      <c r="V253" s="21">
        <f>'Core Loads'!U$612*Process_exstg_therm_per_lb_campus+'Core Loads'!U$632*Htg_exstg_therm_per_MMBtu_campus+MIN('Core Loads'!U$652,AbsChillerLoad)*Clg_exstg_therm_per_ton_campus</f>
        <v>0</v>
      </c>
      <c r="W253" s="21">
        <f>'Core Loads'!V$612*Process_exstg_therm_per_lb_campus+'Core Loads'!V$632*Htg_exstg_therm_per_MMBtu_campus+MIN('Core Loads'!V$652,AbsChillerLoad)*Clg_exstg_therm_per_ton_campus</f>
        <v>0</v>
      </c>
      <c r="X253" s="21">
        <f>'Core Loads'!W$612*Process_exstg_therm_per_lb_campus+'Core Loads'!W$632*Htg_exstg_therm_per_MMBtu_campus+MIN('Core Loads'!W$652,AbsChillerLoad)*Clg_exstg_therm_per_ton_campus</f>
        <v>0</v>
      </c>
      <c r="Y253" s="21">
        <f>'Core Loads'!X$612*Process_exstg_therm_per_lb_campus+'Core Loads'!X$632*Htg_exstg_therm_per_MMBtu_campus+MIN('Core Loads'!X$652,AbsChillerLoad)*Clg_exstg_therm_per_ton_campus</f>
        <v>0</v>
      </c>
      <c r="Z253" s="21">
        <f>'Core Loads'!Y$612*Process_exstg_therm_per_lb_campus+'Core Loads'!Y$632*Htg_exstg_therm_per_MMBtu_campus+MIN('Core Loads'!Y$652,AbsChillerLoad)*Clg_exstg_therm_per_ton_campus</f>
        <v>0</v>
      </c>
      <c r="AA253" s="21">
        <f>'Core Loads'!Z$612*Process_exstg_therm_per_lb_campus+'Core Loads'!Z$632*Htg_exstg_therm_per_MMBtu_campus+MIN('Core Loads'!Z$652,AbsChillerLoad)*Clg_exstg_therm_per_ton_campus</f>
        <v>0</v>
      </c>
      <c r="AB253" s="21">
        <f>'Core Loads'!AA$612*Process_exstg_therm_per_lb_campus+'Core Loads'!AA$632*Htg_exstg_therm_per_MMBtu_campus+MIN('Core Loads'!AA$652,AbsChillerLoad)*Clg_exstg_therm_per_ton_campus</f>
        <v>0</v>
      </c>
      <c r="AC253" s="21">
        <f>'Core Loads'!AB$612*Process_exstg_therm_per_lb_campus+'Core Loads'!AB$632*Htg_exstg_therm_per_MMBtu_campus+MIN('Core Loads'!AB$652,AbsChillerLoad)*Clg_exstg_therm_per_ton_campus</f>
        <v>0</v>
      </c>
      <c r="AD253" s="21">
        <f>'Core Loads'!AC$612*Process_exstg_therm_per_lb_campus+'Core Loads'!AC$632*Htg_exstg_therm_per_MMBtu_campus+MIN('Core Loads'!AC$652,AbsChillerLoad)*Clg_exstg_therm_per_ton_campus</f>
        <v>0</v>
      </c>
      <c r="AE253" s="21">
        <f>'Core Loads'!AD$612*Process_exstg_therm_per_lb_campus+'Core Loads'!AD$632*Htg_exstg_therm_per_MMBtu_campus+MIN('Core Loads'!AD$652,AbsChillerLoad)*Clg_exstg_therm_per_ton_campus</f>
        <v>0</v>
      </c>
      <c r="AF253" s="21">
        <f>'Core Loads'!AE$612*Process_exstg_therm_per_lb_campus+'Core Loads'!AE$632*Htg_exstg_therm_per_MMBtu_campus+MIN('Core Loads'!AE$652,AbsChillerLoad)*Clg_exstg_therm_per_ton_campus</f>
        <v>0</v>
      </c>
      <c r="AG253" s="21">
        <f>'Core Loads'!AF$612*Process_exstg_therm_per_lb_campus+'Core Loads'!AF$632*Htg_exstg_therm_per_MMBtu_campus+MIN('Core Loads'!AF$652,AbsChillerLoad)*Clg_exstg_therm_per_ton_campus</f>
        <v>0</v>
      </c>
      <c r="AH253"/>
      <c r="AI253" s="23" t="s">
        <v>293</v>
      </c>
    </row>
    <row r="254" spans="2:35" s="1" customFormat="1" hidden="1" outlineLevel="1" x14ac:dyDescent="0.25">
      <c r="B254" t="s">
        <v>154</v>
      </c>
      <c r="C254" t="s">
        <v>170</v>
      </c>
      <c r="D254" s="21">
        <f>'Core Loads'!C$612*Process_exstg_CCF_per_lb_campus+'Core Loads'!C$632*Htg_exstg_CCF_per_MMBtu_campus+'Core Loads'!C$652*Clg_exstg_CCF_per_ton_campus</f>
        <v>278436.87957137165</v>
      </c>
      <c r="E254" s="21">
        <f>'Core Loads'!D$612*Process_exstg_CCF_per_lb_campus+'Core Loads'!D$632*Htg_exstg_CCF_per_MMBtu_campus+'Core Loads'!D$652*Clg_exstg_CCF_per_ton_campus</f>
        <v>297204.70349500491</v>
      </c>
      <c r="F254" s="21">
        <f>'Core Loads'!E$612*Process_exstg_CCF_per_lb_campus+'Core Loads'!E$632*Htg_exstg_CCF_per_MMBtu_campus+'Core Loads'!E$652*Clg_exstg_CCF_per_ton_campus</f>
        <v>0</v>
      </c>
      <c r="G254" s="21">
        <f>'Core Loads'!F$612*Process_exstg_CCF_per_lb_campus+'Core Loads'!F$632*Htg_exstg_CCF_per_MMBtu_campus+'Core Loads'!F$652*Clg_exstg_CCF_per_ton_campus</f>
        <v>0</v>
      </c>
      <c r="H254" s="21">
        <f>'Core Loads'!G$612*Process_exstg_CCF_per_lb_campus+'Core Loads'!G$632*Htg_exstg_CCF_per_MMBtu_campus+'Core Loads'!G$652*Clg_exstg_CCF_per_ton_campus</f>
        <v>0</v>
      </c>
      <c r="I254" s="21">
        <f>'Core Loads'!H$612*Process_exstg_CCF_per_lb_campus+'Core Loads'!H$632*Htg_exstg_CCF_per_MMBtu_campus+'Core Loads'!H$652*Clg_exstg_CCF_per_ton_campus</f>
        <v>0</v>
      </c>
      <c r="J254" s="21">
        <f>'Core Loads'!I$612*Process_exstg_CCF_per_lb_campus+'Core Loads'!I$632*Htg_exstg_CCF_per_MMBtu_campus+'Core Loads'!I$652*Clg_exstg_CCF_per_ton_campus</f>
        <v>0</v>
      </c>
      <c r="K254" s="21">
        <f>'Core Loads'!J$612*Process_exstg_CCF_per_lb_campus+'Core Loads'!J$632*Htg_exstg_CCF_per_MMBtu_campus+'Core Loads'!J$652*Clg_exstg_CCF_per_ton_campus</f>
        <v>0</v>
      </c>
      <c r="L254" s="21">
        <f>'Core Loads'!K$612*Process_exstg_CCF_per_lb_campus+'Core Loads'!K$632*Htg_exstg_CCF_per_MMBtu_campus+'Core Loads'!K$652*Clg_exstg_CCF_per_ton_campus</f>
        <v>0</v>
      </c>
      <c r="M254" s="21">
        <f>'Core Loads'!L$612*Process_exstg_CCF_per_lb_campus+'Core Loads'!L$632*Htg_exstg_CCF_per_MMBtu_campus+'Core Loads'!L$652*Clg_exstg_CCF_per_ton_campus</f>
        <v>0</v>
      </c>
      <c r="N254" s="21">
        <f>'Core Loads'!M$612*Process_exstg_CCF_per_lb_campus+'Core Loads'!M$632*Htg_exstg_CCF_per_MMBtu_campus+'Core Loads'!M$652*Clg_exstg_CCF_per_ton_campus</f>
        <v>0</v>
      </c>
      <c r="O254" s="21">
        <f>'Core Loads'!N$612*Process_exstg_CCF_per_lb_campus+'Core Loads'!N$632*Htg_exstg_CCF_per_MMBtu_campus+'Core Loads'!N$652*Clg_exstg_CCF_per_ton_campus</f>
        <v>0</v>
      </c>
      <c r="P254" s="21">
        <f>'Core Loads'!O$612*Process_exstg_CCF_per_lb_campus+'Core Loads'!O$632*Htg_exstg_CCF_per_MMBtu_campus+'Core Loads'!O$652*Clg_exstg_CCF_per_ton_campus</f>
        <v>0</v>
      </c>
      <c r="Q254" s="21">
        <f>'Core Loads'!P$612*Process_exstg_CCF_per_lb_campus+'Core Loads'!P$632*Htg_exstg_CCF_per_MMBtu_campus+'Core Loads'!P$652*Clg_exstg_CCF_per_ton_campus</f>
        <v>0</v>
      </c>
      <c r="R254" s="21">
        <f>'Core Loads'!Q$612*Process_exstg_CCF_per_lb_campus+'Core Loads'!Q$632*Htg_exstg_CCF_per_MMBtu_campus+'Core Loads'!Q$652*Clg_exstg_CCF_per_ton_campus</f>
        <v>0</v>
      </c>
      <c r="S254" s="21">
        <f>'Core Loads'!R$612*Process_exstg_CCF_per_lb_campus+'Core Loads'!R$632*Htg_exstg_CCF_per_MMBtu_campus+'Core Loads'!R$652*Clg_exstg_CCF_per_ton_campus</f>
        <v>0</v>
      </c>
      <c r="T254" s="21">
        <f>'Core Loads'!S$612*Process_exstg_CCF_per_lb_campus+'Core Loads'!S$632*Htg_exstg_CCF_per_MMBtu_campus+'Core Loads'!S$652*Clg_exstg_CCF_per_ton_campus</f>
        <v>0</v>
      </c>
      <c r="U254" s="21">
        <f>'Core Loads'!T$612*Process_exstg_CCF_per_lb_campus+'Core Loads'!T$632*Htg_exstg_CCF_per_MMBtu_campus+'Core Loads'!T$652*Clg_exstg_CCF_per_ton_campus</f>
        <v>0</v>
      </c>
      <c r="V254" s="21">
        <f>'Core Loads'!U$612*Process_exstg_CCF_per_lb_campus+'Core Loads'!U$632*Htg_exstg_CCF_per_MMBtu_campus+'Core Loads'!U$652*Clg_exstg_CCF_per_ton_campus</f>
        <v>0</v>
      </c>
      <c r="W254" s="21">
        <f>'Core Loads'!V$612*Process_exstg_CCF_per_lb_campus+'Core Loads'!V$632*Htg_exstg_CCF_per_MMBtu_campus+'Core Loads'!V$652*Clg_exstg_CCF_per_ton_campus</f>
        <v>0</v>
      </c>
      <c r="X254" s="21">
        <f>'Core Loads'!W$612*Process_exstg_CCF_per_lb_campus+'Core Loads'!W$632*Htg_exstg_CCF_per_MMBtu_campus+'Core Loads'!W$652*Clg_exstg_CCF_per_ton_campus</f>
        <v>0</v>
      </c>
      <c r="Y254" s="21">
        <f>'Core Loads'!X$612*Process_exstg_CCF_per_lb_campus+'Core Loads'!X$632*Htg_exstg_CCF_per_MMBtu_campus+'Core Loads'!X$652*Clg_exstg_CCF_per_ton_campus</f>
        <v>0</v>
      </c>
      <c r="Z254" s="21">
        <f>'Core Loads'!Y$612*Process_exstg_CCF_per_lb_campus+'Core Loads'!Y$632*Htg_exstg_CCF_per_MMBtu_campus+'Core Loads'!Y$652*Clg_exstg_CCF_per_ton_campus</f>
        <v>0</v>
      </c>
      <c r="AA254" s="21">
        <f>'Core Loads'!Z$612*Process_exstg_CCF_per_lb_campus+'Core Loads'!Z$632*Htg_exstg_CCF_per_MMBtu_campus+'Core Loads'!Z$652*Clg_exstg_CCF_per_ton_campus</f>
        <v>0</v>
      </c>
      <c r="AB254" s="21">
        <f>'Core Loads'!AA$612*Process_exstg_CCF_per_lb_campus+'Core Loads'!AA$632*Htg_exstg_CCF_per_MMBtu_campus+'Core Loads'!AA$652*Clg_exstg_CCF_per_ton_campus</f>
        <v>0</v>
      </c>
      <c r="AC254" s="21">
        <f>'Core Loads'!AB$612*Process_exstg_CCF_per_lb_campus+'Core Loads'!AB$632*Htg_exstg_CCF_per_MMBtu_campus+'Core Loads'!AB$652*Clg_exstg_CCF_per_ton_campus</f>
        <v>0</v>
      </c>
      <c r="AD254" s="21">
        <f>'Core Loads'!AC$612*Process_exstg_CCF_per_lb_campus+'Core Loads'!AC$632*Htg_exstg_CCF_per_MMBtu_campus+'Core Loads'!AC$652*Clg_exstg_CCF_per_ton_campus</f>
        <v>0</v>
      </c>
      <c r="AE254" s="21">
        <f>'Core Loads'!AD$612*Process_exstg_CCF_per_lb_campus+'Core Loads'!AD$632*Htg_exstg_CCF_per_MMBtu_campus+'Core Loads'!AD$652*Clg_exstg_CCF_per_ton_campus</f>
        <v>0</v>
      </c>
      <c r="AF254" s="21">
        <f>'Core Loads'!AE$612*Process_exstg_CCF_per_lb_campus+'Core Loads'!AE$632*Htg_exstg_CCF_per_MMBtu_campus+'Core Loads'!AE$652*Clg_exstg_CCF_per_ton_campus</f>
        <v>0</v>
      </c>
      <c r="AG254" s="21">
        <f>'Core Loads'!AF$612*Process_exstg_CCF_per_lb_campus+'Core Loads'!AF$632*Htg_exstg_CCF_per_MMBtu_campus+'Core Loads'!AF$652*Clg_exstg_CCF_per_ton_campus</f>
        <v>0</v>
      </c>
      <c r="AH254"/>
      <c r="AI254" s="23" t="s">
        <v>293</v>
      </c>
    </row>
    <row r="255" spans="2:35" hidden="1" outlineLevel="1" x14ac:dyDescent="0.25"/>
    <row r="256" spans="2:35" s="1" customFormat="1" ht="17.25" hidden="1" outlineLevel="1" thickBot="1" x14ac:dyDescent="0.3">
      <c r="B256" s="19" t="s">
        <v>280</v>
      </c>
      <c r="C256" s="19"/>
      <c r="D256" s="19"/>
      <c r="E256" s="67"/>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row>
    <row r="257" spans="2:35" s="1" customFormat="1" ht="16.5" hidden="1" outlineLevel="1" thickTop="1" thickBot="1" x14ac:dyDescent="0.3">
      <c r="B257" s="20" t="s">
        <v>292</v>
      </c>
      <c r="C257" s="20" t="s">
        <v>13</v>
      </c>
      <c r="D257" s="20" t="s">
        <v>17</v>
      </c>
      <c r="E257" s="68"/>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t="s">
        <v>15</v>
      </c>
    </row>
    <row r="258" spans="2:35" hidden="1" outlineLevel="1" x14ac:dyDescent="0.25">
      <c r="D258" s="8">
        <f>'Core Loads'!$C$14</f>
        <v>2025</v>
      </c>
      <c r="E258" s="62">
        <f>'Core Loads'!$D$14</f>
        <v>2026</v>
      </c>
      <c r="F258" s="8">
        <f>'Core Loads'!$E$14</f>
        <v>2027</v>
      </c>
      <c r="G258" s="8">
        <f>'Core Loads'!$F$14</f>
        <v>2028</v>
      </c>
      <c r="H258" s="8">
        <f>'Core Loads'!$G$14</f>
        <v>2029</v>
      </c>
      <c r="I258" s="8">
        <f>'Core Loads'!$H$14</f>
        <v>2030</v>
      </c>
      <c r="J258" s="8">
        <f>'Core Loads'!$I$14</f>
        <v>2031</v>
      </c>
      <c r="K258" s="8">
        <f>'Core Loads'!$J$14</f>
        <v>2032</v>
      </c>
      <c r="L258" s="8">
        <f>'Core Loads'!$K$14</f>
        <v>2033</v>
      </c>
      <c r="M258" s="8">
        <f>'Core Loads'!$L$14</f>
        <v>2034</v>
      </c>
      <c r="N258" s="8">
        <f>'Core Loads'!$M$14</f>
        <v>2035</v>
      </c>
      <c r="O258" s="8">
        <f>'Core Loads'!$N$14</f>
        <v>2036</v>
      </c>
      <c r="P258" s="8">
        <f>'Core Loads'!$O$14</f>
        <v>2037</v>
      </c>
      <c r="Q258" s="8">
        <f>'Core Loads'!$P$14</f>
        <v>2038</v>
      </c>
      <c r="R258" s="8">
        <f>'Core Loads'!$Q$14</f>
        <v>2039</v>
      </c>
      <c r="S258" s="8">
        <f>'Core Loads'!$R$14</f>
        <v>2040</v>
      </c>
      <c r="T258" s="8">
        <f>'Core Loads'!$S$14</f>
        <v>2041</v>
      </c>
      <c r="U258" s="8">
        <f>'Core Loads'!$T$14</f>
        <v>2042</v>
      </c>
      <c r="V258" s="8">
        <f>'Core Loads'!$U$14</f>
        <v>2043</v>
      </c>
      <c r="W258" s="8">
        <f>'Core Loads'!$V$14</f>
        <v>2044</v>
      </c>
      <c r="X258" s="8">
        <f>'Core Loads'!$W$14</f>
        <v>2045</v>
      </c>
      <c r="Y258" s="8">
        <f>'Core Loads'!$X$14</f>
        <v>2046</v>
      </c>
      <c r="Z258" s="8">
        <f>'Core Loads'!$Y$14</f>
        <v>2047</v>
      </c>
      <c r="AA258" s="8">
        <f>'Core Loads'!$Z$14</f>
        <v>2048</v>
      </c>
      <c r="AB258" s="8">
        <f>'Core Loads'!$AA$14</f>
        <v>2049</v>
      </c>
      <c r="AC258" s="8">
        <f>'Core Loads'!$AB$14</f>
        <v>2050</v>
      </c>
      <c r="AD258" s="8">
        <f>'Core Loads'!$AC$14</f>
        <v>2051</v>
      </c>
      <c r="AE258" s="8">
        <f>'Core Loads'!$AD$14</f>
        <v>2052</v>
      </c>
      <c r="AF258" s="8">
        <f>'Core Loads'!$AE$14</f>
        <v>2053</v>
      </c>
      <c r="AG258" s="8">
        <f>'Core Loads'!$AF$14</f>
        <v>2054</v>
      </c>
    </row>
    <row r="259" spans="2:35" s="1" customFormat="1" hidden="1" outlineLevel="1" x14ac:dyDescent="0.25">
      <c r="B259" t="s">
        <v>141</v>
      </c>
      <c r="C259" t="s">
        <v>109</v>
      </c>
      <c r="D259" s="21">
        <f>SUM(D260:D264)</f>
        <v>0</v>
      </c>
      <c r="E259" s="21">
        <f t="shared" ref="E259:AG259" si="9">SUM(E260:E264)</f>
        <v>0</v>
      </c>
      <c r="F259" s="21">
        <f t="shared" si="9"/>
        <v>226071828.52306879</v>
      </c>
      <c r="G259" s="21">
        <f t="shared" si="9"/>
        <v>239769654.17453831</v>
      </c>
      <c r="H259" s="21">
        <f t="shared" si="9"/>
        <v>239769654.17453831</v>
      </c>
      <c r="I259" s="21">
        <f t="shared" si="9"/>
        <v>243575227.44877559</v>
      </c>
      <c r="J259" s="21">
        <f t="shared" si="9"/>
        <v>243575227.44877559</v>
      </c>
      <c r="K259" s="21">
        <f t="shared" si="9"/>
        <v>230569005.56431952</v>
      </c>
      <c r="L259" s="21">
        <f t="shared" si="9"/>
        <v>230569005.56431952</v>
      </c>
      <c r="M259" s="21">
        <f t="shared" si="9"/>
        <v>233025410.55370659</v>
      </c>
      <c r="N259" s="21">
        <f t="shared" si="9"/>
        <v>233025410.55370659</v>
      </c>
      <c r="O259" s="21">
        <f t="shared" si="9"/>
        <v>230656887.80436453</v>
      </c>
      <c r="P259" s="21">
        <f t="shared" si="9"/>
        <v>230656887.80436453</v>
      </c>
      <c r="Q259" s="21">
        <f t="shared" si="9"/>
        <v>230089670.12696138</v>
      </c>
      <c r="R259" s="21">
        <f t="shared" si="9"/>
        <v>230089670.12696138</v>
      </c>
      <c r="S259" s="21">
        <f t="shared" si="9"/>
        <v>263403700.68009204</v>
      </c>
      <c r="T259" s="21">
        <f t="shared" si="9"/>
        <v>263403700.68009204</v>
      </c>
      <c r="U259" s="21">
        <f t="shared" si="9"/>
        <v>263792946.31438899</v>
      </c>
      <c r="V259" s="21">
        <f t="shared" si="9"/>
        <v>263792946.31438899</v>
      </c>
      <c r="W259" s="21">
        <f t="shared" si="9"/>
        <v>263083686.96818683</v>
      </c>
      <c r="X259" s="21">
        <f t="shared" si="9"/>
        <v>263083686.96818683</v>
      </c>
      <c r="Y259" s="21">
        <f t="shared" si="9"/>
        <v>263083686.96818683</v>
      </c>
      <c r="Z259" s="21">
        <f t="shared" si="9"/>
        <v>263083686.96818683</v>
      </c>
      <c r="AA259" s="21">
        <f t="shared" si="9"/>
        <v>263083686.96818683</v>
      </c>
      <c r="AB259" s="21">
        <f t="shared" si="9"/>
        <v>263083686.96818683</v>
      </c>
      <c r="AC259" s="21">
        <f t="shared" si="9"/>
        <v>262832276.47282746</v>
      </c>
      <c r="AD259" s="21">
        <f t="shared" si="9"/>
        <v>262832276.47282746</v>
      </c>
      <c r="AE259" s="21">
        <f t="shared" si="9"/>
        <v>262832276.47282746</v>
      </c>
      <c r="AF259" s="21">
        <f t="shared" si="9"/>
        <v>262832276.47282746</v>
      </c>
      <c r="AG259" s="21">
        <f t="shared" si="9"/>
        <v>262832276.47282746</v>
      </c>
      <c r="AH259"/>
      <c r="AI259" s="23" t="s">
        <v>295</v>
      </c>
    </row>
    <row r="260" spans="2:35" s="1" customFormat="1" hidden="1" outlineLevel="1" x14ac:dyDescent="0.25">
      <c r="C260" s="31" t="s">
        <v>144</v>
      </c>
      <c r="D260" s="21">
        <f>'Core Loads'!C$596*Elec_12_kWh_per_kWh_biosciences+'Core Loads'!C$616*Process_12_kWh_per_lb_biosciences+'Core Loads'!C$636*Htg_12_kWh_per_MMBtu_biosciences+'Core Loads'!C$656*Clg_12_kWh_per_ton_biosciences</f>
        <v>0</v>
      </c>
      <c r="E260" s="21">
        <f>'Core Loads'!D$596*Elec_12_kWh_per_kWh_biosciences+'Core Loads'!D$616*Process_12_kWh_per_lb_biosciences+'Core Loads'!D$636*Htg_12_kWh_per_MMBtu_biosciences+'Core Loads'!D$656*Clg_12_kWh_per_ton_biosciences</f>
        <v>0</v>
      </c>
      <c r="F260" s="21">
        <f>'Core Loads'!E$596*Elec_12_kWh_per_kWh_biosciences+'Core Loads'!E$616*Process_12_kWh_per_lb_biosciences+'Core Loads'!E$636*Htg_12_kWh_per_MMBtu_biosciences+'Core Loads'!E$656*Clg_12_kWh_per_ton_biosciences</f>
        <v>104457198.80600055</v>
      </c>
      <c r="G260" s="21">
        <f>'Core Loads'!F$596*Elec_12_kWh_per_kWh_biosciences+'Core Loads'!F$616*Process_12_kWh_per_lb_biosciences+'Core Loads'!F$636*Htg_12_kWh_per_MMBtu_biosciences+'Core Loads'!F$656*Clg_12_kWh_per_ton_biosciences</f>
        <v>99730513.251413584</v>
      </c>
      <c r="H260" s="21">
        <f>'Core Loads'!G$596*Elec_12_kWh_per_kWh_biosciences+'Core Loads'!G$616*Process_12_kWh_per_lb_biosciences+'Core Loads'!G$636*Htg_12_kWh_per_MMBtu_biosciences+'Core Loads'!G$656*Clg_12_kWh_per_ton_biosciences</f>
        <v>99730513.251413584</v>
      </c>
      <c r="I260" s="21">
        <f>'Core Loads'!H$596*Elec_12_kWh_per_kWh_biosciences+'Core Loads'!H$616*Process_12_kWh_per_lb_biosciences+'Core Loads'!H$636*Htg_12_kWh_per_MMBtu_biosciences+'Core Loads'!H$656*Clg_12_kWh_per_ton_biosciences</f>
        <v>99685520.976412803</v>
      </c>
      <c r="J260" s="21">
        <f>'Core Loads'!I$596*Elec_12_kWh_per_kWh_biosciences+'Core Loads'!I$616*Process_12_kWh_per_lb_biosciences+'Core Loads'!I$636*Htg_12_kWh_per_MMBtu_biosciences+'Core Loads'!I$656*Clg_12_kWh_per_ton_biosciences</f>
        <v>99685520.976412803</v>
      </c>
      <c r="K260" s="21">
        <f>'Core Loads'!J$596*Elec_12_kWh_per_kWh_biosciences+'Core Loads'!J$616*Process_12_kWh_per_lb_biosciences+'Core Loads'!J$636*Htg_12_kWh_per_MMBtu_biosciences+'Core Loads'!J$656*Clg_12_kWh_per_ton_biosciences</f>
        <v>97501315.009749204</v>
      </c>
      <c r="L260" s="21">
        <f>'Core Loads'!K$596*Elec_12_kWh_per_kWh_biosciences+'Core Loads'!K$616*Process_12_kWh_per_lb_biosciences+'Core Loads'!K$636*Htg_12_kWh_per_MMBtu_biosciences+'Core Loads'!K$656*Clg_12_kWh_per_ton_biosciences</f>
        <v>97501315.009749204</v>
      </c>
      <c r="M260" s="21">
        <f>'Core Loads'!L$596*Elec_12_kWh_per_kWh_biosciences+'Core Loads'!L$616*Process_12_kWh_per_lb_biosciences+'Core Loads'!L$636*Htg_12_kWh_per_MMBtu_biosciences+'Core Loads'!L$656*Clg_12_kWh_per_ton_biosciences</f>
        <v>98096646.361740798</v>
      </c>
      <c r="N260" s="21">
        <f>'Core Loads'!M$596*Elec_12_kWh_per_kWh_biosciences+'Core Loads'!M$616*Process_12_kWh_per_lb_biosciences+'Core Loads'!M$636*Htg_12_kWh_per_MMBtu_biosciences+'Core Loads'!M$656*Clg_12_kWh_per_ton_biosciences</f>
        <v>98096646.361740798</v>
      </c>
      <c r="O260" s="21">
        <f>'Core Loads'!N$596*Elec_12_kWh_per_kWh_biosciences+'Core Loads'!N$616*Process_12_kWh_per_lb_biosciences+'Core Loads'!N$636*Htg_12_kWh_per_MMBtu_biosciences+'Core Loads'!N$656*Clg_12_kWh_per_ton_biosciences</f>
        <v>98096646.361740798</v>
      </c>
      <c r="P260" s="21">
        <f>'Core Loads'!O$596*Elec_12_kWh_per_kWh_biosciences+'Core Loads'!O$616*Process_12_kWh_per_lb_biosciences+'Core Loads'!O$636*Htg_12_kWh_per_MMBtu_biosciences+'Core Loads'!O$656*Clg_12_kWh_per_ton_biosciences</f>
        <v>98096646.361740798</v>
      </c>
      <c r="Q260" s="21">
        <f>'Core Loads'!P$596*Elec_12_kWh_per_kWh_biosciences+'Core Loads'!P$616*Process_12_kWh_per_lb_biosciences+'Core Loads'!P$636*Htg_12_kWh_per_MMBtu_biosciences+'Core Loads'!P$656*Clg_12_kWh_per_ton_biosciences</f>
        <v>98096646.361740798</v>
      </c>
      <c r="R260" s="21">
        <f>'Core Loads'!Q$596*Elec_12_kWh_per_kWh_biosciences+'Core Loads'!Q$616*Process_12_kWh_per_lb_biosciences+'Core Loads'!Q$636*Htg_12_kWh_per_MMBtu_biosciences+'Core Loads'!Q$656*Clg_12_kWh_per_ton_biosciences</f>
        <v>98096646.361740798</v>
      </c>
      <c r="S260" s="21">
        <f>'Core Loads'!R$596*Elec_12_kWh_per_kWh_biosciences+'Core Loads'!R$616*Process_12_kWh_per_lb_biosciences+'Core Loads'!R$636*Htg_12_kWh_per_MMBtu_biosciences+'Core Loads'!R$656*Clg_12_kWh_per_ton_biosciences</f>
        <v>98096646.361740798</v>
      </c>
      <c r="T260" s="21">
        <f>'Core Loads'!S$596*Elec_12_kWh_per_kWh_biosciences+'Core Loads'!S$616*Process_12_kWh_per_lb_biosciences+'Core Loads'!S$636*Htg_12_kWh_per_MMBtu_biosciences+'Core Loads'!S$656*Clg_12_kWh_per_ton_biosciences</f>
        <v>98096646.361740798</v>
      </c>
      <c r="U260" s="21">
        <f>'Core Loads'!T$596*Elec_12_kWh_per_kWh_biosciences+'Core Loads'!T$616*Process_12_kWh_per_lb_biosciences+'Core Loads'!T$636*Htg_12_kWh_per_MMBtu_biosciences+'Core Loads'!T$656*Clg_12_kWh_per_ton_biosciences</f>
        <v>98096646.361740798</v>
      </c>
      <c r="V260" s="21">
        <f>'Core Loads'!U$596*Elec_12_kWh_per_kWh_biosciences+'Core Loads'!U$616*Process_12_kWh_per_lb_biosciences+'Core Loads'!U$636*Htg_12_kWh_per_MMBtu_biosciences+'Core Loads'!U$656*Clg_12_kWh_per_ton_biosciences</f>
        <v>98096646.361740798</v>
      </c>
      <c r="W260" s="21">
        <f>'Core Loads'!V$596*Elec_12_kWh_per_kWh_biosciences+'Core Loads'!V$616*Process_12_kWh_per_lb_biosciences+'Core Loads'!V$636*Htg_12_kWh_per_MMBtu_biosciences+'Core Loads'!V$656*Clg_12_kWh_per_ton_biosciences</f>
        <v>98096646.361740798</v>
      </c>
      <c r="X260" s="21">
        <f>'Core Loads'!W$596*Elec_12_kWh_per_kWh_biosciences+'Core Loads'!W$616*Process_12_kWh_per_lb_biosciences+'Core Loads'!W$636*Htg_12_kWh_per_MMBtu_biosciences+'Core Loads'!W$656*Clg_12_kWh_per_ton_biosciences</f>
        <v>98096646.361740798</v>
      </c>
      <c r="Y260" s="21">
        <f>'Core Loads'!X$596*Elec_12_kWh_per_kWh_biosciences+'Core Loads'!X$616*Process_12_kWh_per_lb_biosciences+'Core Loads'!X$636*Htg_12_kWh_per_MMBtu_biosciences+'Core Loads'!X$656*Clg_12_kWh_per_ton_biosciences</f>
        <v>98096646.361740798</v>
      </c>
      <c r="Z260" s="21">
        <f>'Core Loads'!Y$596*Elec_12_kWh_per_kWh_biosciences+'Core Loads'!Y$616*Process_12_kWh_per_lb_biosciences+'Core Loads'!Y$636*Htg_12_kWh_per_MMBtu_biosciences+'Core Loads'!Y$656*Clg_12_kWh_per_ton_biosciences</f>
        <v>98096646.361740798</v>
      </c>
      <c r="AA260" s="21">
        <f>'Core Loads'!Z$596*Elec_12_kWh_per_kWh_biosciences+'Core Loads'!Z$616*Process_12_kWh_per_lb_biosciences+'Core Loads'!Z$636*Htg_12_kWh_per_MMBtu_biosciences+'Core Loads'!Z$656*Clg_12_kWh_per_ton_biosciences</f>
        <v>98096646.361740798</v>
      </c>
      <c r="AB260" s="21">
        <f>'Core Loads'!AA$596*Elec_12_kWh_per_kWh_biosciences+'Core Loads'!AA$616*Process_12_kWh_per_lb_biosciences+'Core Loads'!AA$636*Htg_12_kWh_per_MMBtu_biosciences+'Core Loads'!AA$656*Clg_12_kWh_per_ton_biosciences</f>
        <v>98096646.361740798</v>
      </c>
      <c r="AC260" s="21">
        <f>'Core Loads'!AB$596*Elec_12_kWh_per_kWh_biosciences+'Core Loads'!AB$616*Process_12_kWh_per_lb_biosciences+'Core Loads'!AB$636*Htg_12_kWh_per_MMBtu_biosciences+'Core Loads'!AB$656*Clg_12_kWh_per_ton_biosciences</f>
        <v>98096646.361740798</v>
      </c>
      <c r="AD260" s="21">
        <f>'Core Loads'!AC$596*Elec_12_kWh_per_kWh_biosciences+'Core Loads'!AC$616*Process_12_kWh_per_lb_biosciences+'Core Loads'!AC$636*Htg_12_kWh_per_MMBtu_biosciences+'Core Loads'!AC$656*Clg_12_kWh_per_ton_biosciences</f>
        <v>98096646.361740798</v>
      </c>
      <c r="AE260" s="21">
        <f>'Core Loads'!AD$596*Elec_12_kWh_per_kWh_biosciences+'Core Loads'!AD$616*Process_12_kWh_per_lb_biosciences+'Core Loads'!AD$636*Htg_12_kWh_per_MMBtu_biosciences+'Core Loads'!AD$656*Clg_12_kWh_per_ton_biosciences</f>
        <v>98096646.361740798</v>
      </c>
      <c r="AF260" s="21">
        <f>'Core Loads'!AE$596*Elec_12_kWh_per_kWh_biosciences+'Core Loads'!AE$616*Process_12_kWh_per_lb_biosciences+'Core Loads'!AE$636*Htg_12_kWh_per_MMBtu_biosciences+'Core Loads'!AE$656*Clg_12_kWh_per_ton_biosciences</f>
        <v>98096646.361740798</v>
      </c>
      <c r="AG260" s="21">
        <f>'Core Loads'!AF$596*Elec_12_kWh_per_kWh_biosciences+'Core Loads'!AF$616*Process_12_kWh_per_lb_biosciences+'Core Loads'!AF$636*Htg_12_kWh_per_MMBtu_biosciences+'Core Loads'!AF$656*Clg_12_kWh_per_ton_biosciences</f>
        <v>98096646.361740798</v>
      </c>
      <c r="AH260"/>
      <c r="AI260" s="23" t="s">
        <v>293</v>
      </c>
    </row>
    <row r="261" spans="2:35" s="1" customFormat="1" hidden="1" outlineLevel="1" x14ac:dyDescent="0.25">
      <c r="C261" s="31" t="s">
        <v>145</v>
      </c>
      <c r="D261" s="21">
        <f>MAX('Core Loads'!C$597*Elec_12_kWh_per_kWh_businessAndLaw+'Core Loads'!C$617*Process_12_kWh_per_lb_businessAndLaw+'Core Loads'!C$637*Htg_12_kWh_per_MMBtu_businessAndLaw+'Core Loads'!C$657*Clg_12_kWh_per_ton_businessAndLaw-('Core Loads'!C$637*CogenElecOutputExstg/CogenSteamOutputMMBtuExstg),0)</f>
        <v>0</v>
      </c>
      <c r="E261" s="21">
        <f>MAX('Core Loads'!D$597*Elec_12_kWh_per_kWh_businessAndLaw+'Core Loads'!D$617*Process_12_kWh_per_lb_businessAndLaw+'Core Loads'!D$637*Htg_12_kWh_per_MMBtu_businessAndLaw+'Core Loads'!D$657*Clg_12_kWh_per_ton_businessAndLaw-('Core Loads'!D$637*CogenElecOutputExstg/CogenSteamOutputMMBtuExstg),0)</f>
        <v>0</v>
      </c>
      <c r="F261" s="21">
        <f>MAX('Core Loads'!E$597*Elec_12_kWh_per_kWh_businessAndLaw+'Core Loads'!E$617*Process_12_kWh_per_lb_businessAndLaw+'Core Loads'!E$637*Htg_12_kWh_per_MMBtu_businessAndLaw+'Core Loads'!E$657*Clg_12_kWh_per_ton_businessAndLaw-('Core Loads'!E$637*CogenElecOutputExstg/CogenSteamOutputMMBtuExstg),0)</f>
        <v>2722076.163595628</v>
      </c>
      <c r="G261" s="21">
        <f>MAX('Core Loads'!F$597*Elec_12_kWh_per_kWh_businessAndLaw+'Core Loads'!F$617*Process_12_kWh_per_lb_businessAndLaw+'Core Loads'!F$637*Htg_12_kWh_per_MMBtu_businessAndLaw+'Core Loads'!F$657*Clg_12_kWh_per_ton_businessAndLaw-('Core Loads'!F$637*CogenElecOutputExstg/CogenSteamOutputMMBtuExstg),0)</f>
        <v>2722076.163595628</v>
      </c>
      <c r="H261" s="21">
        <f>MAX('Core Loads'!G$597*Elec_12_kWh_per_kWh_businessAndLaw+'Core Loads'!G$617*Process_12_kWh_per_lb_businessAndLaw+'Core Loads'!G$637*Htg_12_kWh_per_MMBtu_businessAndLaw+'Core Loads'!G$657*Clg_12_kWh_per_ton_businessAndLaw-('Core Loads'!G$637*CogenElecOutputExstg/CogenSteamOutputMMBtuExstg),0)</f>
        <v>2722076.163595628</v>
      </c>
      <c r="I261" s="21">
        <f>MAX('Core Loads'!H$597*Elec_12_kWh_per_kWh_businessAndLaw+'Core Loads'!H$617*Process_12_kWh_per_lb_businessAndLaw+'Core Loads'!H$637*Htg_12_kWh_per_MMBtu_businessAndLaw+'Core Loads'!H$657*Clg_12_kWh_per_ton_businessAndLaw-('Core Loads'!H$637*CogenElecOutputExstg/CogenSteamOutputMMBtuExstg),0)</f>
        <v>2847431.1693726219</v>
      </c>
      <c r="J261" s="21">
        <f>MAX('Core Loads'!I$597*Elec_12_kWh_per_kWh_businessAndLaw+'Core Loads'!I$617*Process_12_kWh_per_lb_businessAndLaw+'Core Loads'!I$637*Htg_12_kWh_per_MMBtu_businessAndLaw+'Core Loads'!I$657*Clg_12_kWh_per_ton_businessAndLaw-('Core Loads'!I$637*CogenElecOutputExstg/CogenSteamOutputMMBtuExstg),0)</f>
        <v>2847431.1693726219</v>
      </c>
      <c r="K261" s="21">
        <f>MAX('Core Loads'!J$597*Elec_12_kWh_per_kWh_businessAndLaw+'Core Loads'!J$617*Process_12_kWh_per_lb_businessAndLaw+'Core Loads'!J$637*Htg_12_kWh_per_MMBtu_businessAndLaw+'Core Loads'!J$657*Clg_12_kWh_per_ton_businessAndLaw-('Core Loads'!J$637*CogenElecOutputExstg/CogenSteamOutputMMBtuExstg),0)</f>
        <v>2847431.1693726219</v>
      </c>
      <c r="L261" s="21">
        <f>MAX('Core Loads'!K$597*Elec_12_kWh_per_kWh_businessAndLaw+'Core Loads'!K$617*Process_12_kWh_per_lb_businessAndLaw+'Core Loads'!K$637*Htg_12_kWh_per_MMBtu_businessAndLaw+'Core Loads'!K$657*Clg_12_kWh_per_ton_businessAndLaw-('Core Loads'!K$637*CogenElecOutputExstg/CogenSteamOutputMMBtuExstg),0)</f>
        <v>2847431.1693726219</v>
      </c>
      <c r="M261" s="21">
        <f>MAX('Core Loads'!L$597*Elec_12_kWh_per_kWh_businessAndLaw+'Core Loads'!L$617*Process_12_kWh_per_lb_businessAndLaw+'Core Loads'!L$637*Htg_12_kWh_per_MMBtu_businessAndLaw+'Core Loads'!L$657*Clg_12_kWh_per_ton_businessAndLaw-('Core Loads'!L$637*CogenElecOutputExstg/CogenSteamOutputMMBtuExstg),0)</f>
        <v>4708504.8067680895</v>
      </c>
      <c r="N261" s="21">
        <f>MAX('Core Loads'!M$597*Elec_12_kWh_per_kWh_businessAndLaw+'Core Loads'!M$617*Process_12_kWh_per_lb_businessAndLaw+'Core Loads'!M$637*Htg_12_kWh_per_MMBtu_businessAndLaw+'Core Loads'!M$657*Clg_12_kWh_per_ton_businessAndLaw-('Core Loads'!M$637*CogenElecOutputExstg/CogenSteamOutputMMBtuExstg),0)</f>
        <v>4708504.8067680895</v>
      </c>
      <c r="O261" s="21">
        <f>MAX('Core Loads'!N$597*Elec_12_kWh_per_kWh_businessAndLaw+'Core Loads'!N$617*Process_12_kWh_per_lb_businessAndLaw+'Core Loads'!N$637*Htg_12_kWh_per_MMBtu_businessAndLaw+'Core Loads'!N$657*Clg_12_kWh_per_ton_businessAndLaw-('Core Loads'!N$637*CogenElecOutputExstg/CogenSteamOutputMMBtuExstg),0)</f>
        <v>4708504.8067680895</v>
      </c>
      <c r="P261" s="21">
        <f>MAX('Core Loads'!O$597*Elec_12_kWh_per_kWh_businessAndLaw+'Core Loads'!O$617*Process_12_kWh_per_lb_businessAndLaw+'Core Loads'!O$637*Htg_12_kWh_per_MMBtu_businessAndLaw+'Core Loads'!O$657*Clg_12_kWh_per_ton_businessAndLaw-('Core Loads'!O$637*CogenElecOutputExstg/CogenSteamOutputMMBtuExstg),0)</f>
        <v>4708504.8067680895</v>
      </c>
      <c r="Q261" s="21">
        <f>MAX('Core Loads'!P$597*Elec_12_kWh_per_kWh_businessAndLaw+'Core Loads'!P$617*Process_12_kWh_per_lb_businessAndLaw+'Core Loads'!P$637*Htg_12_kWh_per_MMBtu_businessAndLaw+'Core Loads'!P$657*Clg_12_kWh_per_ton_businessAndLaw-('Core Loads'!P$637*CogenElecOutputExstg/CogenSteamOutputMMBtuExstg),0)</f>
        <v>4711477.3958435133</v>
      </c>
      <c r="R261" s="21">
        <f>MAX('Core Loads'!Q$597*Elec_12_kWh_per_kWh_businessAndLaw+'Core Loads'!Q$617*Process_12_kWh_per_lb_businessAndLaw+'Core Loads'!Q$637*Htg_12_kWh_per_MMBtu_businessAndLaw+'Core Loads'!Q$657*Clg_12_kWh_per_ton_businessAndLaw-('Core Loads'!Q$637*CogenElecOutputExstg/CogenSteamOutputMMBtuExstg),0)</f>
        <v>4711477.3958435133</v>
      </c>
      <c r="S261" s="21">
        <f>MAX('Core Loads'!R$597*Elec_12_kWh_per_kWh_businessAndLaw+'Core Loads'!R$617*Process_12_kWh_per_lb_businessAndLaw+'Core Loads'!R$637*Htg_12_kWh_per_MMBtu_businessAndLaw+'Core Loads'!R$657*Clg_12_kWh_per_ton_businessAndLaw-('Core Loads'!R$637*CogenElecOutputExstg/CogenSteamOutputMMBtuExstg),0)</f>
        <v>5258518.5363932028</v>
      </c>
      <c r="T261" s="21">
        <f>MAX('Core Loads'!S$597*Elec_12_kWh_per_kWh_businessAndLaw+'Core Loads'!S$617*Process_12_kWh_per_lb_businessAndLaw+'Core Loads'!S$637*Htg_12_kWh_per_MMBtu_businessAndLaw+'Core Loads'!S$657*Clg_12_kWh_per_ton_businessAndLaw-('Core Loads'!S$637*CogenElecOutputExstg/CogenSteamOutputMMBtuExstg),0)</f>
        <v>5258518.5363932028</v>
      </c>
      <c r="U261" s="21">
        <f>MAX('Core Loads'!T$597*Elec_12_kWh_per_kWh_businessAndLaw+'Core Loads'!T$617*Process_12_kWh_per_lb_businessAndLaw+'Core Loads'!T$637*Htg_12_kWh_per_MMBtu_businessAndLaw+'Core Loads'!T$657*Clg_12_kWh_per_ton_businessAndLaw-('Core Loads'!T$637*CogenElecOutputExstg/CogenSteamOutputMMBtuExstg),0)</f>
        <v>5647764.1706901491</v>
      </c>
      <c r="V261" s="21">
        <f>MAX('Core Loads'!U$597*Elec_12_kWh_per_kWh_businessAndLaw+'Core Loads'!U$617*Process_12_kWh_per_lb_businessAndLaw+'Core Loads'!U$637*Htg_12_kWh_per_MMBtu_businessAndLaw+'Core Loads'!U$657*Clg_12_kWh_per_ton_businessAndLaw-('Core Loads'!U$637*CogenElecOutputExstg/CogenSteamOutputMMBtuExstg),0)</f>
        <v>5647764.1706901491</v>
      </c>
      <c r="W261" s="21">
        <f>MAX('Core Loads'!V$597*Elec_12_kWh_per_kWh_businessAndLaw+'Core Loads'!V$617*Process_12_kWh_per_lb_businessAndLaw+'Core Loads'!V$637*Htg_12_kWh_per_MMBtu_businessAndLaw+'Core Loads'!V$657*Clg_12_kWh_per_ton_businessAndLaw-('Core Loads'!V$637*CogenElecOutputExstg/CogenSteamOutputMMBtuExstg),0)</f>
        <v>5647764.1706901491</v>
      </c>
      <c r="X261" s="21">
        <f>MAX('Core Loads'!W$597*Elec_12_kWh_per_kWh_businessAndLaw+'Core Loads'!W$617*Process_12_kWh_per_lb_businessAndLaw+'Core Loads'!W$637*Htg_12_kWh_per_MMBtu_businessAndLaw+'Core Loads'!W$657*Clg_12_kWh_per_ton_businessAndLaw-('Core Loads'!W$637*CogenElecOutputExstg/CogenSteamOutputMMBtuExstg),0)</f>
        <v>5647764.1706901491</v>
      </c>
      <c r="Y261" s="21">
        <f>MAX('Core Loads'!X$597*Elec_12_kWh_per_kWh_businessAndLaw+'Core Loads'!X$617*Process_12_kWh_per_lb_businessAndLaw+'Core Loads'!X$637*Htg_12_kWh_per_MMBtu_businessAndLaw+'Core Loads'!X$657*Clg_12_kWh_per_ton_businessAndLaw-('Core Loads'!X$637*CogenElecOutputExstg/CogenSteamOutputMMBtuExstg),0)</f>
        <v>5647764.1706901491</v>
      </c>
      <c r="Z261" s="21">
        <f>MAX('Core Loads'!Y$597*Elec_12_kWh_per_kWh_businessAndLaw+'Core Loads'!Y$617*Process_12_kWh_per_lb_businessAndLaw+'Core Loads'!Y$637*Htg_12_kWh_per_MMBtu_businessAndLaw+'Core Loads'!Y$657*Clg_12_kWh_per_ton_businessAndLaw-('Core Loads'!Y$637*CogenElecOutputExstg/CogenSteamOutputMMBtuExstg),0)</f>
        <v>5647764.1706901491</v>
      </c>
      <c r="AA261" s="21">
        <f>MAX('Core Loads'!Z$597*Elec_12_kWh_per_kWh_businessAndLaw+'Core Loads'!Z$617*Process_12_kWh_per_lb_businessAndLaw+'Core Loads'!Z$637*Htg_12_kWh_per_MMBtu_businessAndLaw+'Core Loads'!Z$657*Clg_12_kWh_per_ton_businessAndLaw-('Core Loads'!Z$637*CogenElecOutputExstg/CogenSteamOutputMMBtuExstg),0)</f>
        <v>5647764.1706901491</v>
      </c>
      <c r="AB261" s="21">
        <f>MAX('Core Loads'!AA$597*Elec_12_kWh_per_kWh_businessAndLaw+'Core Loads'!AA$617*Process_12_kWh_per_lb_businessAndLaw+'Core Loads'!AA$637*Htg_12_kWh_per_MMBtu_businessAndLaw+'Core Loads'!AA$657*Clg_12_kWh_per_ton_businessAndLaw-('Core Loads'!AA$637*CogenElecOutputExstg/CogenSteamOutputMMBtuExstg),0)</f>
        <v>5647764.1706901491</v>
      </c>
      <c r="AC261" s="21">
        <f>MAX('Core Loads'!AB$597*Elec_12_kWh_per_kWh_businessAndLaw+'Core Loads'!AB$617*Process_12_kWh_per_lb_businessAndLaw+'Core Loads'!AB$637*Htg_12_kWh_per_MMBtu_businessAndLaw+'Core Loads'!AB$657*Clg_12_kWh_per_ton_businessAndLaw-('Core Loads'!AB$637*CogenElecOutputExstg/CogenSteamOutputMMBtuExstg),0)</f>
        <v>5396353.6753307916</v>
      </c>
      <c r="AD261" s="21">
        <f>MAX('Core Loads'!AC$597*Elec_12_kWh_per_kWh_businessAndLaw+'Core Loads'!AC$617*Process_12_kWh_per_lb_businessAndLaw+'Core Loads'!AC$637*Htg_12_kWh_per_MMBtu_businessAndLaw+'Core Loads'!AC$657*Clg_12_kWh_per_ton_businessAndLaw-('Core Loads'!AC$637*CogenElecOutputExstg/CogenSteamOutputMMBtuExstg),0)</f>
        <v>5396353.6753307916</v>
      </c>
      <c r="AE261" s="21">
        <f>MAX('Core Loads'!AD$597*Elec_12_kWh_per_kWh_businessAndLaw+'Core Loads'!AD$617*Process_12_kWh_per_lb_businessAndLaw+'Core Loads'!AD$637*Htg_12_kWh_per_MMBtu_businessAndLaw+'Core Loads'!AD$657*Clg_12_kWh_per_ton_businessAndLaw-('Core Loads'!AD$637*CogenElecOutputExstg/CogenSteamOutputMMBtuExstg),0)</f>
        <v>5396353.6753307916</v>
      </c>
      <c r="AF261" s="21">
        <f>MAX('Core Loads'!AE$597*Elec_12_kWh_per_kWh_businessAndLaw+'Core Loads'!AE$617*Process_12_kWh_per_lb_businessAndLaw+'Core Loads'!AE$637*Htg_12_kWh_per_MMBtu_businessAndLaw+'Core Loads'!AE$657*Clg_12_kWh_per_ton_businessAndLaw-('Core Loads'!AE$637*CogenElecOutputExstg/CogenSteamOutputMMBtuExstg),0)</f>
        <v>5396353.6753307916</v>
      </c>
      <c r="AG261" s="21">
        <f>MAX('Core Loads'!AF$597*Elec_12_kWh_per_kWh_businessAndLaw+'Core Loads'!AF$617*Process_12_kWh_per_lb_businessAndLaw+'Core Loads'!AF$637*Htg_12_kWh_per_MMBtu_businessAndLaw+'Core Loads'!AF$657*Clg_12_kWh_per_ton_businessAndLaw-('Core Loads'!AF$637*CogenElecOutputExstg/CogenSteamOutputMMBtuExstg),0)</f>
        <v>5396353.6753307916</v>
      </c>
      <c r="AH261"/>
      <c r="AI261" s="23" t="s">
        <v>293</v>
      </c>
    </row>
    <row r="262" spans="2:35" s="1" customFormat="1" hidden="1" outlineLevel="1" x14ac:dyDescent="0.25">
      <c r="C262" s="31" t="s">
        <v>244</v>
      </c>
      <c r="D262" s="21">
        <f>'Core Loads'!C$598*Elec_12_kWh_per_kWh_Engineering+'Core Loads'!C$618*Process_12_kWh_per_lb_Engineering+'Core Loads'!C$638*Htg_12_kWh_per_MMBtu_Engineering+'Core Loads'!C$658*Clg_12_kWh_per_ton_Engineering</f>
        <v>0</v>
      </c>
      <c r="E262" s="21">
        <f>'Core Loads'!D$598*Elec_12_kWh_per_kWh_Engineering+'Core Loads'!D$618*Process_12_kWh_per_lb_Engineering+'Core Loads'!D$638*Htg_12_kWh_per_MMBtu_Engineering+'Core Loads'!D$658*Clg_12_kWh_per_ton_Engineering</f>
        <v>0</v>
      </c>
      <c r="F262" s="21">
        <f>'Core Loads'!E$598*Elec_12_kWh_per_kWh_Engineering+'Core Loads'!E$618*Process_12_kWh_per_lb_Engineering+'Core Loads'!E$638*Htg_12_kWh_per_MMBtu_Engineering+'Core Loads'!E$658*Clg_12_kWh_per_ton_Engineering</f>
        <v>115059527.66350117</v>
      </c>
      <c r="G262" s="21">
        <f>'Core Loads'!F$598*Elec_12_kWh_per_kWh_Engineering+'Core Loads'!F$618*Process_12_kWh_per_lb_Engineering+'Core Loads'!F$638*Htg_12_kWh_per_MMBtu_Engineering+'Core Loads'!F$658*Clg_12_kWh_per_ton_Engineering</f>
        <v>133484038.86955768</v>
      </c>
      <c r="H262" s="21">
        <f>'Core Loads'!G$598*Elec_12_kWh_per_kWh_Engineering+'Core Loads'!G$618*Process_12_kWh_per_lb_Engineering+'Core Loads'!G$638*Htg_12_kWh_per_MMBtu_Engineering+'Core Loads'!G$658*Clg_12_kWh_per_ton_Engineering</f>
        <v>133484038.86955768</v>
      </c>
      <c r="I262" s="21">
        <f>'Core Loads'!H$598*Elec_12_kWh_per_kWh_Engineering+'Core Loads'!H$618*Process_12_kWh_per_lb_Engineering+'Core Loads'!H$638*Htg_12_kWh_per_MMBtu_Engineering+'Core Loads'!H$658*Clg_12_kWh_per_ton_Engineering</f>
        <v>133999521.75366473</v>
      </c>
      <c r="J262" s="21">
        <f>'Core Loads'!I$598*Elec_12_kWh_per_kWh_Engineering+'Core Loads'!I$618*Process_12_kWh_per_lb_Engineering+'Core Loads'!I$638*Htg_12_kWh_per_MMBtu_Engineering+'Core Loads'!I$658*Clg_12_kWh_per_ton_Engineering</f>
        <v>133999521.75366473</v>
      </c>
      <c r="K262" s="21">
        <f>'Core Loads'!J$598*Elec_12_kWh_per_kWh_Engineering+'Core Loads'!J$618*Process_12_kWh_per_lb_Engineering+'Core Loads'!J$638*Htg_12_kWh_per_MMBtu_Engineering+'Core Loads'!J$658*Clg_12_kWh_per_ton_Engineering</f>
        <v>123177505.83587226</v>
      </c>
      <c r="L262" s="21">
        <f>'Core Loads'!K$598*Elec_12_kWh_per_kWh_Engineering+'Core Loads'!K$618*Process_12_kWh_per_lb_Engineering+'Core Loads'!K$638*Htg_12_kWh_per_MMBtu_Engineering+'Core Loads'!K$658*Clg_12_kWh_per_ton_Engineering</f>
        <v>123177505.83587226</v>
      </c>
      <c r="M262" s="21">
        <f>'Core Loads'!L$598*Elec_12_kWh_per_kWh_Engineering+'Core Loads'!L$618*Process_12_kWh_per_lb_Engineering+'Core Loads'!L$638*Htg_12_kWh_per_MMBtu_Engineering+'Core Loads'!L$658*Clg_12_kWh_per_ton_Engineering</f>
        <v>123177505.83587226</v>
      </c>
      <c r="N262" s="21">
        <f>'Core Loads'!M$598*Elec_12_kWh_per_kWh_Engineering+'Core Loads'!M$618*Process_12_kWh_per_lb_Engineering+'Core Loads'!M$638*Htg_12_kWh_per_MMBtu_Engineering+'Core Loads'!M$658*Clg_12_kWh_per_ton_Engineering</f>
        <v>123177505.83587226</v>
      </c>
      <c r="O262" s="21">
        <f>'Core Loads'!N$598*Elec_12_kWh_per_kWh_Engineering+'Core Loads'!N$618*Process_12_kWh_per_lb_Engineering+'Core Loads'!N$638*Htg_12_kWh_per_MMBtu_Engineering+'Core Loads'!N$658*Clg_12_kWh_per_ton_Engineering</f>
        <v>120695181.88207087</v>
      </c>
      <c r="P262" s="21">
        <f>'Core Loads'!O$598*Elec_12_kWh_per_kWh_Engineering+'Core Loads'!O$618*Process_12_kWh_per_lb_Engineering+'Core Loads'!O$638*Htg_12_kWh_per_MMBtu_Engineering+'Core Loads'!O$658*Clg_12_kWh_per_ton_Engineering</f>
        <v>120695181.88207087</v>
      </c>
      <c r="Q262" s="21">
        <f>'Core Loads'!P$598*Elec_12_kWh_per_kWh_Engineering+'Core Loads'!P$618*Process_12_kWh_per_lb_Engineering+'Core Loads'!P$638*Htg_12_kWh_per_MMBtu_Engineering+'Core Loads'!P$658*Clg_12_kWh_per_ton_Engineering</f>
        <v>120124991.6155923</v>
      </c>
      <c r="R262" s="21">
        <f>'Core Loads'!Q$598*Elec_12_kWh_per_kWh_Engineering+'Core Loads'!Q$618*Process_12_kWh_per_lb_Engineering+'Core Loads'!Q$638*Htg_12_kWh_per_MMBtu_Engineering+'Core Loads'!Q$658*Clg_12_kWh_per_ton_Engineering</f>
        <v>120124991.6155923</v>
      </c>
      <c r="S262" s="21">
        <f>'Core Loads'!R$598*Elec_12_kWh_per_kWh_Engineering+'Core Loads'!R$618*Process_12_kWh_per_lb_Engineering+'Core Loads'!R$638*Htg_12_kWh_per_MMBtu_Engineering+'Core Loads'!R$658*Clg_12_kWh_per_ton_Engineering</f>
        <v>124188520.02083516</v>
      </c>
      <c r="T262" s="21">
        <f>'Core Loads'!S$598*Elec_12_kWh_per_kWh_Engineering+'Core Loads'!S$618*Process_12_kWh_per_lb_Engineering+'Core Loads'!S$638*Htg_12_kWh_per_MMBtu_Engineering+'Core Loads'!S$658*Clg_12_kWh_per_ton_Engineering</f>
        <v>124188520.02083516</v>
      </c>
      <c r="U262" s="21">
        <f>'Core Loads'!T$598*Elec_12_kWh_per_kWh_Engineering+'Core Loads'!T$618*Process_12_kWh_per_lb_Engineering+'Core Loads'!T$638*Htg_12_kWh_per_MMBtu_Engineering+'Core Loads'!T$658*Clg_12_kWh_per_ton_Engineering</f>
        <v>124188520.02083516</v>
      </c>
      <c r="V262" s="21">
        <f>'Core Loads'!U$598*Elec_12_kWh_per_kWh_Engineering+'Core Loads'!U$618*Process_12_kWh_per_lb_Engineering+'Core Loads'!U$638*Htg_12_kWh_per_MMBtu_Engineering+'Core Loads'!U$658*Clg_12_kWh_per_ton_Engineering</f>
        <v>124188520.02083516</v>
      </c>
      <c r="W262" s="21">
        <f>'Core Loads'!V$598*Elec_12_kWh_per_kWh_Engineering+'Core Loads'!V$618*Process_12_kWh_per_lb_Engineering+'Core Loads'!V$638*Htg_12_kWh_per_MMBtu_Engineering+'Core Loads'!V$658*Clg_12_kWh_per_ton_Engineering</f>
        <v>123479260.674633</v>
      </c>
      <c r="X262" s="21">
        <f>'Core Loads'!W$598*Elec_12_kWh_per_kWh_Engineering+'Core Loads'!W$618*Process_12_kWh_per_lb_Engineering+'Core Loads'!W$638*Htg_12_kWh_per_MMBtu_Engineering+'Core Loads'!W$658*Clg_12_kWh_per_ton_Engineering</f>
        <v>123479260.674633</v>
      </c>
      <c r="Y262" s="21">
        <f>'Core Loads'!X$598*Elec_12_kWh_per_kWh_Engineering+'Core Loads'!X$618*Process_12_kWh_per_lb_Engineering+'Core Loads'!X$638*Htg_12_kWh_per_MMBtu_Engineering+'Core Loads'!X$658*Clg_12_kWh_per_ton_Engineering</f>
        <v>123479260.674633</v>
      </c>
      <c r="Z262" s="21">
        <f>'Core Loads'!Y$598*Elec_12_kWh_per_kWh_Engineering+'Core Loads'!Y$618*Process_12_kWh_per_lb_Engineering+'Core Loads'!Y$638*Htg_12_kWh_per_MMBtu_Engineering+'Core Loads'!Y$658*Clg_12_kWh_per_ton_Engineering</f>
        <v>123479260.674633</v>
      </c>
      <c r="AA262" s="21">
        <f>'Core Loads'!Z$598*Elec_12_kWh_per_kWh_Engineering+'Core Loads'!Z$618*Process_12_kWh_per_lb_Engineering+'Core Loads'!Z$638*Htg_12_kWh_per_MMBtu_Engineering+'Core Loads'!Z$658*Clg_12_kWh_per_ton_Engineering</f>
        <v>123479260.674633</v>
      </c>
      <c r="AB262" s="21">
        <f>'Core Loads'!AA$598*Elec_12_kWh_per_kWh_Engineering+'Core Loads'!AA$618*Process_12_kWh_per_lb_Engineering+'Core Loads'!AA$638*Htg_12_kWh_per_MMBtu_Engineering+'Core Loads'!AA$658*Clg_12_kWh_per_ton_Engineering</f>
        <v>123479260.674633</v>
      </c>
      <c r="AC262" s="21">
        <f>'Core Loads'!AB$598*Elec_12_kWh_per_kWh_Engineering+'Core Loads'!AB$618*Process_12_kWh_per_lb_Engineering+'Core Loads'!AB$638*Htg_12_kWh_per_MMBtu_Engineering+'Core Loads'!AB$658*Clg_12_kWh_per_ton_Engineering</f>
        <v>123479260.674633</v>
      </c>
      <c r="AD262" s="21">
        <f>'Core Loads'!AC$598*Elec_12_kWh_per_kWh_Engineering+'Core Loads'!AC$618*Process_12_kWh_per_lb_Engineering+'Core Loads'!AC$638*Htg_12_kWh_per_MMBtu_Engineering+'Core Loads'!AC$658*Clg_12_kWh_per_ton_Engineering</f>
        <v>123479260.674633</v>
      </c>
      <c r="AE262" s="21">
        <f>'Core Loads'!AD$598*Elec_12_kWh_per_kWh_Engineering+'Core Loads'!AD$618*Process_12_kWh_per_lb_Engineering+'Core Loads'!AD$638*Htg_12_kWh_per_MMBtu_Engineering+'Core Loads'!AD$658*Clg_12_kWh_per_ton_Engineering</f>
        <v>123479260.674633</v>
      </c>
      <c r="AF262" s="21">
        <f>'Core Loads'!AE$598*Elec_12_kWh_per_kWh_Engineering+'Core Loads'!AE$618*Process_12_kWh_per_lb_Engineering+'Core Loads'!AE$638*Htg_12_kWh_per_MMBtu_Engineering+'Core Loads'!AE$658*Clg_12_kWh_per_ton_Engineering</f>
        <v>123479260.674633</v>
      </c>
      <c r="AG262" s="21">
        <f>'Core Loads'!AF$598*Elec_12_kWh_per_kWh_Engineering+'Core Loads'!AF$618*Process_12_kWh_per_lb_Engineering+'Core Loads'!AF$638*Htg_12_kWh_per_MMBtu_Engineering+'Core Loads'!AF$658*Clg_12_kWh_per_ton_Engineering</f>
        <v>123479260.674633</v>
      </c>
      <c r="AH262"/>
      <c r="AI262" s="23" t="s">
        <v>293</v>
      </c>
    </row>
    <row r="263" spans="2:35" s="1" customFormat="1" hidden="1" outlineLevel="1" x14ac:dyDescent="0.25">
      <c r="C263" s="31" t="s">
        <v>147</v>
      </c>
      <c r="D263" s="21">
        <f>'Core Loads'!C$599*Elec_12_kWh_per_kWh_Engineering+'Core Loads'!C$619*Process_12_kWh_per_lb_Engineering+'Core Loads'!C$639*Htg_12_kWh_per_MMBtu_Engineering+'Core Loads'!C$659*Clg_12_kWh_per_ton_Engineering</f>
        <v>0</v>
      </c>
      <c r="E263" s="21">
        <f>'Core Loads'!D$599*Elec_12_kWh_per_kWh_Engineering+'Core Loads'!D$619*Process_12_kWh_per_lb_Engineering+'Core Loads'!D$639*Htg_12_kWh_per_MMBtu_Engineering+'Core Loads'!D$659*Clg_12_kWh_per_ton_Engineering</f>
        <v>0</v>
      </c>
      <c r="F263" s="21">
        <f>'Core Loads'!E$599*Elec_12_kWh_per_kWh_Engineering+'Core Loads'!E$619*Process_12_kWh_per_lb_Engineering+'Core Loads'!E$639*Htg_12_kWh_per_MMBtu_Engineering+'Core Loads'!E$659*Clg_12_kWh_per_ton_Engineering</f>
        <v>0</v>
      </c>
      <c r="G263" s="21">
        <f>'Core Loads'!F$599*Elec_12_kWh_per_kWh_Engineering+'Core Loads'!F$619*Process_12_kWh_per_lb_Engineering+'Core Loads'!F$639*Htg_12_kWh_per_MMBtu_Engineering+'Core Loads'!F$659*Clg_12_kWh_per_ton_Engineering</f>
        <v>0</v>
      </c>
      <c r="H263" s="21">
        <f>'Core Loads'!G$599*Elec_12_kWh_per_kWh_Engineering+'Core Loads'!G$619*Process_12_kWh_per_lb_Engineering+'Core Loads'!G$639*Htg_12_kWh_per_MMBtu_Engineering+'Core Loads'!G$659*Clg_12_kWh_per_ton_Engineering</f>
        <v>0</v>
      </c>
      <c r="I263" s="21">
        <f>'Core Loads'!H$599*Elec_12_kWh_per_kWh_Engineering+'Core Loads'!H$619*Process_12_kWh_per_lb_Engineering+'Core Loads'!H$639*Htg_12_kWh_per_MMBtu_Engineering+'Core Loads'!H$659*Clg_12_kWh_per_ton_Engineering</f>
        <v>0</v>
      </c>
      <c r="J263" s="21">
        <f>'Core Loads'!I$599*Elec_12_kWh_per_kWh_Engineering+'Core Loads'!I$619*Process_12_kWh_per_lb_Engineering+'Core Loads'!I$639*Htg_12_kWh_per_MMBtu_Engineering+'Core Loads'!I$659*Clg_12_kWh_per_ton_Engineering</f>
        <v>0</v>
      </c>
      <c r="K263" s="21">
        <f>'Core Loads'!J$599*Elec_12_kWh_per_kWh_Engineering+'Core Loads'!J$619*Process_12_kWh_per_lb_Engineering+'Core Loads'!J$639*Htg_12_kWh_per_MMBtu_Engineering+'Core Loads'!J$659*Clg_12_kWh_per_ton_Engineering</f>
        <v>0</v>
      </c>
      <c r="L263" s="21">
        <f>'Core Loads'!K$599*Elec_12_kWh_per_kWh_Engineering+'Core Loads'!K$619*Process_12_kWh_per_lb_Engineering+'Core Loads'!K$639*Htg_12_kWh_per_MMBtu_Engineering+'Core Loads'!K$659*Clg_12_kWh_per_ton_Engineering</f>
        <v>0</v>
      </c>
      <c r="M263" s="21">
        <f>'Core Loads'!L$599*Elec_12_kWh_per_kWh_Engineering+'Core Loads'!L$619*Process_12_kWh_per_lb_Engineering+'Core Loads'!L$639*Htg_12_kWh_per_MMBtu_Engineering+'Core Loads'!L$659*Clg_12_kWh_per_ton_Engineering</f>
        <v>0</v>
      </c>
      <c r="N263" s="21">
        <f>'Core Loads'!M$599*Elec_12_kWh_per_kWh_Engineering+'Core Loads'!M$619*Process_12_kWh_per_lb_Engineering+'Core Loads'!M$639*Htg_12_kWh_per_MMBtu_Engineering+'Core Loads'!M$659*Clg_12_kWh_per_ton_Engineering</f>
        <v>0</v>
      </c>
      <c r="O263" s="21">
        <f>'Core Loads'!N$599*Elec_12_kWh_per_kWh_Engineering+'Core Loads'!N$619*Process_12_kWh_per_lb_Engineering+'Core Loads'!N$639*Htg_12_kWh_per_MMBtu_Engineering+'Core Loads'!N$659*Clg_12_kWh_per_ton_Engineering</f>
        <v>0</v>
      </c>
      <c r="P263" s="21">
        <f>'Core Loads'!O$599*Elec_12_kWh_per_kWh_Engineering+'Core Loads'!O$619*Process_12_kWh_per_lb_Engineering+'Core Loads'!O$639*Htg_12_kWh_per_MMBtu_Engineering+'Core Loads'!O$659*Clg_12_kWh_per_ton_Engineering</f>
        <v>0</v>
      </c>
      <c r="Q263" s="21">
        <f>'Core Loads'!P$599*Elec_12_kWh_per_kWh_Engineering+'Core Loads'!P$619*Process_12_kWh_per_lb_Engineering+'Core Loads'!P$639*Htg_12_kWh_per_MMBtu_Engineering+'Core Loads'!P$659*Clg_12_kWh_per_ton_Engineering</f>
        <v>0</v>
      </c>
      <c r="R263" s="21">
        <f>'Core Loads'!Q$599*Elec_12_kWh_per_kWh_Engineering+'Core Loads'!Q$619*Process_12_kWh_per_lb_Engineering+'Core Loads'!Q$639*Htg_12_kWh_per_MMBtu_Engineering+'Core Loads'!Q$659*Clg_12_kWh_per_ton_Engineering</f>
        <v>0</v>
      </c>
      <c r="S263" s="21">
        <f>'Core Loads'!R$599*Elec_12_kWh_per_kWh_Engineering+'Core Loads'!R$619*Process_12_kWh_per_lb_Engineering+'Core Loads'!R$639*Htg_12_kWh_per_MMBtu_Engineering+'Core Loads'!R$659*Clg_12_kWh_per_ton_Engineering</f>
        <v>0</v>
      </c>
      <c r="T263" s="21">
        <f>'Core Loads'!S$599*Elec_12_kWh_per_kWh_Engineering+'Core Loads'!S$619*Process_12_kWh_per_lb_Engineering+'Core Loads'!S$639*Htg_12_kWh_per_MMBtu_Engineering+'Core Loads'!S$659*Clg_12_kWh_per_ton_Engineering</f>
        <v>0</v>
      </c>
      <c r="U263" s="21">
        <f>'Core Loads'!T$599*Elec_12_kWh_per_kWh_Engineering+'Core Loads'!T$619*Process_12_kWh_per_lb_Engineering+'Core Loads'!T$639*Htg_12_kWh_per_MMBtu_Engineering+'Core Loads'!T$659*Clg_12_kWh_per_ton_Engineering</f>
        <v>0</v>
      </c>
      <c r="V263" s="21">
        <f>'Core Loads'!U$599*Elec_12_kWh_per_kWh_Engineering+'Core Loads'!U$619*Process_12_kWh_per_lb_Engineering+'Core Loads'!U$639*Htg_12_kWh_per_MMBtu_Engineering+'Core Loads'!U$659*Clg_12_kWh_per_ton_Engineering</f>
        <v>0</v>
      </c>
      <c r="W263" s="21">
        <f>'Core Loads'!V$599*Elec_12_kWh_per_kWh_Engineering+'Core Loads'!V$619*Process_12_kWh_per_lb_Engineering+'Core Loads'!V$639*Htg_12_kWh_per_MMBtu_Engineering+'Core Loads'!V$659*Clg_12_kWh_per_ton_Engineering</f>
        <v>0</v>
      </c>
      <c r="X263" s="21">
        <f>'Core Loads'!W$599*Elec_12_kWh_per_kWh_Engineering+'Core Loads'!W$619*Process_12_kWh_per_lb_Engineering+'Core Loads'!W$639*Htg_12_kWh_per_MMBtu_Engineering+'Core Loads'!W$659*Clg_12_kWh_per_ton_Engineering</f>
        <v>0</v>
      </c>
      <c r="Y263" s="21">
        <f>'Core Loads'!X$599*Elec_12_kWh_per_kWh_Engineering+'Core Loads'!X$619*Process_12_kWh_per_lb_Engineering+'Core Loads'!X$639*Htg_12_kWh_per_MMBtu_Engineering+'Core Loads'!X$659*Clg_12_kWh_per_ton_Engineering</f>
        <v>0</v>
      </c>
      <c r="Z263" s="21">
        <f>'Core Loads'!Y$599*Elec_12_kWh_per_kWh_Engineering+'Core Loads'!Y$619*Process_12_kWh_per_lb_Engineering+'Core Loads'!Y$639*Htg_12_kWh_per_MMBtu_Engineering+'Core Loads'!Y$659*Clg_12_kWh_per_ton_Engineering</f>
        <v>0</v>
      </c>
      <c r="AA263" s="21">
        <f>'Core Loads'!Z$599*Elec_12_kWh_per_kWh_Engineering+'Core Loads'!Z$619*Process_12_kWh_per_lb_Engineering+'Core Loads'!Z$639*Htg_12_kWh_per_MMBtu_Engineering+'Core Loads'!Z$659*Clg_12_kWh_per_ton_Engineering</f>
        <v>0</v>
      </c>
      <c r="AB263" s="21">
        <f>'Core Loads'!AA$599*Elec_12_kWh_per_kWh_Engineering+'Core Loads'!AA$619*Process_12_kWh_per_lb_Engineering+'Core Loads'!AA$639*Htg_12_kWh_per_MMBtu_Engineering+'Core Loads'!AA$659*Clg_12_kWh_per_ton_Engineering</f>
        <v>0</v>
      </c>
      <c r="AC263" s="21">
        <f>'Core Loads'!AB$599*Elec_12_kWh_per_kWh_Engineering+'Core Loads'!AB$619*Process_12_kWh_per_lb_Engineering+'Core Loads'!AB$639*Htg_12_kWh_per_MMBtu_Engineering+'Core Loads'!AB$659*Clg_12_kWh_per_ton_Engineering</f>
        <v>0</v>
      </c>
      <c r="AD263" s="21">
        <f>'Core Loads'!AC$599*Elec_12_kWh_per_kWh_Engineering+'Core Loads'!AC$619*Process_12_kWh_per_lb_Engineering+'Core Loads'!AC$639*Htg_12_kWh_per_MMBtu_Engineering+'Core Loads'!AC$659*Clg_12_kWh_per_ton_Engineering</f>
        <v>0</v>
      </c>
      <c r="AE263" s="21">
        <f>'Core Loads'!AD$599*Elec_12_kWh_per_kWh_Engineering+'Core Loads'!AD$619*Process_12_kWh_per_lb_Engineering+'Core Loads'!AD$639*Htg_12_kWh_per_MMBtu_Engineering+'Core Loads'!AD$659*Clg_12_kWh_per_ton_Engineering</f>
        <v>0</v>
      </c>
      <c r="AF263" s="21">
        <f>'Core Loads'!AE$599*Elec_12_kWh_per_kWh_Engineering+'Core Loads'!AE$619*Process_12_kWh_per_lb_Engineering+'Core Loads'!AE$639*Htg_12_kWh_per_MMBtu_Engineering+'Core Loads'!AE$659*Clg_12_kWh_per_ton_Engineering</f>
        <v>0</v>
      </c>
      <c r="AG263" s="21">
        <f>'Core Loads'!AF$599*Elec_12_kWh_per_kWh_Engineering+'Core Loads'!AF$619*Process_12_kWh_per_lb_Engineering+'Core Loads'!AF$639*Htg_12_kWh_per_MMBtu_Engineering+'Core Loads'!AF$659*Clg_12_kWh_per_ton_Engineering</f>
        <v>0</v>
      </c>
      <c r="AH263"/>
      <c r="AI263" s="23" t="s">
        <v>293</v>
      </c>
    </row>
    <row r="264" spans="2:35" s="1" customFormat="1" hidden="1" outlineLevel="1" x14ac:dyDescent="0.25">
      <c r="C264" s="31" t="s">
        <v>245</v>
      </c>
      <c r="D264" s="21">
        <f>MAX('Core Loads'!C$600*Elec_12_kWh_per_kWh_lowerSproulOffices+'Core Loads'!C$620*Process_12_kWh_per_lb_lowerSproulOffices+'Core Loads'!C$640*Htg_12_kWh_per_MMBtu_lowerSproulOffices+'Core Loads'!C$660*Clg_12_kWh_per_ton_lowerSproulOffices-('Core Loads'!C$640*CogenElecOutputExstg/CogenSteamOutputMMBtuExstg),0)</f>
        <v>0</v>
      </c>
      <c r="E264" s="21">
        <f>MAX('Core Loads'!D$600*Elec_12_kWh_per_kWh_lowerSproulOffices+'Core Loads'!D$620*Process_12_kWh_per_lb_lowerSproulOffices+'Core Loads'!D$640*Htg_12_kWh_per_MMBtu_lowerSproulOffices+'Core Loads'!D$660*Clg_12_kWh_per_ton_lowerSproulOffices-('Core Loads'!D$640*CogenElecOutputExstg/CogenSteamOutputMMBtuExstg),0)</f>
        <v>0</v>
      </c>
      <c r="F264" s="21">
        <f>MAX('Core Loads'!E$600*Elec_12_kWh_per_kWh_lowerSproulOffices+'Core Loads'!E$620*Process_12_kWh_per_lb_lowerSproulOffices+'Core Loads'!E$640*Htg_12_kWh_per_MMBtu_lowerSproulOffices+'Core Loads'!E$660*Clg_12_kWh_per_ton_lowerSproulOffices-('Core Loads'!E$640*CogenElecOutputExstg/CogenSteamOutputMMBtuExstg),0)</f>
        <v>3833025.8899714407</v>
      </c>
      <c r="G264" s="21">
        <f>MAX('Core Loads'!F$600*Elec_12_kWh_per_kWh_lowerSproulOffices+'Core Loads'!F$620*Process_12_kWh_per_lb_lowerSproulOffices+'Core Loads'!F$640*Htg_12_kWh_per_MMBtu_lowerSproulOffices+'Core Loads'!F$660*Clg_12_kWh_per_ton_lowerSproulOffices-('Core Loads'!F$640*CogenElecOutputExstg/CogenSteamOutputMMBtuExstg),0)</f>
        <v>3833025.8899714407</v>
      </c>
      <c r="H264" s="21">
        <f>MAX('Core Loads'!G$600*Elec_12_kWh_per_kWh_lowerSproulOffices+'Core Loads'!G$620*Process_12_kWh_per_lb_lowerSproulOffices+'Core Loads'!G$640*Htg_12_kWh_per_MMBtu_lowerSproulOffices+'Core Loads'!G$660*Clg_12_kWh_per_ton_lowerSproulOffices-('Core Loads'!G$640*CogenElecOutputExstg/CogenSteamOutputMMBtuExstg),0)</f>
        <v>3833025.8899714407</v>
      </c>
      <c r="I264" s="21">
        <f>MAX('Core Loads'!H$600*Elec_12_kWh_per_kWh_lowerSproulOffices+'Core Loads'!H$620*Process_12_kWh_per_lb_lowerSproulOffices+'Core Loads'!H$640*Htg_12_kWh_per_MMBtu_lowerSproulOffices+'Core Loads'!H$660*Clg_12_kWh_per_ton_lowerSproulOffices-('Core Loads'!H$640*CogenElecOutputExstg/CogenSteamOutputMMBtuExstg),0)</f>
        <v>7042753.5493254419</v>
      </c>
      <c r="J264" s="21">
        <f>MAX('Core Loads'!I$600*Elec_12_kWh_per_kWh_lowerSproulOffices+'Core Loads'!I$620*Process_12_kWh_per_lb_lowerSproulOffices+'Core Loads'!I$640*Htg_12_kWh_per_MMBtu_lowerSproulOffices+'Core Loads'!I$660*Clg_12_kWh_per_ton_lowerSproulOffices-('Core Loads'!I$640*CogenElecOutputExstg/CogenSteamOutputMMBtuExstg),0)</f>
        <v>7042753.5493254419</v>
      </c>
      <c r="K264" s="21">
        <f>MAX('Core Loads'!J$600*Elec_12_kWh_per_kWh_lowerSproulOffices+'Core Loads'!J$620*Process_12_kWh_per_lb_lowerSproulOffices+'Core Loads'!J$640*Htg_12_kWh_per_MMBtu_lowerSproulOffices+'Core Loads'!J$660*Clg_12_kWh_per_ton_lowerSproulOffices-('Core Loads'!J$640*CogenElecOutputExstg/CogenSteamOutputMMBtuExstg),0)</f>
        <v>7042753.5493254419</v>
      </c>
      <c r="L264" s="21">
        <f>MAX('Core Loads'!K$600*Elec_12_kWh_per_kWh_lowerSproulOffices+'Core Loads'!K$620*Process_12_kWh_per_lb_lowerSproulOffices+'Core Loads'!K$640*Htg_12_kWh_per_MMBtu_lowerSproulOffices+'Core Loads'!K$660*Clg_12_kWh_per_ton_lowerSproulOffices-('Core Loads'!K$640*CogenElecOutputExstg/CogenSteamOutputMMBtuExstg),0)</f>
        <v>7042753.5493254419</v>
      </c>
      <c r="M264" s="21">
        <f>MAX('Core Loads'!L$600*Elec_12_kWh_per_kWh_lowerSproulOffices+'Core Loads'!L$620*Process_12_kWh_per_lb_lowerSproulOffices+'Core Loads'!L$640*Htg_12_kWh_per_MMBtu_lowerSproulOffices+'Core Loads'!L$660*Clg_12_kWh_per_ton_lowerSproulOffices-('Core Loads'!L$640*CogenElecOutputExstg/CogenSteamOutputMMBtuExstg),0)</f>
        <v>7042753.5493254419</v>
      </c>
      <c r="N264" s="21">
        <f>MAX('Core Loads'!M$600*Elec_12_kWh_per_kWh_lowerSproulOffices+'Core Loads'!M$620*Process_12_kWh_per_lb_lowerSproulOffices+'Core Loads'!M$640*Htg_12_kWh_per_MMBtu_lowerSproulOffices+'Core Loads'!M$660*Clg_12_kWh_per_ton_lowerSproulOffices-('Core Loads'!M$640*CogenElecOutputExstg/CogenSteamOutputMMBtuExstg),0)</f>
        <v>7042753.5493254419</v>
      </c>
      <c r="O264" s="21">
        <f>MAX('Core Loads'!N$600*Elec_12_kWh_per_kWh_lowerSproulOffices+'Core Loads'!N$620*Process_12_kWh_per_lb_lowerSproulOffices+'Core Loads'!N$640*Htg_12_kWh_per_MMBtu_lowerSproulOffices+'Core Loads'!N$660*Clg_12_kWh_per_ton_lowerSproulOffices-('Core Loads'!N$640*CogenElecOutputExstg/CogenSteamOutputMMBtuExstg),0)</f>
        <v>7156554.7537847832</v>
      </c>
      <c r="P264" s="21">
        <f>MAX('Core Loads'!O$600*Elec_12_kWh_per_kWh_lowerSproulOffices+'Core Loads'!O$620*Process_12_kWh_per_lb_lowerSproulOffices+'Core Loads'!O$640*Htg_12_kWh_per_MMBtu_lowerSproulOffices+'Core Loads'!O$660*Clg_12_kWh_per_ton_lowerSproulOffices-('Core Loads'!O$640*CogenElecOutputExstg/CogenSteamOutputMMBtuExstg),0)</f>
        <v>7156554.7537847832</v>
      </c>
      <c r="Q264" s="21">
        <f>MAX('Core Loads'!P$600*Elec_12_kWh_per_kWh_lowerSproulOffices+'Core Loads'!P$620*Process_12_kWh_per_lb_lowerSproulOffices+'Core Loads'!P$640*Htg_12_kWh_per_MMBtu_lowerSproulOffices+'Core Loads'!P$660*Clg_12_kWh_per_ton_lowerSproulOffices-('Core Loads'!P$640*CogenElecOutputExstg/CogenSteamOutputMMBtuExstg),0)</f>
        <v>7156554.7537847832</v>
      </c>
      <c r="R264" s="21">
        <f>MAX('Core Loads'!Q$600*Elec_12_kWh_per_kWh_lowerSproulOffices+'Core Loads'!Q$620*Process_12_kWh_per_lb_lowerSproulOffices+'Core Loads'!Q$640*Htg_12_kWh_per_MMBtu_lowerSproulOffices+'Core Loads'!Q$660*Clg_12_kWh_per_ton_lowerSproulOffices-('Core Loads'!Q$640*CogenElecOutputExstg/CogenSteamOutputMMBtuExstg),0)</f>
        <v>7156554.7537847832</v>
      </c>
      <c r="S264" s="21">
        <f>MAX('Core Loads'!R$600*Elec_12_kWh_per_kWh_lowerSproulOffices+'Core Loads'!R$620*Process_12_kWh_per_lb_lowerSproulOffices+'Core Loads'!R$640*Htg_12_kWh_per_MMBtu_lowerSproulOffices+'Core Loads'!R$660*Clg_12_kWh_per_ton_lowerSproulOffices-('Core Loads'!R$640*CogenElecOutputExstg/CogenSteamOutputMMBtuExstg),0)</f>
        <v>35860015.76112289</v>
      </c>
      <c r="T264" s="21">
        <f>MAX('Core Loads'!S$600*Elec_12_kWh_per_kWh_lowerSproulOffices+'Core Loads'!S$620*Process_12_kWh_per_lb_lowerSproulOffices+'Core Loads'!S$640*Htg_12_kWh_per_MMBtu_lowerSproulOffices+'Core Loads'!S$660*Clg_12_kWh_per_ton_lowerSproulOffices-('Core Loads'!S$640*CogenElecOutputExstg/CogenSteamOutputMMBtuExstg),0)</f>
        <v>35860015.76112289</v>
      </c>
      <c r="U264" s="21">
        <f>MAX('Core Loads'!T$600*Elec_12_kWh_per_kWh_lowerSproulOffices+'Core Loads'!T$620*Process_12_kWh_per_lb_lowerSproulOffices+'Core Loads'!T$640*Htg_12_kWh_per_MMBtu_lowerSproulOffices+'Core Loads'!T$660*Clg_12_kWh_per_ton_lowerSproulOffices-('Core Loads'!T$640*CogenElecOutputExstg/CogenSteamOutputMMBtuExstg),0)</f>
        <v>35860015.76112289</v>
      </c>
      <c r="V264" s="21">
        <f>MAX('Core Loads'!U$600*Elec_12_kWh_per_kWh_lowerSproulOffices+'Core Loads'!U$620*Process_12_kWh_per_lb_lowerSproulOffices+'Core Loads'!U$640*Htg_12_kWh_per_MMBtu_lowerSproulOffices+'Core Loads'!U$660*Clg_12_kWh_per_ton_lowerSproulOffices-('Core Loads'!U$640*CogenElecOutputExstg/CogenSteamOutputMMBtuExstg),0)</f>
        <v>35860015.76112289</v>
      </c>
      <c r="W264" s="21">
        <f>MAX('Core Loads'!V$600*Elec_12_kWh_per_kWh_lowerSproulOffices+'Core Loads'!V$620*Process_12_kWh_per_lb_lowerSproulOffices+'Core Loads'!V$640*Htg_12_kWh_per_MMBtu_lowerSproulOffices+'Core Loads'!V$660*Clg_12_kWh_per_ton_lowerSproulOffices-('Core Loads'!V$640*CogenElecOutputExstg/CogenSteamOutputMMBtuExstg),0)</f>
        <v>35860015.76112289</v>
      </c>
      <c r="X264" s="21">
        <f>MAX('Core Loads'!W$600*Elec_12_kWh_per_kWh_lowerSproulOffices+'Core Loads'!W$620*Process_12_kWh_per_lb_lowerSproulOffices+'Core Loads'!W$640*Htg_12_kWh_per_MMBtu_lowerSproulOffices+'Core Loads'!W$660*Clg_12_kWh_per_ton_lowerSproulOffices-('Core Loads'!W$640*CogenElecOutputExstg/CogenSteamOutputMMBtuExstg),0)</f>
        <v>35860015.76112289</v>
      </c>
      <c r="Y264" s="21">
        <f>MAX('Core Loads'!X$600*Elec_12_kWh_per_kWh_lowerSproulOffices+'Core Loads'!X$620*Process_12_kWh_per_lb_lowerSproulOffices+'Core Loads'!X$640*Htg_12_kWh_per_MMBtu_lowerSproulOffices+'Core Loads'!X$660*Clg_12_kWh_per_ton_lowerSproulOffices-('Core Loads'!X$640*CogenElecOutputExstg/CogenSteamOutputMMBtuExstg),0)</f>
        <v>35860015.76112289</v>
      </c>
      <c r="Z264" s="21">
        <f>MAX('Core Loads'!Y$600*Elec_12_kWh_per_kWh_lowerSproulOffices+'Core Loads'!Y$620*Process_12_kWh_per_lb_lowerSproulOffices+'Core Loads'!Y$640*Htg_12_kWh_per_MMBtu_lowerSproulOffices+'Core Loads'!Y$660*Clg_12_kWh_per_ton_lowerSproulOffices-('Core Loads'!Y$640*CogenElecOutputExstg/CogenSteamOutputMMBtuExstg),0)</f>
        <v>35860015.76112289</v>
      </c>
      <c r="AA264" s="21">
        <f>MAX('Core Loads'!Z$600*Elec_12_kWh_per_kWh_lowerSproulOffices+'Core Loads'!Z$620*Process_12_kWh_per_lb_lowerSproulOffices+'Core Loads'!Z$640*Htg_12_kWh_per_MMBtu_lowerSproulOffices+'Core Loads'!Z$660*Clg_12_kWh_per_ton_lowerSproulOffices-('Core Loads'!Z$640*CogenElecOutputExstg/CogenSteamOutputMMBtuExstg),0)</f>
        <v>35860015.76112289</v>
      </c>
      <c r="AB264" s="21">
        <f>MAX('Core Loads'!AA$600*Elec_12_kWh_per_kWh_lowerSproulOffices+'Core Loads'!AA$620*Process_12_kWh_per_lb_lowerSproulOffices+'Core Loads'!AA$640*Htg_12_kWh_per_MMBtu_lowerSproulOffices+'Core Loads'!AA$660*Clg_12_kWh_per_ton_lowerSproulOffices-('Core Loads'!AA$640*CogenElecOutputExstg/CogenSteamOutputMMBtuExstg),0)</f>
        <v>35860015.76112289</v>
      </c>
      <c r="AC264" s="21">
        <f>MAX('Core Loads'!AB$600*Elec_12_kWh_per_kWh_lowerSproulOffices+'Core Loads'!AB$620*Process_12_kWh_per_lb_lowerSproulOffices+'Core Loads'!AB$640*Htg_12_kWh_per_MMBtu_lowerSproulOffices+'Core Loads'!AB$660*Clg_12_kWh_per_ton_lowerSproulOffices-('Core Loads'!AB$640*CogenElecOutputExstg/CogenSteamOutputMMBtuExstg),0)</f>
        <v>35860015.76112289</v>
      </c>
      <c r="AD264" s="21">
        <f>MAX('Core Loads'!AC$600*Elec_12_kWh_per_kWh_lowerSproulOffices+'Core Loads'!AC$620*Process_12_kWh_per_lb_lowerSproulOffices+'Core Loads'!AC$640*Htg_12_kWh_per_MMBtu_lowerSproulOffices+'Core Loads'!AC$660*Clg_12_kWh_per_ton_lowerSproulOffices-('Core Loads'!AC$640*CogenElecOutputExstg/CogenSteamOutputMMBtuExstg),0)</f>
        <v>35860015.76112289</v>
      </c>
      <c r="AE264" s="21">
        <f>MAX('Core Loads'!AD$600*Elec_12_kWh_per_kWh_lowerSproulOffices+'Core Loads'!AD$620*Process_12_kWh_per_lb_lowerSproulOffices+'Core Loads'!AD$640*Htg_12_kWh_per_MMBtu_lowerSproulOffices+'Core Loads'!AD$660*Clg_12_kWh_per_ton_lowerSproulOffices-('Core Loads'!AD$640*CogenElecOutputExstg/CogenSteamOutputMMBtuExstg),0)</f>
        <v>35860015.76112289</v>
      </c>
      <c r="AF264" s="21">
        <f>MAX('Core Loads'!AE$600*Elec_12_kWh_per_kWh_lowerSproulOffices+'Core Loads'!AE$620*Process_12_kWh_per_lb_lowerSproulOffices+'Core Loads'!AE$640*Htg_12_kWh_per_MMBtu_lowerSproulOffices+'Core Loads'!AE$660*Clg_12_kWh_per_ton_lowerSproulOffices-('Core Loads'!AE$640*CogenElecOutputExstg/CogenSteamOutputMMBtuExstg),0)</f>
        <v>35860015.76112289</v>
      </c>
      <c r="AG264" s="21">
        <f>MAX('Core Loads'!AF$600*Elec_12_kWh_per_kWh_lowerSproulOffices+'Core Loads'!AF$620*Process_12_kWh_per_lb_lowerSproulOffices+'Core Loads'!AF$640*Htg_12_kWh_per_MMBtu_lowerSproulOffices+'Core Loads'!AF$660*Clg_12_kWh_per_ton_lowerSproulOffices-('Core Loads'!AF$640*CogenElecOutputExstg/CogenSteamOutputMMBtuExstg),0)</f>
        <v>35860015.76112289</v>
      </c>
      <c r="AH264"/>
      <c r="AI264" s="23" t="s">
        <v>293</v>
      </c>
    </row>
    <row r="265" spans="2:35" s="1" customFormat="1" hidden="1" outlineLevel="1" x14ac:dyDescent="0.25">
      <c r="B265" t="s">
        <v>136</v>
      </c>
      <c r="C265" t="s">
        <v>169</v>
      </c>
      <c r="D265" s="21">
        <f>SUM(D266:D270)</f>
        <v>0</v>
      </c>
      <c r="E265" s="21">
        <f t="shared" ref="E265:AG265" si="10">SUM(E266:E270)</f>
        <v>0</v>
      </c>
      <c r="F265" s="21">
        <f t="shared" si="10"/>
        <v>2565274.1088963212</v>
      </c>
      <c r="G265" s="21">
        <f t="shared" si="10"/>
        <v>2565274.1088963212</v>
      </c>
      <c r="H265" s="21">
        <f t="shared" si="10"/>
        <v>2565274.1088963212</v>
      </c>
      <c r="I265" s="21">
        <f t="shared" si="10"/>
        <v>2565274.1088963212</v>
      </c>
      <c r="J265" s="21">
        <f t="shared" si="10"/>
        <v>2565274.1088963212</v>
      </c>
      <c r="K265" s="21">
        <f t="shared" si="10"/>
        <v>2565274.1088963212</v>
      </c>
      <c r="L265" s="21">
        <f t="shared" si="10"/>
        <v>2565274.1088963212</v>
      </c>
      <c r="M265" s="21">
        <f t="shared" si="10"/>
        <v>2346467.9582151663</v>
      </c>
      <c r="N265" s="21">
        <f t="shared" si="10"/>
        <v>2346467.9582151663</v>
      </c>
      <c r="O265" s="21">
        <f t="shared" si="10"/>
        <v>2314068.5605899175</v>
      </c>
      <c r="P265" s="21">
        <f t="shared" si="10"/>
        <v>2314068.5605899175</v>
      </c>
      <c r="Q265" s="21">
        <f t="shared" si="10"/>
        <v>2310160.1223315848</v>
      </c>
      <c r="R265" s="21">
        <f t="shared" si="10"/>
        <v>2310160.1223315848</v>
      </c>
      <c r="S265" s="21">
        <f t="shared" si="10"/>
        <v>3182974.7106661899</v>
      </c>
      <c r="T265" s="21">
        <f t="shared" si="10"/>
        <v>3182974.7106661899</v>
      </c>
      <c r="U265" s="21">
        <f t="shared" si="10"/>
        <v>3141298.2662485251</v>
      </c>
      <c r="V265" s="21">
        <f t="shared" si="10"/>
        <v>3141298.2662485251</v>
      </c>
      <c r="W265" s="21">
        <f t="shared" si="10"/>
        <v>3141298.2662485251</v>
      </c>
      <c r="X265" s="21">
        <f t="shared" si="10"/>
        <v>3141298.2662485251</v>
      </c>
      <c r="Y265" s="21">
        <f t="shared" si="10"/>
        <v>3141298.2662485251</v>
      </c>
      <c r="Z265" s="21">
        <f t="shared" si="10"/>
        <v>3141298.2662485251</v>
      </c>
      <c r="AA265" s="21">
        <f t="shared" si="10"/>
        <v>3141298.2662485251</v>
      </c>
      <c r="AB265" s="21">
        <f t="shared" si="10"/>
        <v>3141298.2662485251</v>
      </c>
      <c r="AC265" s="21">
        <f t="shared" si="10"/>
        <v>3097709.5353105851</v>
      </c>
      <c r="AD265" s="21">
        <f t="shared" si="10"/>
        <v>3097709.5353105851</v>
      </c>
      <c r="AE265" s="21">
        <f t="shared" si="10"/>
        <v>3097709.5353105851</v>
      </c>
      <c r="AF265" s="21">
        <f t="shared" si="10"/>
        <v>3097709.5353105851</v>
      </c>
      <c r="AG265" s="21">
        <f t="shared" si="10"/>
        <v>3097709.5353105851</v>
      </c>
      <c r="AH265"/>
      <c r="AI265" s="23" t="s">
        <v>295</v>
      </c>
    </row>
    <row r="266" spans="2:35" s="1" customFormat="1" hidden="1" outlineLevel="1" x14ac:dyDescent="0.25">
      <c r="C266" s="31" t="s">
        <v>144</v>
      </c>
      <c r="D266" s="21">
        <f>'Core Loads'!C$616*Process_12_therm_per_lb_biosciences+'Core Loads'!C$636*Htg_12_therm_per_MMBtu_biosciences</f>
        <v>0</v>
      </c>
      <c r="E266" s="21">
        <f>'Core Loads'!D$616*Process_12_therm_per_lb_biosciences+'Core Loads'!D$636*Htg_12_therm_per_MMBtu_biosciences</f>
        <v>0</v>
      </c>
      <c r="F266" s="21">
        <f>'Core Loads'!E$616*Process_12_therm_per_lb_biosciences+'Core Loads'!E$636*Htg_12_therm_per_MMBtu_biosciences</f>
        <v>0</v>
      </c>
      <c r="G266" s="21">
        <f>'Core Loads'!F$616*Process_12_therm_per_lb_biosciences+'Core Loads'!F$636*Htg_12_therm_per_MMBtu_biosciences</f>
        <v>0</v>
      </c>
      <c r="H266" s="21">
        <f>'Core Loads'!G$616*Process_12_therm_per_lb_biosciences+'Core Loads'!G$636*Htg_12_therm_per_MMBtu_biosciences</f>
        <v>0</v>
      </c>
      <c r="I266" s="21">
        <f>'Core Loads'!H$616*Process_12_therm_per_lb_biosciences+'Core Loads'!H$636*Htg_12_therm_per_MMBtu_biosciences</f>
        <v>0</v>
      </c>
      <c r="J266" s="21">
        <f>'Core Loads'!I$616*Process_12_therm_per_lb_biosciences+'Core Loads'!I$636*Htg_12_therm_per_MMBtu_biosciences</f>
        <v>0</v>
      </c>
      <c r="K266" s="21">
        <f>'Core Loads'!J$616*Process_12_therm_per_lb_biosciences+'Core Loads'!J$636*Htg_12_therm_per_MMBtu_biosciences</f>
        <v>0</v>
      </c>
      <c r="L266" s="21">
        <f>'Core Loads'!K$616*Process_12_therm_per_lb_biosciences+'Core Loads'!K$636*Htg_12_therm_per_MMBtu_biosciences</f>
        <v>0</v>
      </c>
      <c r="M266" s="21">
        <f>'Core Loads'!L$616*Process_12_therm_per_lb_biosciences+'Core Loads'!L$636*Htg_12_therm_per_MMBtu_biosciences</f>
        <v>0</v>
      </c>
      <c r="N266" s="21">
        <f>'Core Loads'!M$616*Process_12_therm_per_lb_biosciences+'Core Loads'!M$636*Htg_12_therm_per_MMBtu_biosciences</f>
        <v>0</v>
      </c>
      <c r="O266" s="21">
        <f>'Core Loads'!N$616*Process_12_therm_per_lb_biosciences+'Core Loads'!N$636*Htg_12_therm_per_MMBtu_biosciences</f>
        <v>0</v>
      </c>
      <c r="P266" s="21">
        <f>'Core Loads'!O$616*Process_12_therm_per_lb_biosciences+'Core Loads'!O$636*Htg_12_therm_per_MMBtu_biosciences</f>
        <v>0</v>
      </c>
      <c r="Q266" s="21">
        <f>'Core Loads'!P$616*Process_12_therm_per_lb_biosciences+'Core Loads'!P$636*Htg_12_therm_per_MMBtu_biosciences</f>
        <v>0</v>
      </c>
      <c r="R266" s="21">
        <f>'Core Loads'!Q$616*Process_12_therm_per_lb_biosciences+'Core Loads'!Q$636*Htg_12_therm_per_MMBtu_biosciences</f>
        <v>0</v>
      </c>
      <c r="S266" s="21">
        <f>'Core Loads'!R$616*Process_12_therm_per_lb_biosciences+'Core Loads'!R$636*Htg_12_therm_per_MMBtu_biosciences</f>
        <v>0</v>
      </c>
      <c r="T266" s="21">
        <f>'Core Loads'!S$616*Process_12_therm_per_lb_biosciences+'Core Loads'!S$636*Htg_12_therm_per_MMBtu_biosciences</f>
        <v>0</v>
      </c>
      <c r="U266" s="21">
        <f>'Core Loads'!T$616*Process_12_therm_per_lb_biosciences+'Core Loads'!T$636*Htg_12_therm_per_MMBtu_biosciences</f>
        <v>0</v>
      </c>
      <c r="V266" s="21">
        <f>'Core Loads'!U$616*Process_12_therm_per_lb_biosciences+'Core Loads'!U$636*Htg_12_therm_per_MMBtu_biosciences</f>
        <v>0</v>
      </c>
      <c r="W266" s="21">
        <f>'Core Loads'!V$616*Process_12_therm_per_lb_biosciences+'Core Loads'!V$636*Htg_12_therm_per_MMBtu_biosciences</f>
        <v>0</v>
      </c>
      <c r="X266" s="21">
        <f>'Core Loads'!W$616*Process_12_therm_per_lb_biosciences+'Core Loads'!W$636*Htg_12_therm_per_MMBtu_biosciences</f>
        <v>0</v>
      </c>
      <c r="Y266" s="21">
        <f>'Core Loads'!X$616*Process_12_therm_per_lb_biosciences+'Core Loads'!X$636*Htg_12_therm_per_MMBtu_biosciences</f>
        <v>0</v>
      </c>
      <c r="Z266" s="21">
        <f>'Core Loads'!Y$616*Process_12_therm_per_lb_biosciences+'Core Loads'!Y$636*Htg_12_therm_per_MMBtu_biosciences</f>
        <v>0</v>
      </c>
      <c r="AA266" s="21">
        <f>'Core Loads'!Z$616*Process_12_therm_per_lb_biosciences+'Core Loads'!Z$636*Htg_12_therm_per_MMBtu_biosciences</f>
        <v>0</v>
      </c>
      <c r="AB266" s="21">
        <f>'Core Loads'!AA$616*Process_12_therm_per_lb_biosciences+'Core Loads'!AA$636*Htg_12_therm_per_MMBtu_biosciences</f>
        <v>0</v>
      </c>
      <c r="AC266" s="21">
        <f>'Core Loads'!AB$616*Process_12_therm_per_lb_biosciences+'Core Loads'!AB$636*Htg_12_therm_per_MMBtu_biosciences</f>
        <v>0</v>
      </c>
      <c r="AD266" s="21">
        <f>'Core Loads'!AC$616*Process_12_therm_per_lb_biosciences+'Core Loads'!AC$636*Htg_12_therm_per_MMBtu_biosciences</f>
        <v>0</v>
      </c>
      <c r="AE266" s="21">
        <f>'Core Loads'!AD$616*Process_12_therm_per_lb_biosciences+'Core Loads'!AD$636*Htg_12_therm_per_MMBtu_biosciences</f>
        <v>0</v>
      </c>
      <c r="AF266" s="21">
        <f>'Core Loads'!AE$616*Process_12_therm_per_lb_biosciences+'Core Loads'!AE$636*Htg_12_therm_per_MMBtu_biosciences</f>
        <v>0</v>
      </c>
      <c r="AG266" s="21">
        <f>'Core Loads'!AF$616*Process_12_therm_per_lb_biosciences+'Core Loads'!AF$636*Htg_12_therm_per_MMBtu_biosciences</f>
        <v>0</v>
      </c>
      <c r="AH266"/>
      <c r="AI266" s="23" t="s">
        <v>293</v>
      </c>
    </row>
    <row r="267" spans="2:35" s="1" customFormat="1" hidden="1" outlineLevel="1" x14ac:dyDescent="0.25">
      <c r="C267" s="31" t="s">
        <v>145</v>
      </c>
      <c r="D267" s="21">
        <f>'Core Loads'!C$617*Process_12_therm_per_lb_businessAndLaw+'Core Loads'!C$637*Htg_12_therm_per_MMBtu_businessAndLaw</f>
        <v>0</v>
      </c>
      <c r="E267" s="21">
        <f>'Core Loads'!D$617*Process_12_therm_per_lb_businessAndLaw+'Core Loads'!D$637*Htg_12_therm_per_MMBtu_businessAndLaw</f>
        <v>0</v>
      </c>
      <c r="F267" s="21">
        <f>'Core Loads'!E$617*Process_12_therm_per_lb_businessAndLaw+'Core Loads'!E$637*Htg_12_therm_per_MMBtu_businessAndLaw</f>
        <v>2256346.0799671998</v>
      </c>
      <c r="G267" s="21">
        <f>'Core Loads'!F$617*Process_12_therm_per_lb_businessAndLaw+'Core Loads'!F$637*Htg_12_therm_per_MMBtu_businessAndLaw</f>
        <v>2256346.0799671998</v>
      </c>
      <c r="H267" s="21">
        <f>'Core Loads'!G$617*Process_12_therm_per_lb_businessAndLaw+'Core Loads'!G$637*Htg_12_therm_per_MMBtu_businessAndLaw</f>
        <v>2256346.0799671998</v>
      </c>
      <c r="I267" s="21">
        <f>'Core Loads'!H$617*Process_12_therm_per_lb_businessAndLaw+'Core Loads'!H$637*Htg_12_therm_per_MMBtu_businessAndLaw</f>
        <v>2256346.0799671998</v>
      </c>
      <c r="J267" s="21">
        <f>'Core Loads'!I$617*Process_12_therm_per_lb_businessAndLaw+'Core Loads'!I$637*Htg_12_therm_per_MMBtu_businessAndLaw</f>
        <v>2256346.0799671998</v>
      </c>
      <c r="K267" s="21">
        <f>'Core Loads'!J$617*Process_12_therm_per_lb_businessAndLaw+'Core Loads'!J$637*Htg_12_therm_per_MMBtu_businessAndLaw</f>
        <v>2256346.0799671998</v>
      </c>
      <c r="L267" s="21">
        <f>'Core Loads'!K$617*Process_12_therm_per_lb_businessAndLaw+'Core Loads'!K$637*Htg_12_therm_per_MMBtu_businessAndLaw</f>
        <v>2256346.0799671998</v>
      </c>
      <c r="M267" s="21">
        <f>'Core Loads'!L$617*Process_12_therm_per_lb_businessAndLaw+'Core Loads'!L$637*Htg_12_therm_per_MMBtu_businessAndLaw</f>
        <v>2037539.929286045</v>
      </c>
      <c r="N267" s="21">
        <f>'Core Loads'!M$617*Process_12_therm_per_lb_businessAndLaw+'Core Loads'!M$637*Htg_12_therm_per_MMBtu_businessAndLaw</f>
        <v>2037539.929286045</v>
      </c>
      <c r="O267" s="21">
        <f>'Core Loads'!N$617*Process_12_therm_per_lb_businessAndLaw+'Core Loads'!N$637*Htg_12_therm_per_MMBtu_businessAndLaw</f>
        <v>2037539.929286045</v>
      </c>
      <c r="P267" s="21">
        <f>'Core Loads'!O$617*Process_12_therm_per_lb_businessAndLaw+'Core Loads'!O$637*Htg_12_therm_per_MMBtu_businessAndLaw</f>
        <v>2037539.929286045</v>
      </c>
      <c r="Q267" s="21">
        <f>'Core Loads'!P$617*Process_12_therm_per_lb_businessAndLaw+'Core Loads'!P$637*Htg_12_therm_per_MMBtu_businessAndLaw</f>
        <v>2033631.4910277124</v>
      </c>
      <c r="R267" s="21">
        <f>'Core Loads'!Q$617*Process_12_therm_per_lb_businessAndLaw+'Core Loads'!Q$637*Htg_12_therm_per_MMBtu_businessAndLaw</f>
        <v>2033631.4910277124</v>
      </c>
      <c r="S267" s="21">
        <f>'Core Loads'!R$617*Process_12_therm_per_lb_businessAndLaw+'Core Loads'!R$637*Htg_12_therm_per_MMBtu_businessAndLaw</f>
        <v>2025080.3642337581</v>
      </c>
      <c r="T267" s="21">
        <f>'Core Loads'!S$617*Process_12_therm_per_lb_businessAndLaw+'Core Loads'!S$637*Htg_12_therm_per_MMBtu_businessAndLaw</f>
        <v>2025080.3642337581</v>
      </c>
      <c r="U267" s="21">
        <f>'Core Loads'!T$617*Process_12_therm_per_lb_businessAndLaw+'Core Loads'!T$637*Htg_12_therm_per_MMBtu_businessAndLaw</f>
        <v>1983403.9198160935</v>
      </c>
      <c r="V267" s="21">
        <f>'Core Loads'!U$617*Process_12_therm_per_lb_businessAndLaw+'Core Loads'!U$637*Htg_12_therm_per_MMBtu_businessAndLaw</f>
        <v>1983403.9198160935</v>
      </c>
      <c r="W267" s="21">
        <f>'Core Loads'!V$617*Process_12_therm_per_lb_businessAndLaw+'Core Loads'!V$637*Htg_12_therm_per_MMBtu_businessAndLaw</f>
        <v>1983403.9198160935</v>
      </c>
      <c r="X267" s="21">
        <f>'Core Loads'!W$617*Process_12_therm_per_lb_businessAndLaw+'Core Loads'!W$637*Htg_12_therm_per_MMBtu_businessAndLaw</f>
        <v>1983403.9198160935</v>
      </c>
      <c r="Y267" s="21">
        <f>'Core Loads'!X$617*Process_12_therm_per_lb_businessAndLaw+'Core Loads'!X$637*Htg_12_therm_per_MMBtu_businessAndLaw</f>
        <v>1983403.9198160935</v>
      </c>
      <c r="Z267" s="21">
        <f>'Core Loads'!Y$617*Process_12_therm_per_lb_businessAndLaw+'Core Loads'!Y$637*Htg_12_therm_per_MMBtu_businessAndLaw</f>
        <v>1983403.9198160935</v>
      </c>
      <c r="AA267" s="21">
        <f>'Core Loads'!Z$617*Process_12_therm_per_lb_businessAndLaw+'Core Loads'!Z$637*Htg_12_therm_per_MMBtu_businessAndLaw</f>
        <v>1983403.9198160935</v>
      </c>
      <c r="AB267" s="21">
        <f>'Core Loads'!AA$617*Process_12_therm_per_lb_businessAndLaw+'Core Loads'!AA$637*Htg_12_therm_per_MMBtu_businessAndLaw</f>
        <v>1983403.9198160935</v>
      </c>
      <c r="AC267" s="21">
        <f>'Core Loads'!AB$617*Process_12_therm_per_lb_businessAndLaw+'Core Loads'!AB$637*Htg_12_therm_per_MMBtu_businessAndLaw</f>
        <v>1939815.1888781535</v>
      </c>
      <c r="AD267" s="21">
        <f>'Core Loads'!AC$617*Process_12_therm_per_lb_businessAndLaw+'Core Loads'!AC$637*Htg_12_therm_per_MMBtu_businessAndLaw</f>
        <v>1939815.1888781535</v>
      </c>
      <c r="AE267" s="21">
        <f>'Core Loads'!AD$617*Process_12_therm_per_lb_businessAndLaw+'Core Loads'!AD$637*Htg_12_therm_per_MMBtu_businessAndLaw</f>
        <v>1939815.1888781535</v>
      </c>
      <c r="AF267" s="21">
        <f>'Core Loads'!AE$617*Process_12_therm_per_lb_businessAndLaw+'Core Loads'!AE$637*Htg_12_therm_per_MMBtu_businessAndLaw</f>
        <v>1939815.1888781535</v>
      </c>
      <c r="AG267" s="21">
        <f>'Core Loads'!AF$617*Process_12_therm_per_lb_businessAndLaw+'Core Loads'!AF$637*Htg_12_therm_per_MMBtu_businessAndLaw</f>
        <v>1939815.1888781535</v>
      </c>
      <c r="AH267"/>
      <c r="AI267" s="23" t="s">
        <v>293</v>
      </c>
    </row>
    <row r="268" spans="2:35" s="1" customFormat="1" hidden="1" outlineLevel="1" x14ac:dyDescent="0.25">
      <c r="C268" s="31" t="s">
        <v>244</v>
      </c>
      <c r="D268" s="21">
        <f>'Core Loads'!C$618*Process_12_therm_per_lb_Engineering+'Core Loads'!C$638*Htg_12_therm_per_MMBtu_Engineering</f>
        <v>0</v>
      </c>
      <c r="E268" s="21">
        <f>'Core Loads'!D$618*Process_12_therm_per_lb_Engineering+'Core Loads'!D$638*Htg_12_therm_per_MMBtu_Engineering</f>
        <v>0</v>
      </c>
      <c r="F268" s="21">
        <f>'Core Loads'!E$618*Process_12_therm_per_lb_Engineering+'Core Loads'!E$638*Htg_12_therm_per_MMBtu_Engineering</f>
        <v>0</v>
      </c>
      <c r="G268" s="21">
        <f>'Core Loads'!F$618*Process_12_therm_per_lb_Engineering+'Core Loads'!F$638*Htg_12_therm_per_MMBtu_Engineering</f>
        <v>0</v>
      </c>
      <c r="H268" s="21">
        <f>'Core Loads'!G$618*Process_12_therm_per_lb_Engineering+'Core Loads'!G$638*Htg_12_therm_per_MMBtu_Engineering</f>
        <v>0</v>
      </c>
      <c r="I268" s="21">
        <f>'Core Loads'!H$618*Process_12_therm_per_lb_Engineering+'Core Loads'!H$638*Htg_12_therm_per_MMBtu_Engineering</f>
        <v>0</v>
      </c>
      <c r="J268" s="21">
        <f>'Core Loads'!I$618*Process_12_therm_per_lb_Engineering+'Core Loads'!I$638*Htg_12_therm_per_MMBtu_Engineering</f>
        <v>0</v>
      </c>
      <c r="K268" s="21">
        <f>'Core Loads'!J$618*Process_12_therm_per_lb_Engineering+'Core Loads'!J$638*Htg_12_therm_per_MMBtu_Engineering</f>
        <v>0</v>
      </c>
      <c r="L268" s="21">
        <f>'Core Loads'!K$618*Process_12_therm_per_lb_Engineering+'Core Loads'!K$638*Htg_12_therm_per_MMBtu_Engineering</f>
        <v>0</v>
      </c>
      <c r="M268" s="21">
        <f>'Core Loads'!L$618*Process_12_therm_per_lb_Engineering+'Core Loads'!L$638*Htg_12_therm_per_MMBtu_Engineering</f>
        <v>0</v>
      </c>
      <c r="N268" s="21">
        <f>'Core Loads'!M$618*Process_12_therm_per_lb_Engineering+'Core Loads'!M$638*Htg_12_therm_per_MMBtu_Engineering</f>
        <v>0</v>
      </c>
      <c r="O268" s="21">
        <f>'Core Loads'!N$618*Process_12_therm_per_lb_Engineering+'Core Loads'!N$638*Htg_12_therm_per_MMBtu_Engineering</f>
        <v>0</v>
      </c>
      <c r="P268" s="21">
        <f>'Core Loads'!O$618*Process_12_therm_per_lb_Engineering+'Core Loads'!O$638*Htg_12_therm_per_MMBtu_Engineering</f>
        <v>0</v>
      </c>
      <c r="Q268" s="21">
        <f>'Core Loads'!P$618*Process_12_therm_per_lb_Engineering+'Core Loads'!P$638*Htg_12_therm_per_MMBtu_Engineering</f>
        <v>0</v>
      </c>
      <c r="R268" s="21">
        <f>'Core Loads'!Q$618*Process_12_therm_per_lb_Engineering+'Core Loads'!Q$638*Htg_12_therm_per_MMBtu_Engineering</f>
        <v>0</v>
      </c>
      <c r="S268" s="21">
        <f>'Core Loads'!R$618*Process_12_therm_per_lb_Engineering+'Core Loads'!R$638*Htg_12_therm_per_MMBtu_Engineering</f>
        <v>0</v>
      </c>
      <c r="T268" s="21">
        <f>'Core Loads'!S$618*Process_12_therm_per_lb_Engineering+'Core Loads'!S$638*Htg_12_therm_per_MMBtu_Engineering</f>
        <v>0</v>
      </c>
      <c r="U268" s="21">
        <f>'Core Loads'!T$618*Process_12_therm_per_lb_Engineering+'Core Loads'!T$638*Htg_12_therm_per_MMBtu_Engineering</f>
        <v>0</v>
      </c>
      <c r="V268" s="21">
        <f>'Core Loads'!U$618*Process_12_therm_per_lb_Engineering+'Core Loads'!U$638*Htg_12_therm_per_MMBtu_Engineering</f>
        <v>0</v>
      </c>
      <c r="W268" s="21">
        <f>'Core Loads'!V$618*Process_12_therm_per_lb_Engineering+'Core Loads'!V$638*Htg_12_therm_per_MMBtu_Engineering</f>
        <v>0</v>
      </c>
      <c r="X268" s="21">
        <f>'Core Loads'!W$618*Process_12_therm_per_lb_Engineering+'Core Loads'!W$638*Htg_12_therm_per_MMBtu_Engineering</f>
        <v>0</v>
      </c>
      <c r="Y268" s="21">
        <f>'Core Loads'!X$618*Process_12_therm_per_lb_Engineering+'Core Loads'!X$638*Htg_12_therm_per_MMBtu_Engineering</f>
        <v>0</v>
      </c>
      <c r="Z268" s="21">
        <f>'Core Loads'!Y$618*Process_12_therm_per_lb_Engineering+'Core Loads'!Y$638*Htg_12_therm_per_MMBtu_Engineering</f>
        <v>0</v>
      </c>
      <c r="AA268" s="21">
        <f>'Core Loads'!Z$618*Process_12_therm_per_lb_Engineering+'Core Loads'!Z$638*Htg_12_therm_per_MMBtu_Engineering</f>
        <v>0</v>
      </c>
      <c r="AB268" s="21">
        <f>'Core Loads'!AA$618*Process_12_therm_per_lb_Engineering+'Core Loads'!AA$638*Htg_12_therm_per_MMBtu_Engineering</f>
        <v>0</v>
      </c>
      <c r="AC268" s="21">
        <f>'Core Loads'!AB$618*Process_12_therm_per_lb_Engineering+'Core Loads'!AB$638*Htg_12_therm_per_MMBtu_Engineering</f>
        <v>0</v>
      </c>
      <c r="AD268" s="21">
        <f>'Core Loads'!AC$618*Process_12_therm_per_lb_Engineering+'Core Loads'!AC$638*Htg_12_therm_per_MMBtu_Engineering</f>
        <v>0</v>
      </c>
      <c r="AE268" s="21">
        <f>'Core Loads'!AD$618*Process_12_therm_per_lb_Engineering+'Core Loads'!AD$638*Htg_12_therm_per_MMBtu_Engineering</f>
        <v>0</v>
      </c>
      <c r="AF268" s="21">
        <f>'Core Loads'!AE$618*Process_12_therm_per_lb_Engineering+'Core Loads'!AE$638*Htg_12_therm_per_MMBtu_Engineering</f>
        <v>0</v>
      </c>
      <c r="AG268" s="21">
        <f>'Core Loads'!AF$618*Process_12_therm_per_lb_Engineering+'Core Loads'!AF$638*Htg_12_therm_per_MMBtu_Engineering</f>
        <v>0</v>
      </c>
      <c r="AH268"/>
      <c r="AI268" s="23" t="s">
        <v>293</v>
      </c>
    </row>
    <row r="269" spans="2:35" s="1" customFormat="1" hidden="1" outlineLevel="1" x14ac:dyDescent="0.25">
      <c r="C269" s="31" t="s">
        <v>147</v>
      </c>
      <c r="D269" s="21">
        <f>'Core Loads'!C$619*Process_12_therm_per_lb_Engineering+'Core Loads'!C$639*Htg_12_therm_per_MMBtu_Engineering</f>
        <v>0</v>
      </c>
      <c r="E269" s="21">
        <f>'Core Loads'!D$619*Process_12_therm_per_lb_Engineering+'Core Loads'!D$639*Htg_12_therm_per_MMBtu_Engineering</f>
        <v>0</v>
      </c>
      <c r="F269" s="21">
        <f>'Core Loads'!E$619*Process_12_therm_per_lb_Engineering+'Core Loads'!E$639*Htg_12_therm_per_MMBtu_Engineering</f>
        <v>0</v>
      </c>
      <c r="G269" s="21">
        <f>'Core Loads'!F$619*Process_12_therm_per_lb_Engineering+'Core Loads'!F$639*Htg_12_therm_per_MMBtu_Engineering</f>
        <v>0</v>
      </c>
      <c r="H269" s="21">
        <f>'Core Loads'!G$619*Process_12_therm_per_lb_Engineering+'Core Loads'!G$639*Htg_12_therm_per_MMBtu_Engineering</f>
        <v>0</v>
      </c>
      <c r="I269" s="21">
        <f>'Core Loads'!H$619*Process_12_therm_per_lb_Engineering+'Core Loads'!H$639*Htg_12_therm_per_MMBtu_Engineering</f>
        <v>0</v>
      </c>
      <c r="J269" s="21">
        <f>'Core Loads'!I$619*Process_12_therm_per_lb_Engineering+'Core Loads'!I$639*Htg_12_therm_per_MMBtu_Engineering</f>
        <v>0</v>
      </c>
      <c r="K269" s="21">
        <f>'Core Loads'!J$619*Process_12_therm_per_lb_Engineering+'Core Loads'!J$639*Htg_12_therm_per_MMBtu_Engineering</f>
        <v>0</v>
      </c>
      <c r="L269" s="21">
        <f>'Core Loads'!K$619*Process_12_therm_per_lb_Engineering+'Core Loads'!K$639*Htg_12_therm_per_MMBtu_Engineering</f>
        <v>0</v>
      </c>
      <c r="M269" s="21">
        <f>'Core Loads'!L$619*Process_12_therm_per_lb_Engineering+'Core Loads'!L$639*Htg_12_therm_per_MMBtu_Engineering</f>
        <v>0</v>
      </c>
      <c r="N269" s="21">
        <f>'Core Loads'!M$619*Process_12_therm_per_lb_Engineering+'Core Loads'!M$639*Htg_12_therm_per_MMBtu_Engineering</f>
        <v>0</v>
      </c>
      <c r="O269" s="21">
        <f>'Core Loads'!N$619*Process_12_therm_per_lb_Engineering+'Core Loads'!N$639*Htg_12_therm_per_MMBtu_Engineering</f>
        <v>0</v>
      </c>
      <c r="P269" s="21">
        <f>'Core Loads'!O$619*Process_12_therm_per_lb_Engineering+'Core Loads'!O$639*Htg_12_therm_per_MMBtu_Engineering</f>
        <v>0</v>
      </c>
      <c r="Q269" s="21">
        <f>'Core Loads'!P$619*Process_12_therm_per_lb_Engineering+'Core Loads'!P$639*Htg_12_therm_per_MMBtu_Engineering</f>
        <v>0</v>
      </c>
      <c r="R269" s="21">
        <f>'Core Loads'!Q$619*Process_12_therm_per_lb_Engineering+'Core Loads'!Q$639*Htg_12_therm_per_MMBtu_Engineering</f>
        <v>0</v>
      </c>
      <c r="S269" s="21">
        <f>'Core Loads'!R$619*Process_12_therm_per_lb_Engineering+'Core Loads'!R$639*Htg_12_therm_per_MMBtu_Engineering</f>
        <v>0</v>
      </c>
      <c r="T269" s="21">
        <f>'Core Loads'!S$619*Process_12_therm_per_lb_Engineering+'Core Loads'!S$639*Htg_12_therm_per_MMBtu_Engineering</f>
        <v>0</v>
      </c>
      <c r="U269" s="21">
        <f>'Core Loads'!T$619*Process_12_therm_per_lb_Engineering+'Core Loads'!T$639*Htg_12_therm_per_MMBtu_Engineering</f>
        <v>0</v>
      </c>
      <c r="V269" s="21">
        <f>'Core Loads'!U$619*Process_12_therm_per_lb_Engineering+'Core Loads'!U$639*Htg_12_therm_per_MMBtu_Engineering</f>
        <v>0</v>
      </c>
      <c r="W269" s="21">
        <f>'Core Loads'!V$619*Process_12_therm_per_lb_Engineering+'Core Loads'!V$639*Htg_12_therm_per_MMBtu_Engineering</f>
        <v>0</v>
      </c>
      <c r="X269" s="21">
        <f>'Core Loads'!W$619*Process_12_therm_per_lb_Engineering+'Core Loads'!W$639*Htg_12_therm_per_MMBtu_Engineering</f>
        <v>0</v>
      </c>
      <c r="Y269" s="21">
        <f>'Core Loads'!X$619*Process_12_therm_per_lb_Engineering+'Core Loads'!X$639*Htg_12_therm_per_MMBtu_Engineering</f>
        <v>0</v>
      </c>
      <c r="Z269" s="21">
        <f>'Core Loads'!Y$619*Process_12_therm_per_lb_Engineering+'Core Loads'!Y$639*Htg_12_therm_per_MMBtu_Engineering</f>
        <v>0</v>
      </c>
      <c r="AA269" s="21">
        <f>'Core Loads'!Z$619*Process_12_therm_per_lb_Engineering+'Core Loads'!Z$639*Htg_12_therm_per_MMBtu_Engineering</f>
        <v>0</v>
      </c>
      <c r="AB269" s="21">
        <f>'Core Loads'!AA$619*Process_12_therm_per_lb_Engineering+'Core Loads'!AA$639*Htg_12_therm_per_MMBtu_Engineering</f>
        <v>0</v>
      </c>
      <c r="AC269" s="21">
        <f>'Core Loads'!AB$619*Process_12_therm_per_lb_Engineering+'Core Loads'!AB$639*Htg_12_therm_per_MMBtu_Engineering</f>
        <v>0</v>
      </c>
      <c r="AD269" s="21">
        <f>'Core Loads'!AC$619*Process_12_therm_per_lb_Engineering+'Core Loads'!AC$639*Htg_12_therm_per_MMBtu_Engineering</f>
        <v>0</v>
      </c>
      <c r="AE269" s="21">
        <f>'Core Loads'!AD$619*Process_12_therm_per_lb_Engineering+'Core Loads'!AD$639*Htg_12_therm_per_MMBtu_Engineering</f>
        <v>0</v>
      </c>
      <c r="AF269" s="21">
        <f>'Core Loads'!AE$619*Process_12_therm_per_lb_Engineering+'Core Loads'!AE$639*Htg_12_therm_per_MMBtu_Engineering</f>
        <v>0</v>
      </c>
      <c r="AG269" s="21">
        <f>'Core Loads'!AF$619*Process_12_therm_per_lb_Engineering+'Core Loads'!AF$639*Htg_12_therm_per_MMBtu_Engineering</f>
        <v>0</v>
      </c>
      <c r="AH269"/>
      <c r="AI269" s="23" t="s">
        <v>293</v>
      </c>
    </row>
    <row r="270" spans="2:35" s="1" customFormat="1" hidden="1" outlineLevel="1" x14ac:dyDescent="0.25">
      <c r="C270" s="31" t="s">
        <v>245</v>
      </c>
      <c r="D270" s="21">
        <f>'Core Loads'!C$620*Process_12_therm_per_lb_lowerSproulOffices+'Core Loads'!C$640*Htg_12_therm_per_MMBtu_lowerSproulOffices</f>
        <v>0</v>
      </c>
      <c r="E270" s="21">
        <f>'Core Loads'!D$620*Process_12_therm_per_lb_lowerSproulOffices+'Core Loads'!D$640*Htg_12_therm_per_MMBtu_lowerSproulOffices</f>
        <v>0</v>
      </c>
      <c r="F270" s="21">
        <f>'Core Loads'!E$620*Process_12_therm_per_lb_lowerSproulOffices+'Core Loads'!E$640*Htg_12_therm_per_MMBtu_lowerSproulOffices</f>
        <v>308928.02892912133</v>
      </c>
      <c r="G270" s="21">
        <f>'Core Loads'!F$620*Process_12_therm_per_lb_lowerSproulOffices+'Core Loads'!F$640*Htg_12_therm_per_MMBtu_lowerSproulOffices</f>
        <v>308928.02892912133</v>
      </c>
      <c r="H270" s="21">
        <f>'Core Loads'!G$620*Process_12_therm_per_lb_lowerSproulOffices+'Core Loads'!G$640*Htg_12_therm_per_MMBtu_lowerSproulOffices</f>
        <v>308928.02892912133</v>
      </c>
      <c r="I270" s="21">
        <f>'Core Loads'!H$620*Process_12_therm_per_lb_lowerSproulOffices+'Core Loads'!H$640*Htg_12_therm_per_MMBtu_lowerSproulOffices</f>
        <v>308928.02892912133</v>
      </c>
      <c r="J270" s="21">
        <f>'Core Loads'!I$620*Process_12_therm_per_lb_lowerSproulOffices+'Core Loads'!I$640*Htg_12_therm_per_MMBtu_lowerSproulOffices</f>
        <v>308928.02892912133</v>
      </c>
      <c r="K270" s="21">
        <f>'Core Loads'!J$620*Process_12_therm_per_lb_lowerSproulOffices+'Core Loads'!J$640*Htg_12_therm_per_MMBtu_lowerSproulOffices</f>
        <v>308928.02892912133</v>
      </c>
      <c r="L270" s="21">
        <f>'Core Loads'!K$620*Process_12_therm_per_lb_lowerSproulOffices+'Core Loads'!K$640*Htg_12_therm_per_MMBtu_lowerSproulOffices</f>
        <v>308928.02892912133</v>
      </c>
      <c r="M270" s="21">
        <f>'Core Loads'!L$620*Process_12_therm_per_lb_lowerSproulOffices+'Core Loads'!L$640*Htg_12_therm_per_MMBtu_lowerSproulOffices</f>
        <v>308928.02892912133</v>
      </c>
      <c r="N270" s="21">
        <f>'Core Loads'!M$620*Process_12_therm_per_lb_lowerSproulOffices+'Core Loads'!M$640*Htg_12_therm_per_MMBtu_lowerSproulOffices</f>
        <v>308928.02892912133</v>
      </c>
      <c r="O270" s="21">
        <f>'Core Loads'!N$620*Process_12_therm_per_lb_lowerSproulOffices+'Core Loads'!N$640*Htg_12_therm_per_MMBtu_lowerSproulOffices</f>
        <v>276528.63130387227</v>
      </c>
      <c r="P270" s="21">
        <f>'Core Loads'!O$620*Process_12_therm_per_lb_lowerSproulOffices+'Core Loads'!O$640*Htg_12_therm_per_MMBtu_lowerSproulOffices</f>
        <v>276528.63130387227</v>
      </c>
      <c r="Q270" s="21">
        <f>'Core Loads'!P$620*Process_12_therm_per_lb_lowerSproulOffices+'Core Loads'!P$640*Htg_12_therm_per_MMBtu_lowerSproulOffices</f>
        <v>276528.63130387227</v>
      </c>
      <c r="R270" s="21">
        <f>'Core Loads'!Q$620*Process_12_therm_per_lb_lowerSproulOffices+'Core Loads'!Q$640*Htg_12_therm_per_MMBtu_lowerSproulOffices</f>
        <v>276528.63130387227</v>
      </c>
      <c r="S270" s="21">
        <f>'Core Loads'!R$620*Process_12_therm_per_lb_lowerSproulOffices+'Core Loads'!R$640*Htg_12_therm_per_MMBtu_lowerSproulOffices</f>
        <v>1157894.3464324316</v>
      </c>
      <c r="T270" s="21">
        <f>'Core Loads'!S$620*Process_12_therm_per_lb_lowerSproulOffices+'Core Loads'!S$640*Htg_12_therm_per_MMBtu_lowerSproulOffices</f>
        <v>1157894.3464324316</v>
      </c>
      <c r="U270" s="21">
        <f>'Core Loads'!T$620*Process_12_therm_per_lb_lowerSproulOffices+'Core Loads'!T$640*Htg_12_therm_per_MMBtu_lowerSproulOffices</f>
        <v>1157894.3464324316</v>
      </c>
      <c r="V270" s="21">
        <f>'Core Loads'!U$620*Process_12_therm_per_lb_lowerSproulOffices+'Core Loads'!U$640*Htg_12_therm_per_MMBtu_lowerSproulOffices</f>
        <v>1157894.3464324316</v>
      </c>
      <c r="W270" s="21">
        <f>'Core Loads'!V$620*Process_12_therm_per_lb_lowerSproulOffices+'Core Loads'!V$640*Htg_12_therm_per_MMBtu_lowerSproulOffices</f>
        <v>1157894.3464324316</v>
      </c>
      <c r="X270" s="21">
        <f>'Core Loads'!W$620*Process_12_therm_per_lb_lowerSproulOffices+'Core Loads'!W$640*Htg_12_therm_per_MMBtu_lowerSproulOffices</f>
        <v>1157894.3464324316</v>
      </c>
      <c r="Y270" s="21">
        <f>'Core Loads'!X$620*Process_12_therm_per_lb_lowerSproulOffices+'Core Loads'!X$640*Htg_12_therm_per_MMBtu_lowerSproulOffices</f>
        <v>1157894.3464324316</v>
      </c>
      <c r="Z270" s="21">
        <f>'Core Loads'!Y$620*Process_12_therm_per_lb_lowerSproulOffices+'Core Loads'!Y$640*Htg_12_therm_per_MMBtu_lowerSproulOffices</f>
        <v>1157894.3464324316</v>
      </c>
      <c r="AA270" s="21">
        <f>'Core Loads'!Z$620*Process_12_therm_per_lb_lowerSproulOffices+'Core Loads'!Z$640*Htg_12_therm_per_MMBtu_lowerSproulOffices</f>
        <v>1157894.3464324316</v>
      </c>
      <c r="AB270" s="21">
        <f>'Core Loads'!AA$620*Process_12_therm_per_lb_lowerSproulOffices+'Core Loads'!AA$640*Htg_12_therm_per_MMBtu_lowerSproulOffices</f>
        <v>1157894.3464324316</v>
      </c>
      <c r="AC270" s="21">
        <f>'Core Loads'!AB$620*Process_12_therm_per_lb_lowerSproulOffices+'Core Loads'!AB$640*Htg_12_therm_per_MMBtu_lowerSproulOffices</f>
        <v>1157894.3464324316</v>
      </c>
      <c r="AD270" s="21">
        <f>'Core Loads'!AC$620*Process_12_therm_per_lb_lowerSproulOffices+'Core Loads'!AC$640*Htg_12_therm_per_MMBtu_lowerSproulOffices</f>
        <v>1157894.3464324316</v>
      </c>
      <c r="AE270" s="21">
        <f>'Core Loads'!AD$620*Process_12_therm_per_lb_lowerSproulOffices+'Core Loads'!AD$640*Htg_12_therm_per_MMBtu_lowerSproulOffices</f>
        <v>1157894.3464324316</v>
      </c>
      <c r="AF270" s="21">
        <f>'Core Loads'!AE$620*Process_12_therm_per_lb_lowerSproulOffices+'Core Loads'!AE$640*Htg_12_therm_per_MMBtu_lowerSproulOffices</f>
        <v>1157894.3464324316</v>
      </c>
      <c r="AG270" s="21">
        <f>'Core Loads'!AF$620*Process_12_therm_per_lb_lowerSproulOffices+'Core Loads'!AF$640*Htg_12_therm_per_MMBtu_lowerSproulOffices</f>
        <v>1157894.3464324316</v>
      </c>
      <c r="AH270"/>
      <c r="AI270" s="23" t="s">
        <v>293</v>
      </c>
    </row>
    <row r="271" spans="2:35" s="1" customFormat="1" hidden="1" outlineLevel="1" x14ac:dyDescent="0.25">
      <c r="B271" t="s">
        <v>154</v>
      </c>
      <c r="C271" t="s">
        <v>170</v>
      </c>
      <c r="D271" s="21">
        <f>SUM(D272:D276)</f>
        <v>0</v>
      </c>
      <c r="E271" s="21">
        <f t="shared" ref="E271:AG271" si="11">SUM(E272:E276)</f>
        <v>0</v>
      </c>
      <c r="F271" s="21">
        <f t="shared" si="11"/>
        <v>145239.9155750564</v>
      </c>
      <c r="G271" s="21">
        <f t="shared" si="11"/>
        <v>159041.2632752381</v>
      </c>
      <c r="H271" s="21">
        <f t="shared" si="11"/>
        <v>159041.2632752381</v>
      </c>
      <c r="I271" s="21">
        <f t="shared" si="11"/>
        <v>177058.64623098687</v>
      </c>
      <c r="J271" s="21">
        <f t="shared" si="11"/>
        <v>177058.64623098687</v>
      </c>
      <c r="K271" s="21">
        <f t="shared" si="11"/>
        <v>172721.32765661133</v>
      </c>
      <c r="L271" s="21">
        <f t="shared" si="11"/>
        <v>172721.32765661133</v>
      </c>
      <c r="M271" s="21">
        <f t="shared" si="11"/>
        <v>173191.85376784479</v>
      </c>
      <c r="N271" s="21">
        <f t="shared" si="11"/>
        <v>173191.85376784479</v>
      </c>
      <c r="O271" s="21">
        <f t="shared" si="11"/>
        <v>171584.81059735437</v>
      </c>
      <c r="P271" s="21">
        <f t="shared" si="11"/>
        <v>171584.81059735437</v>
      </c>
      <c r="Q271" s="21">
        <f t="shared" si="11"/>
        <v>171211.48845044107</v>
      </c>
      <c r="R271" s="21">
        <f t="shared" si="11"/>
        <v>171211.48845044107</v>
      </c>
      <c r="S271" s="21">
        <f t="shared" si="11"/>
        <v>203880.03412168735</v>
      </c>
      <c r="T271" s="21">
        <f t="shared" si="11"/>
        <v>203880.03412168735</v>
      </c>
      <c r="U271" s="21">
        <f t="shared" si="11"/>
        <v>203668.07436934975</v>
      </c>
      <c r="V271" s="21">
        <f t="shared" si="11"/>
        <v>203668.07436934975</v>
      </c>
      <c r="W271" s="21">
        <f t="shared" si="11"/>
        <v>203295.93165001943</v>
      </c>
      <c r="X271" s="21">
        <f t="shared" si="11"/>
        <v>203295.93165001943</v>
      </c>
      <c r="Y271" s="21">
        <f t="shared" si="11"/>
        <v>203295.93165001943</v>
      </c>
      <c r="Z271" s="21">
        <f t="shared" si="11"/>
        <v>203295.93165001943</v>
      </c>
      <c r="AA271" s="21">
        <f t="shared" si="11"/>
        <v>203295.93165001943</v>
      </c>
      <c r="AB271" s="21">
        <f t="shared" si="11"/>
        <v>203295.93165001943</v>
      </c>
      <c r="AC271" s="21">
        <f t="shared" si="11"/>
        <v>202386.0489381908</v>
      </c>
      <c r="AD271" s="21">
        <f t="shared" si="11"/>
        <v>202386.0489381908</v>
      </c>
      <c r="AE271" s="21">
        <f t="shared" si="11"/>
        <v>202386.0489381908</v>
      </c>
      <c r="AF271" s="21">
        <f t="shared" si="11"/>
        <v>202386.0489381908</v>
      </c>
      <c r="AG271" s="21">
        <f t="shared" si="11"/>
        <v>202386.0489381908</v>
      </c>
      <c r="AH271"/>
      <c r="AI271" s="23" t="s">
        <v>295</v>
      </c>
    </row>
    <row r="272" spans="2:35" s="1" customFormat="1" hidden="1" outlineLevel="1" x14ac:dyDescent="0.25">
      <c r="C272" s="31" t="s">
        <v>144</v>
      </c>
      <c r="D272" s="21">
        <f>'Core Loads'!C616*Process_12_CCF_per_lb_biosciences+'Core Loads'!C636*Htg_12_CCF_per_MMBtu_biosciences+'Core Loads'!C656*Clg_12_CCF_per_ton_biosciences</f>
        <v>0</v>
      </c>
      <c r="E272" s="21">
        <f>'Core Loads'!D616*Process_12_CCF_per_lb_biosciences+'Core Loads'!D636*Htg_12_CCF_per_MMBtu_biosciences+'Core Loads'!D656*Clg_12_CCF_per_ton_biosciences</f>
        <v>0</v>
      </c>
      <c r="F272" s="21">
        <f>'Core Loads'!E616*Process_12_CCF_per_lb_biosciences+'Core Loads'!E636*Htg_12_CCF_per_MMBtu_biosciences+'Core Loads'!E656*Clg_12_CCF_per_ton_biosciences</f>
        <v>46735.738503163608</v>
      </c>
      <c r="G272" s="21">
        <f>'Core Loads'!F616*Process_12_CCF_per_lb_biosciences+'Core Loads'!F636*Htg_12_CCF_per_MMBtu_biosciences+'Core Loads'!F656*Clg_12_CCF_per_ton_biosciences</f>
        <v>45075.452120263115</v>
      </c>
      <c r="H272" s="21">
        <f>'Core Loads'!G616*Process_12_CCF_per_lb_biosciences+'Core Loads'!G636*Htg_12_CCF_per_MMBtu_biosciences+'Core Loads'!G656*Clg_12_CCF_per_ton_biosciences</f>
        <v>45075.452120263115</v>
      </c>
      <c r="I272" s="21">
        <f>'Core Loads'!H616*Process_12_CCF_per_lb_biosciences+'Core Loads'!H636*Htg_12_CCF_per_MMBtu_biosciences+'Core Loads'!H656*Clg_12_CCF_per_ton_biosciences</f>
        <v>47479.281863909811</v>
      </c>
      <c r="J272" s="21">
        <f>'Core Loads'!I616*Process_12_CCF_per_lb_biosciences+'Core Loads'!I636*Htg_12_CCF_per_MMBtu_biosciences+'Core Loads'!I656*Clg_12_CCF_per_ton_biosciences</f>
        <v>47479.281863909811</v>
      </c>
      <c r="K272" s="21">
        <f>'Core Loads'!J616*Process_12_CCF_per_lb_biosciences+'Core Loads'!J636*Htg_12_CCF_per_MMBtu_biosciences+'Core Loads'!J656*Clg_12_CCF_per_ton_biosciences</f>
        <v>45848.553681932281</v>
      </c>
      <c r="L272" s="21">
        <f>'Core Loads'!K616*Process_12_CCF_per_lb_biosciences+'Core Loads'!K636*Htg_12_CCF_per_MMBtu_biosciences+'Core Loads'!K656*Clg_12_CCF_per_ton_biosciences</f>
        <v>45848.553681932281</v>
      </c>
      <c r="M272" s="21">
        <f>'Core Loads'!L616*Process_12_CCF_per_lb_biosciences+'Core Loads'!L636*Htg_12_CCF_per_MMBtu_biosciences+'Core Loads'!L656*Clg_12_CCF_per_ton_biosciences</f>
        <v>48029.307110531103</v>
      </c>
      <c r="N272" s="21">
        <f>'Core Loads'!M616*Process_12_CCF_per_lb_biosciences+'Core Loads'!M636*Htg_12_CCF_per_MMBtu_biosciences+'Core Loads'!M656*Clg_12_CCF_per_ton_biosciences</f>
        <v>48029.307110531103</v>
      </c>
      <c r="O272" s="21">
        <f>'Core Loads'!N616*Process_12_CCF_per_lb_biosciences+'Core Loads'!N636*Htg_12_CCF_per_MMBtu_biosciences+'Core Loads'!N656*Clg_12_CCF_per_ton_biosciences</f>
        <v>48029.307110531103</v>
      </c>
      <c r="P272" s="21">
        <f>'Core Loads'!O616*Process_12_CCF_per_lb_biosciences+'Core Loads'!O636*Htg_12_CCF_per_MMBtu_biosciences+'Core Loads'!O656*Clg_12_CCF_per_ton_biosciences</f>
        <v>48029.307110531103</v>
      </c>
      <c r="Q272" s="21">
        <f>'Core Loads'!P616*Process_12_CCF_per_lb_biosciences+'Core Loads'!P636*Htg_12_CCF_per_MMBtu_biosciences+'Core Loads'!P656*Clg_12_CCF_per_ton_biosciences</f>
        <v>48029.307110531103</v>
      </c>
      <c r="R272" s="21">
        <f>'Core Loads'!Q616*Process_12_CCF_per_lb_biosciences+'Core Loads'!Q636*Htg_12_CCF_per_MMBtu_biosciences+'Core Loads'!Q656*Clg_12_CCF_per_ton_biosciences</f>
        <v>48029.307110531103</v>
      </c>
      <c r="S272" s="21">
        <f>'Core Loads'!R616*Process_12_CCF_per_lb_biosciences+'Core Loads'!R636*Htg_12_CCF_per_MMBtu_biosciences+'Core Loads'!R656*Clg_12_CCF_per_ton_biosciences</f>
        <v>48029.307110531103</v>
      </c>
      <c r="T272" s="21">
        <f>'Core Loads'!S616*Process_12_CCF_per_lb_biosciences+'Core Loads'!S636*Htg_12_CCF_per_MMBtu_biosciences+'Core Loads'!S656*Clg_12_CCF_per_ton_biosciences</f>
        <v>48029.307110531103</v>
      </c>
      <c r="U272" s="21">
        <f>'Core Loads'!T616*Process_12_CCF_per_lb_biosciences+'Core Loads'!T636*Htg_12_CCF_per_MMBtu_biosciences+'Core Loads'!T656*Clg_12_CCF_per_ton_biosciences</f>
        <v>48029.307110531103</v>
      </c>
      <c r="V272" s="21">
        <f>'Core Loads'!U616*Process_12_CCF_per_lb_biosciences+'Core Loads'!U636*Htg_12_CCF_per_MMBtu_biosciences+'Core Loads'!U656*Clg_12_CCF_per_ton_biosciences</f>
        <v>48029.307110531103</v>
      </c>
      <c r="W272" s="21">
        <f>'Core Loads'!V616*Process_12_CCF_per_lb_biosciences+'Core Loads'!V636*Htg_12_CCF_per_MMBtu_biosciences+'Core Loads'!V656*Clg_12_CCF_per_ton_biosciences</f>
        <v>48029.307110531103</v>
      </c>
      <c r="X272" s="21">
        <f>'Core Loads'!W616*Process_12_CCF_per_lb_biosciences+'Core Loads'!W636*Htg_12_CCF_per_MMBtu_biosciences+'Core Loads'!W656*Clg_12_CCF_per_ton_biosciences</f>
        <v>48029.307110531103</v>
      </c>
      <c r="Y272" s="21">
        <f>'Core Loads'!X616*Process_12_CCF_per_lb_biosciences+'Core Loads'!X636*Htg_12_CCF_per_MMBtu_biosciences+'Core Loads'!X656*Clg_12_CCF_per_ton_biosciences</f>
        <v>48029.307110531103</v>
      </c>
      <c r="Z272" s="21">
        <f>'Core Loads'!Y616*Process_12_CCF_per_lb_biosciences+'Core Loads'!Y636*Htg_12_CCF_per_MMBtu_biosciences+'Core Loads'!Y656*Clg_12_CCF_per_ton_biosciences</f>
        <v>48029.307110531103</v>
      </c>
      <c r="AA272" s="21">
        <f>'Core Loads'!Z616*Process_12_CCF_per_lb_biosciences+'Core Loads'!Z636*Htg_12_CCF_per_MMBtu_biosciences+'Core Loads'!Z656*Clg_12_CCF_per_ton_biosciences</f>
        <v>48029.307110531103</v>
      </c>
      <c r="AB272" s="21">
        <f>'Core Loads'!AA616*Process_12_CCF_per_lb_biosciences+'Core Loads'!AA636*Htg_12_CCF_per_MMBtu_biosciences+'Core Loads'!AA656*Clg_12_CCF_per_ton_biosciences</f>
        <v>48029.307110531103</v>
      </c>
      <c r="AC272" s="21">
        <f>'Core Loads'!AB616*Process_12_CCF_per_lb_biosciences+'Core Loads'!AB636*Htg_12_CCF_per_MMBtu_biosciences+'Core Loads'!AB656*Clg_12_CCF_per_ton_biosciences</f>
        <v>48029.307110531103</v>
      </c>
      <c r="AD272" s="21">
        <f>'Core Loads'!AC616*Process_12_CCF_per_lb_biosciences+'Core Loads'!AC636*Htg_12_CCF_per_MMBtu_biosciences+'Core Loads'!AC656*Clg_12_CCF_per_ton_biosciences</f>
        <v>48029.307110531103</v>
      </c>
      <c r="AE272" s="21">
        <f>'Core Loads'!AD616*Process_12_CCF_per_lb_biosciences+'Core Loads'!AD636*Htg_12_CCF_per_MMBtu_biosciences+'Core Loads'!AD656*Clg_12_CCF_per_ton_biosciences</f>
        <v>48029.307110531103</v>
      </c>
      <c r="AF272" s="21">
        <f>'Core Loads'!AE616*Process_12_CCF_per_lb_biosciences+'Core Loads'!AE636*Htg_12_CCF_per_MMBtu_biosciences+'Core Loads'!AE656*Clg_12_CCF_per_ton_biosciences</f>
        <v>48029.307110531103</v>
      </c>
      <c r="AG272" s="21">
        <f>'Core Loads'!AF616*Process_12_CCF_per_lb_biosciences+'Core Loads'!AF636*Htg_12_CCF_per_MMBtu_biosciences+'Core Loads'!AF656*Clg_12_CCF_per_ton_biosciences</f>
        <v>48029.307110531103</v>
      </c>
      <c r="AH272"/>
      <c r="AI272" s="23" t="s">
        <v>293</v>
      </c>
    </row>
    <row r="273" spans="3:35" s="1" customFormat="1" hidden="1" outlineLevel="1" x14ac:dyDescent="0.25">
      <c r="C273" s="31" t="s">
        <v>145</v>
      </c>
      <c r="D273" s="21">
        <f>'Core Loads'!C617*Process_12_CCF_per_lb_businessAndLaw+'Core Loads'!C637*Htg_12_CCF_per_MMBtu_businessAndLaw+'Core Loads'!C657*Clg_12_CCF_per_ton_businessAndLaw</f>
        <v>0</v>
      </c>
      <c r="E273" s="21">
        <f>'Core Loads'!D617*Process_12_CCF_per_lb_businessAndLaw+'Core Loads'!D637*Htg_12_CCF_per_MMBtu_businessAndLaw+'Core Loads'!D657*Clg_12_CCF_per_ton_businessAndLaw</f>
        <v>0</v>
      </c>
      <c r="F273" s="21">
        <f>'Core Loads'!E617*Process_12_CCF_per_lb_businessAndLaw+'Core Loads'!E637*Htg_12_CCF_per_MMBtu_businessAndLaw+'Core Loads'!E657*Clg_12_CCF_per_ton_businessAndLaw</f>
        <v>47924.97639267351</v>
      </c>
      <c r="G273" s="21">
        <f>'Core Loads'!F617*Process_12_CCF_per_lb_businessAndLaw+'Core Loads'!F637*Htg_12_CCF_per_MMBtu_businessAndLaw+'Core Loads'!F657*Clg_12_CCF_per_ton_businessAndLaw</f>
        <v>47924.97639267351</v>
      </c>
      <c r="H273" s="21">
        <f>'Core Loads'!G617*Process_12_CCF_per_lb_businessAndLaw+'Core Loads'!G637*Htg_12_CCF_per_MMBtu_businessAndLaw+'Core Loads'!G657*Clg_12_CCF_per_ton_businessAndLaw</f>
        <v>47924.97639267351</v>
      </c>
      <c r="I273" s="21">
        <f>'Core Loads'!H617*Process_12_CCF_per_lb_businessAndLaw+'Core Loads'!H637*Htg_12_CCF_per_MMBtu_businessAndLaw+'Core Loads'!H657*Clg_12_CCF_per_ton_businessAndLaw</f>
        <v>48374.259983351556</v>
      </c>
      <c r="J273" s="21">
        <f>'Core Loads'!I617*Process_12_CCF_per_lb_businessAndLaw+'Core Loads'!I637*Htg_12_CCF_per_MMBtu_businessAndLaw+'Core Loads'!I657*Clg_12_CCF_per_ton_businessAndLaw</f>
        <v>48374.259983351556</v>
      </c>
      <c r="K273" s="21">
        <f>'Core Loads'!J617*Process_12_CCF_per_lb_businessAndLaw+'Core Loads'!J637*Htg_12_CCF_per_MMBtu_businessAndLaw+'Core Loads'!J657*Clg_12_CCF_per_ton_businessAndLaw</f>
        <v>48374.259983351556</v>
      </c>
      <c r="L273" s="21">
        <f>'Core Loads'!K617*Process_12_CCF_per_lb_businessAndLaw+'Core Loads'!K637*Htg_12_CCF_per_MMBtu_businessAndLaw+'Core Loads'!K657*Clg_12_CCF_per_ton_businessAndLaw</f>
        <v>48374.259983351556</v>
      </c>
      <c r="M273" s="21">
        <f>'Core Loads'!L617*Process_12_CCF_per_lb_businessAndLaw+'Core Loads'!L637*Htg_12_CCF_per_MMBtu_businessAndLaw+'Core Loads'!L657*Clg_12_CCF_per_ton_businessAndLaw</f>
        <v>46664.032665986182</v>
      </c>
      <c r="N273" s="21">
        <f>'Core Loads'!M617*Process_12_CCF_per_lb_businessAndLaw+'Core Loads'!M637*Htg_12_CCF_per_MMBtu_businessAndLaw+'Core Loads'!M657*Clg_12_CCF_per_ton_businessAndLaw</f>
        <v>46664.032665986182</v>
      </c>
      <c r="O273" s="21">
        <f>'Core Loads'!N617*Process_12_CCF_per_lb_businessAndLaw+'Core Loads'!N637*Htg_12_CCF_per_MMBtu_businessAndLaw+'Core Loads'!N657*Clg_12_CCF_per_ton_businessAndLaw</f>
        <v>46664.032665986182</v>
      </c>
      <c r="P273" s="21">
        <f>'Core Loads'!O617*Process_12_CCF_per_lb_businessAndLaw+'Core Loads'!O637*Htg_12_CCF_per_MMBtu_businessAndLaw+'Core Loads'!O657*Clg_12_CCF_per_ton_businessAndLaw</f>
        <v>46664.032665986182</v>
      </c>
      <c r="Q273" s="21">
        <f>'Core Loads'!P617*Process_12_CCF_per_lb_businessAndLaw+'Core Loads'!P637*Htg_12_CCF_per_MMBtu_businessAndLaw+'Core Loads'!P657*Clg_12_CCF_per_ton_businessAndLaw</f>
        <v>46589.774108545607</v>
      </c>
      <c r="R273" s="21">
        <f>'Core Loads'!Q617*Process_12_CCF_per_lb_businessAndLaw+'Core Loads'!Q637*Htg_12_CCF_per_MMBtu_businessAndLaw+'Core Loads'!Q657*Clg_12_CCF_per_ton_businessAndLaw</f>
        <v>46589.774108545607</v>
      </c>
      <c r="S273" s="21">
        <f>'Core Loads'!R617*Process_12_CCF_per_lb_businessAndLaw+'Core Loads'!R637*Htg_12_CCF_per_MMBtu_businessAndLaw+'Core Loads'!R657*Clg_12_CCF_per_ton_businessAndLaw</f>
        <v>48343.774013234302</v>
      </c>
      <c r="T273" s="21">
        <f>'Core Loads'!S617*Process_12_CCF_per_lb_businessAndLaw+'Core Loads'!S637*Htg_12_CCF_per_MMBtu_businessAndLaw+'Core Loads'!S657*Clg_12_CCF_per_ton_businessAndLaw</f>
        <v>48343.774013234302</v>
      </c>
      <c r="U273" s="21">
        <f>'Core Loads'!T617*Process_12_CCF_per_lb_businessAndLaw+'Core Loads'!T637*Htg_12_CCF_per_MMBtu_businessAndLaw+'Core Loads'!T657*Clg_12_CCF_per_ton_businessAndLaw</f>
        <v>48131.814260896674</v>
      </c>
      <c r="V273" s="21">
        <f>'Core Loads'!U617*Process_12_CCF_per_lb_businessAndLaw+'Core Loads'!U637*Htg_12_CCF_per_MMBtu_businessAndLaw+'Core Loads'!U657*Clg_12_CCF_per_ton_businessAndLaw</f>
        <v>48131.814260896674</v>
      </c>
      <c r="W273" s="21">
        <f>'Core Loads'!V617*Process_12_CCF_per_lb_businessAndLaw+'Core Loads'!V637*Htg_12_CCF_per_MMBtu_businessAndLaw+'Core Loads'!V657*Clg_12_CCF_per_ton_businessAndLaw</f>
        <v>48131.814260896674</v>
      </c>
      <c r="X273" s="21">
        <f>'Core Loads'!W617*Process_12_CCF_per_lb_businessAndLaw+'Core Loads'!W637*Htg_12_CCF_per_MMBtu_businessAndLaw+'Core Loads'!W657*Clg_12_CCF_per_ton_businessAndLaw</f>
        <v>48131.814260896674</v>
      </c>
      <c r="Y273" s="21">
        <f>'Core Loads'!X617*Process_12_CCF_per_lb_businessAndLaw+'Core Loads'!X637*Htg_12_CCF_per_MMBtu_businessAndLaw+'Core Loads'!X657*Clg_12_CCF_per_ton_businessAndLaw</f>
        <v>48131.814260896674</v>
      </c>
      <c r="Z273" s="21">
        <f>'Core Loads'!Y617*Process_12_CCF_per_lb_businessAndLaw+'Core Loads'!Y637*Htg_12_CCF_per_MMBtu_businessAndLaw+'Core Loads'!Y657*Clg_12_CCF_per_ton_businessAndLaw</f>
        <v>48131.814260896674</v>
      </c>
      <c r="AA273" s="21">
        <f>'Core Loads'!Z617*Process_12_CCF_per_lb_businessAndLaw+'Core Loads'!Z637*Htg_12_CCF_per_MMBtu_businessAndLaw+'Core Loads'!Z657*Clg_12_CCF_per_ton_businessAndLaw</f>
        <v>48131.814260896674</v>
      </c>
      <c r="AB273" s="21">
        <f>'Core Loads'!AA617*Process_12_CCF_per_lb_businessAndLaw+'Core Loads'!AA637*Htg_12_CCF_per_MMBtu_businessAndLaw+'Core Loads'!AA657*Clg_12_CCF_per_ton_businessAndLaw</f>
        <v>48131.814260896674</v>
      </c>
      <c r="AC273" s="21">
        <f>'Core Loads'!AB617*Process_12_CCF_per_lb_businessAndLaw+'Core Loads'!AB637*Htg_12_CCF_per_MMBtu_businessAndLaw+'Core Loads'!AB657*Clg_12_CCF_per_ton_businessAndLaw</f>
        <v>47221.931549068075</v>
      </c>
      <c r="AD273" s="21">
        <f>'Core Loads'!AC617*Process_12_CCF_per_lb_businessAndLaw+'Core Loads'!AC637*Htg_12_CCF_per_MMBtu_businessAndLaw+'Core Loads'!AC657*Clg_12_CCF_per_ton_businessAndLaw</f>
        <v>47221.931549068075</v>
      </c>
      <c r="AE273" s="21">
        <f>'Core Loads'!AD617*Process_12_CCF_per_lb_businessAndLaw+'Core Loads'!AD637*Htg_12_CCF_per_MMBtu_businessAndLaw+'Core Loads'!AD657*Clg_12_CCF_per_ton_businessAndLaw</f>
        <v>47221.931549068075</v>
      </c>
      <c r="AF273" s="21">
        <f>'Core Loads'!AE617*Process_12_CCF_per_lb_businessAndLaw+'Core Loads'!AE637*Htg_12_CCF_per_MMBtu_businessAndLaw+'Core Loads'!AE657*Clg_12_CCF_per_ton_businessAndLaw</f>
        <v>47221.931549068075</v>
      </c>
      <c r="AG273" s="21">
        <f>'Core Loads'!AF617*Process_12_CCF_per_lb_businessAndLaw+'Core Loads'!AF637*Htg_12_CCF_per_MMBtu_businessAndLaw+'Core Loads'!AF657*Clg_12_CCF_per_ton_businessAndLaw</f>
        <v>47221.931549068075</v>
      </c>
      <c r="AH273"/>
      <c r="AI273" s="23" t="s">
        <v>293</v>
      </c>
    </row>
    <row r="274" spans="3:35" s="1" customFormat="1" hidden="1" outlineLevel="1" x14ac:dyDescent="0.25">
      <c r="C274" s="31" t="s">
        <v>244</v>
      </c>
      <c r="D274" s="21">
        <f>'Core Loads'!C618*Process_12_CCF_per_lb_Engineering+'Core Loads'!C638*Htg_12_CCF_per_MMBtu_Engineering+'Core Loads'!C658*Clg_12_CCF_per_ton_Engineering</f>
        <v>0</v>
      </c>
      <c r="E274" s="21">
        <f>'Core Loads'!D618*Process_12_CCF_per_lb_Engineering+'Core Loads'!D638*Htg_12_CCF_per_MMBtu_Engineering+'Core Loads'!D658*Clg_12_CCF_per_ton_Engineering</f>
        <v>0</v>
      </c>
      <c r="F274" s="21">
        <f>'Core Loads'!E618*Process_12_CCF_per_lb_Engineering+'Core Loads'!E638*Htg_12_CCF_per_MMBtu_Engineering+'Core Loads'!E658*Clg_12_CCF_per_ton_Engineering</f>
        <v>42994.32653860229</v>
      </c>
      <c r="G274" s="21">
        <f>'Core Loads'!F618*Process_12_CCF_per_lb_Engineering+'Core Loads'!F638*Htg_12_CCF_per_MMBtu_Engineering+'Core Loads'!F658*Clg_12_CCF_per_ton_Engineering</f>
        <v>58455.960621684491</v>
      </c>
      <c r="H274" s="21">
        <f>'Core Loads'!G618*Process_12_CCF_per_lb_Engineering+'Core Loads'!G638*Htg_12_CCF_per_MMBtu_Engineering+'Core Loads'!G658*Clg_12_CCF_per_ton_Engineering</f>
        <v>58455.960621684491</v>
      </c>
      <c r="I274" s="21">
        <f>'Core Loads'!H618*Process_12_CCF_per_lb_Engineering+'Core Loads'!H638*Htg_12_CCF_per_MMBtu_Engineering+'Core Loads'!H658*Clg_12_CCF_per_ton_Engineering</f>
        <v>61910.225484243114</v>
      </c>
      <c r="J274" s="21">
        <f>'Core Loads'!I618*Process_12_CCF_per_lb_Engineering+'Core Loads'!I638*Htg_12_CCF_per_MMBtu_Engineering+'Core Loads'!I658*Clg_12_CCF_per_ton_Engineering</f>
        <v>61910.225484243114</v>
      </c>
      <c r="K274" s="21">
        <f>'Core Loads'!J618*Process_12_CCF_per_lb_Engineering+'Core Loads'!J638*Htg_12_CCF_per_MMBtu_Engineering+'Core Loads'!J658*Clg_12_CCF_per_ton_Engineering</f>
        <v>59203.635091845135</v>
      </c>
      <c r="L274" s="21">
        <f>'Core Loads'!K618*Process_12_CCF_per_lb_Engineering+'Core Loads'!K638*Htg_12_CCF_per_MMBtu_Engineering+'Core Loads'!K658*Clg_12_CCF_per_ton_Engineering</f>
        <v>59203.635091845135</v>
      </c>
      <c r="M274" s="21">
        <f>'Core Loads'!L618*Process_12_CCF_per_lb_Engineering+'Core Loads'!L638*Htg_12_CCF_per_MMBtu_Engineering+'Core Loads'!L658*Clg_12_CCF_per_ton_Engineering</f>
        <v>59203.635091845135</v>
      </c>
      <c r="N274" s="21">
        <f>'Core Loads'!M618*Process_12_CCF_per_lb_Engineering+'Core Loads'!M638*Htg_12_CCF_per_MMBtu_Engineering+'Core Loads'!M658*Clg_12_CCF_per_ton_Engineering</f>
        <v>59203.635091845135</v>
      </c>
      <c r="O274" s="21">
        <f>'Core Loads'!N618*Process_12_CCF_per_lb_Engineering+'Core Loads'!N638*Htg_12_CCF_per_MMBtu_Engineering+'Core Loads'!N658*Clg_12_CCF_per_ton_Engineering</f>
        <v>58046.925793289156</v>
      </c>
      <c r="P274" s="21">
        <f>'Core Loads'!O618*Process_12_CCF_per_lb_Engineering+'Core Loads'!O638*Htg_12_CCF_per_MMBtu_Engineering+'Core Loads'!O658*Clg_12_CCF_per_ton_Engineering</f>
        <v>58046.925793289156</v>
      </c>
      <c r="Q274" s="21">
        <f>'Core Loads'!P618*Process_12_CCF_per_lb_Engineering+'Core Loads'!P638*Htg_12_CCF_per_MMBtu_Engineering+'Core Loads'!P658*Clg_12_CCF_per_ton_Engineering</f>
        <v>57747.862203816447</v>
      </c>
      <c r="R274" s="21">
        <f>'Core Loads'!Q618*Process_12_CCF_per_lb_Engineering+'Core Loads'!Q638*Htg_12_CCF_per_MMBtu_Engineering+'Core Loads'!Q658*Clg_12_CCF_per_ton_Engineering</f>
        <v>57747.862203816447</v>
      </c>
      <c r="S274" s="21">
        <f>'Core Loads'!R618*Process_12_CCF_per_lb_Engineering+'Core Loads'!R638*Htg_12_CCF_per_MMBtu_Engineering+'Core Loads'!R658*Clg_12_CCF_per_ton_Engineering</f>
        <v>60442.689102032258</v>
      </c>
      <c r="T274" s="21">
        <f>'Core Loads'!S618*Process_12_CCF_per_lb_Engineering+'Core Loads'!S638*Htg_12_CCF_per_MMBtu_Engineering+'Core Loads'!S658*Clg_12_CCF_per_ton_Engineering</f>
        <v>60442.689102032258</v>
      </c>
      <c r="U274" s="21">
        <f>'Core Loads'!T618*Process_12_CCF_per_lb_Engineering+'Core Loads'!T638*Htg_12_CCF_per_MMBtu_Engineering+'Core Loads'!T658*Clg_12_CCF_per_ton_Engineering</f>
        <v>60442.689102032258</v>
      </c>
      <c r="V274" s="21">
        <f>'Core Loads'!U618*Process_12_CCF_per_lb_Engineering+'Core Loads'!U638*Htg_12_CCF_per_MMBtu_Engineering+'Core Loads'!U658*Clg_12_CCF_per_ton_Engineering</f>
        <v>60442.689102032258</v>
      </c>
      <c r="W274" s="21">
        <f>'Core Loads'!V618*Process_12_CCF_per_lb_Engineering+'Core Loads'!V638*Htg_12_CCF_per_MMBtu_Engineering+'Core Loads'!V658*Clg_12_CCF_per_ton_Engineering</f>
        <v>60070.546382701934</v>
      </c>
      <c r="X274" s="21">
        <f>'Core Loads'!W618*Process_12_CCF_per_lb_Engineering+'Core Loads'!W638*Htg_12_CCF_per_MMBtu_Engineering+'Core Loads'!W658*Clg_12_CCF_per_ton_Engineering</f>
        <v>60070.546382701934</v>
      </c>
      <c r="Y274" s="21">
        <f>'Core Loads'!X618*Process_12_CCF_per_lb_Engineering+'Core Loads'!X638*Htg_12_CCF_per_MMBtu_Engineering+'Core Loads'!X658*Clg_12_CCF_per_ton_Engineering</f>
        <v>60070.546382701934</v>
      </c>
      <c r="Z274" s="21">
        <f>'Core Loads'!Y618*Process_12_CCF_per_lb_Engineering+'Core Loads'!Y638*Htg_12_CCF_per_MMBtu_Engineering+'Core Loads'!Y658*Clg_12_CCF_per_ton_Engineering</f>
        <v>60070.546382701934</v>
      </c>
      <c r="AA274" s="21">
        <f>'Core Loads'!Z618*Process_12_CCF_per_lb_Engineering+'Core Loads'!Z638*Htg_12_CCF_per_MMBtu_Engineering+'Core Loads'!Z658*Clg_12_CCF_per_ton_Engineering</f>
        <v>60070.546382701934</v>
      </c>
      <c r="AB274" s="21">
        <f>'Core Loads'!AA618*Process_12_CCF_per_lb_Engineering+'Core Loads'!AA638*Htg_12_CCF_per_MMBtu_Engineering+'Core Loads'!AA658*Clg_12_CCF_per_ton_Engineering</f>
        <v>60070.546382701934</v>
      </c>
      <c r="AC274" s="21">
        <f>'Core Loads'!AB618*Process_12_CCF_per_lb_Engineering+'Core Loads'!AB638*Htg_12_CCF_per_MMBtu_Engineering+'Core Loads'!AB658*Clg_12_CCF_per_ton_Engineering</f>
        <v>60070.546382701934</v>
      </c>
      <c r="AD274" s="21">
        <f>'Core Loads'!AC618*Process_12_CCF_per_lb_Engineering+'Core Loads'!AC638*Htg_12_CCF_per_MMBtu_Engineering+'Core Loads'!AC658*Clg_12_CCF_per_ton_Engineering</f>
        <v>60070.546382701934</v>
      </c>
      <c r="AE274" s="21">
        <f>'Core Loads'!AD618*Process_12_CCF_per_lb_Engineering+'Core Loads'!AD638*Htg_12_CCF_per_MMBtu_Engineering+'Core Loads'!AD658*Clg_12_CCF_per_ton_Engineering</f>
        <v>60070.546382701934</v>
      </c>
      <c r="AF274" s="21">
        <f>'Core Loads'!AE618*Process_12_CCF_per_lb_Engineering+'Core Loads'!AE638*Htg_12_CCF_per_MMBtu_Engineering+'Core Loads'!AE658*Clg_12_CCF_per_ton_Engineering</f>
        <v>60070.546382701934</v>
      </c>
      <c r="AG274" s="21">
        <f>'Core Loads'!AF618*Process_12_CCF_per_lb_Engineering+'Core Loads'!AF638*Htg_12_CCF_per_MMBtu_Engineering+'Core Loads'!AF658*Clg_12_CCF_per_ton_Engineering</f>
        <v>60070.546382701934</v>
      </c>
      <c r="AH274"/>
      <c r="AI274" s="23" t="s">
        <v>293</v>
      </c>
    </row>
    <row r="275" spans="3:35" s="1" customFormat="1" hidden="1" outlineLevel="1" x14ac:dyDescent="0.25">
      <c r="C275" s="31" t="s">
        <v>147</v>
      </c>
      <c r="D275" s="21">
        <f>'Core Loads'!C619*Process_12_CCF_per_lb_Engineering+'Core Loads'!C639*Htg_12_CCF_per_MMBtu_Engineering+'Core Loads'!C659*Clg_12_CCF_per_ton_Engineering</f>
        <v>0</v>
      </c>
      <c r="E275" s="21">
        <f>'Core Loads'!D619*Process_12_CCF_per_lb_Engineering+'Core Loads'!D639*Htg_12_CCF_per_MMBtu_Engineering+'Core Loads'!D659*Clg_12_CCF_per_ton_Engineering</f>
        <v>0</v>
      </c>
      <c r="F275" s="21">
        <f>'Core Loads'!E619*Process_12_CCF_per_lb_Engineering+'Core Loads'!E639*Htg_12_CCF_per_MMBtu_Engineering+'Core Loads'!E659*Clg_12_CCF_per_ton_Engineering</f>
        <v>0</v>
      </c>
      <c r="G275" s="21">
        <f>'Core Loads'!F619*Process_12_CCF_per_lb_Engineering+'Core Loads'!F639*Htg_12_CCF_per_MMBtu_Engineering+'Core Loads'!F659*Clg_12_CCF_per_ton_Engineering</f>
        <v>0</v>
      </c>
      <c r="H275" s="21">
        <f>'Core Loads'!G619*Process_12_CCF_per_lb_Engineering+'Core Loads'!G639*Htg_12_CCF_per_MMBtu_Engineering+'Core Loads'!G659*Clg_12_CCF_per_ton_Engineering</f>
        <v>0</v>
      </c>
      <c r="I275" s="21">
        <f>'Core Loads'!H619*Process_12_CCF_per_lb_Engineering+'Core Loads'!H639*Htg_12_CCF_per_MMBtu_Engineering+'Core Loads'!H659*Clg_12_CCF_per_ton_Engineering</f>
        <v>0</v>
      </c>
      <c r="J275" s="21">
        <f>'Core Loads'!I619*Process_12_CCF_per_lb_Engineering+'Core Loads'!I639*Htg_12_CCF_per_MMBtu_Engineering+'Core Loads'!I659*Clg_12_CCF_per_ton_Engineering</f>
        <v>0</v>
      </c>
      <c r="K275" s="21">
        <f>'Core Loads'!J619*Process_12_CCF_per_lb_Engineering+'Core Loads'!J639*Htg_12_CCF_per_MMBtu_Engineering+'Core Loads'!J659*Clg_12_CCF_per_ton_Engineering</f>
        <v>0</v>
      </c>
      <c r="L275" s="21">
        <f>'Core Loads'!K619*Process_12_CCF_per_lb_Engineering+'Core Loads'!K639*Htg_12_CCF_per_MMBtu_Engineering+'Core Loads'!K659*Clg_12_CCF_per_ton_Engineering</f>
        <v>0</v>
      </c>
      <c r="M275" s="21">
        <f>'Core Loads'!L619*Process_12_CCF_per_lb_Engineering+'Core Loads'!L639*Htg_12_CCF_per_MMBtu_Engineering+'Core Loads'!L659*Clg_12_CCF_per_ton_Engineering</f>
        <v>0</v>
      </c>
      <c r="N275" s="21">
        <f>'Core Loads'!M619*Process_12_CCF_per_lb_Engineering+'Core Loads'!M639*Htg_12_CCF_per_MMBtu_Engineering+'Core Loads'!M659*Clg_12_CCF_per_ton_Engineering</f>
        <v>0</v>
      </c>
      <c r="O275" s="21">
        <f>'Core Loads'!N619*Process_12_CCF_per_lb_Engineering+'Core Loads'!N639*Htg_12_CCF_per_MMBtu_Engineering+'Core Loads'!N659*Clg_12_CCF_per_ton_Engineering</f>
        <v>0</v>
      </c>
      <c r="P275" s="21">
        <f>'Core Loads'!O619*Process_12_CCF_per_lb_Engineering+'Core Loads'!O639*Htg_12_CCF_per_MMBtu_Engineering+'Core Loads'!O659*Clg_12_CCF_per_ton_Engineering</f>
        <v>0</v>
      </c>
      <c r="Q275" s="21">
        <f>'Core Loads'!P619*Process_12_CCF_per_lb_Engineering+'Core Loads'!P639*Htg_12_CCF_per_MMBtu_Engineering+'Core Loads'!P659*Clg_12_CCF_per_ton_Engineering</f>
        <v>0</v>
      </c>
      <c r="R275" s="21">
        <f>'Core Loads'!Q619*Process_12_CCF_per_lb_Engineering+'Core Loads'!Q639*Htg_12_CCF_per_MMBtu_Engineering+'Core Loads'!Q659*Clg_12_CCF_per_ton_Engineering</f>
        <v>0</v>
      </c>
      <c r="S275" s="21">
        <f>'Core Loads'!R619*Process_12_CCF_per_lb_Engineering+'Core Loads'!R639*Htg_12_CCF_per_MMBtu_Engineering+'Core Loads'!R659*Clg_12_CCF_per_ton_Engineering</f>
        <v>0</v>
      </c>
      <c r="T275" s="21">
        <f>'Core Loads'!S619*Process_12_CCF_per_lb_Engineering+'Core Loads'!S639*Htg_12_CCF_per_MMBtu_Engineering+'Core Loads'!S659*Clg_12_CCF_per_ton_Engineering</f>
        <v>0</v>
      </c>
      <c r="U275" s="21">
        <f>'Core Loads'!T619*Process_12_CCF_per_lb_Engineering+'Core Loads'!T639*Htg_12_CCF_per_MMBtu_Engineering+'Core Loads'!T659*Clg_12_CCF_per_ton_Engineering</f>
        <v>0</v>
      </c>
      <c r="V275" s="21">
        <f>'Core Loads'!U619*Process_12_CCF_per_lb_Engineering+'Core Loads'!U639*Htg_12_CCF_per_MMBtu_Engineering+'Core Loads'!U659*Clg_12_CCF_per_ton_Engineering</f>
        <v>0</v>
      </c>
      <c r="W275" s="21">
        <f>'Core Loads'!V619*Process_12_CCF_per_lb_Engineering+'Core Loads'!V639*Htg_12_CCF_per_MMBtu_Engineering+'Core Loads'!V659*Clg_12_CCF_per_ton_Engineering</f>
        <v>0</v>
      </c>
      <c r="X275" s="21">
        <f>'Core Loads'!W619*Process_12_CCF_per_lb_Engineering+'Core Loads'!W639*Htg_12_CCF_per_MMBtu_Engineering+'Core Loads'!W659*Clg_12_CCF_per_ton_Engineering</f>
        <v>0</v>
      </c>
      <c r="Y275" s="21">
        <f>'Core Loads'!X619*Process_12_CCF_per_lb_Engineering+'Core Loads'!X639*Htg_12_CCF_per_MMBtu_Engineering+'Core Loads'!X659*Clg_12_CCF_per_ton_Engineering</f>
        <v>0</v>
      </c>
      <c r="Z275" s="21">
        <f>'Core Loads'!Y619*Process_12_CCF_per_lb_Engineering+'Core Loads'!Y639*Htg_12_CCF_per_MMBtu_Engineering+'Core Loads'!Y659*Clg_12_CCF_per_ton_Engineering</f>
        <v>0</v>
      </c>
      <c r="AA275" s="21">
        <f>'Core Loads'!Z619*Process_12_CCF_per_lb_Engineering+'Core Loads'!Z639*Htg_12_CCF_per_MMBtu_Engineering+'Core Loads'!Z659*Clg_12_CCF_per_ton_Engineering</f>
        <v>0</v>
      </c>
      <c r="AB275" s="21">
        <f>'Core Loads'!AA619*Process_12_CCF_per_lb_Engineering+'Core Loads'!AA639*Htg_12_CCF_per_MMBtu_Engineering+'Core Loads'!AA659*Clg_12_CCF_per_ton_Engineering</f>
        <v>0</v>
      </c>
      <c r="AC275" s="21">
        <f>'Core Loads'!AB619*Process_12_CCF_per_lb_Engineering+'Core Loads'!AB639*Htg_12_CCF_per_MMBtu_Engineering+'Core Loads'!AB659*Clg_12_CCF_per_ton_Engineering</f>
        <v>0</v>
      </c>
      <c r="AD275" s="21">
        <f>'Core Loads'!AC619*Process_12_CCF_per_lb_Engineering+'Core Loads'!AC639*Htg_12_CCF_per_MMBtu_Engineering+'Core Loads'!AC659*Clg_12_CCF_per_ton_Engineering</f>
        <v>0</v>
      </c>
      <c r="AE275" s="21">
        <f>'Core Loads'!AD619*Process_12_CCF_per_lb_Engineering+'Core Loads'!AD639*Htg_12_CCF_per_MMBtu_Engineering+'Core Loads'!AD659*Clg_12_CCF_per_ton_Engineering</f>
        <v>0</v>
      </c>
      <c r="AF275" s="21">
        <f>'Core Loads'!AE619*Process_12_CCF_per_lb_Engineering+'Core Loads'!AE639*Htg_12_CCF_per_MMBtu_Engineering+'Core Loads'!AE659*Clg_12_CCF_per_ton_Engineering</f>
        <v>0</v>
      </c>
      <c r="AG275" s="21">
        <f>'Core Loads'!AF619*Process_12_CCF_per_lb_Engineering+'Core Loads'!AF639*Htg_12_CCF_per_MMBtu_Engineering+'Core Loads'!AF659*Clg_12_CCF_per_ton_Engineering</f>
        <v>0</v>
      </c>
      <c r="AH275"/>
      <c r="AI275" s="23" t="s">
        <v>293</v>
      </c>
    </row>
    <row r="276" spans="3:35" s="1" customFormat="1" hidden="1" outlineLevel="1" x14ac:dyDescent="0.25">
      <c r="C276" s="31" t="s">
        <v>245</v>
      </c>
      <c r="D276" s="21">
        <f>'Core Loads'!C620*Process_12_CCF_per_lb_lowerSproulOffices+'Core Loads'!C640*Htg_12_CCF_per_MMBtu_lowerSproulOffices+'Core Loads'!C660*Clg_12_CCF_per_ton_lowerSproulOffices</f>
        <v>0</v>
      </c>
      <c r="E276" s="21">
        <f>'Core Loads'!D620*Process_12_CCF_per_lb_lowerSproulOffices+'Core Loads'!D640*Htg_12_CCF_per_MMBtu_lowerSproulOffices+'Core Loads'!D660*Clg_12_CCF_per_ton_lowerSproulOffices</f>
        <v>0</v>
      </c>
      <c r="F276" s="21">
        <f>'Core Loads'!E620*Process_12_CCF_per_lb_lowerSproulOffices+'Core Loads'!E640*Htg_12_CCF_per_MMBtu_lowerSproulOffices+'Core Loads'!E660*Clg_12_CCF_per_ton_lowerSproulOffices</f>
        <v>7584.874140616972</v>
      </c>
      <c r="G276" s="21">
        <f>'Core Loads'!F620*Process_12_CCF_per_lb_lowerSproulOffices+'Core Loads'!F640*Htg_12_CCF_per_MMBtu_lowerSproulOffices+'Core Loads'!F660*Clg_12_CCF_per_ton_lowerSproulOffices</f>
        <v>7584.874140616972</v>
      </c>
      <c r="H276" s="21">
        <f>'Core Loads'!G620*Process_12_CCF_per_lb_lowerSproulOffices+'Core Loads'!G640*Htg_12_CCF_per_MMBtu_lowerSproulOffices+'Core Loads'!G660*Clg_12_CCF_per_ton_lowerSproulOffices</f>
        <v>7584.874140616972</v>
      </c>
      <c r="I276" s="21">
        <f>'Core Loads'!H620*Process_12_CCF_per_lb_lowerSproulOffices+'Core Loads'!H640*Htg_12_CCF_per_MMBtu_lowerSproulOffices+'Core Loads'!H660*Clg_12_CCF_per_ton_lowerSproulOffices</f>
        <v>19294.878899482384</v>
      </c>
      <c r="J276" s="21">
        <f>'Core Loads'!I620*Process_12_CCF_per_lb_lowerSproulOffices+'Core Loads'!I640*Htg_12_CCF_per_MMBtu_lowerSproulOffices+'Core Loads'!I660*Clg_12_CCF_per_ton_lowerSproulOffices</f>
        <v>19294.878899482384</v>
      </c>
      <c r="K276" s="21">
        <f>'Core Loads'!J620*Process_12_CCF_per_lb_lowerSproulOffices+'Core Loads'!J640*Htg_12_CCF_per_MMBtu_lowerSproulOffices+'Core Loads'!J660*Clg_12_CCF_per_ton_lowerSproulOffices</f>
        <v>19294.878899482384</v>
      </c>
      <c r="L276" s="21">
        <f>'Core Loads'!K620*Process_12_CCF_per_lb_lowerSproulOffices+'Core Loads'!K640*Htg_12_CCF_per_MMBtu_lowerSproulOffices+'Core Loads'!K660*Clg_12_CCF_per_ton_lowerSproulOffices</f>
        <v>19294.878899482384</v>
      </c>
      <c r="M276" s="21">
        <f>'Core Loads'!L620*Process_12_CCF_per_lb_lowerSproulOffices+'Core Loads'!L640*Htg_12_CCF_per_MMBtu_lowerSproulOffices+'Core Loads'!L660*Clg_12_CCF_per_ton_lowerSproulOffices</f>
        <v>19294.878899482384</v>
      </c>
      <c r="N276" s="21">
        <f>'Core Loads'!M620*Process_12_CCF_per_lb_lowerSproulOffices+'Core Loads'!M640*Htg_12_CCF_per_MMBtu_lowerSproulOffices+'Core Loads'!M660*Clg_12_CCF_per_ton_lowerSproulOffices</f>
        <v>19294.878899482384</v>
      </c>
      <c r="O276" s="21">
        <f>'Core Loads'!N620*Process_12_CCF_per_lb_lowerSproulOffices+'Core Loads'!N640*Htg_12_CCF_per_MMBtu_lowerSproulOffices+'Core Loads'!N660*Clg_12_CCF_per_ton_lowerSproulOffices</f>
        <v>18844.545027547927</v>
      </c>
      <c r="P276" s="21">
        <f>'Core Loads'!O620*Process_12_CCF_per_lb_lowerSproulOffices+'Core Loads'!O640*Htg_12_CCF_per_MMBtu_lowerSproulOffices+'Core Loads'!O660*Clg_12_CCF_per_ton_lowerSproulOffices</f>
        <v>18844.545027547927</v>
      </c>
      <c r="Q276" s="21">
        <f>'Core Loads'!P620*Process_12_CCF_per_lb_lowerSproulOffices+'Core Loads'!P640*Htg_12_CCF_per_MMBtu_lowerSproulOffices+'Core Loads'!P660*Clg_12_CCF_per_ton_lowerSproulOffices</f>
        <v>18844.545027547927</v>
      </c>
      <c r="R276" s="21">
        <f>'Core Loads'!Q620*Process_12_CCF_per_lb_lowerSproulOffices+'Core Loads'!Q640*Htg_12_CCF_per_MMBtu_lowerSproulOffices+'Core Loads'!Q660*Clg_12_CCF_per_ton_lowerSproulOffices</f>
        <v>18844.545027547927</v>
      </c>
      <c r="S276" s="21">
        <f>'Core Loads'!R620*Process_12_CCF_per_lb_lowerSproulOffices+'Core Loads'!R640*Htg_12_CCF_per_MMBtu_lowerSproulOffices+'Core Loads'!R660*Clg_12_CCF_per_ton_lowerSproulOffices</f>
        <v>47064.263895889701</v>
      </c>
      <c r="T276" s="21">
        <f>'Core Loads'!S620*Process_12_CCF_per_lb_lowerSproulOffices+'Core Loads'!S640*Htg_12_CCF_per_MMBtu_lowerSproulOffices+'Core Loads'!S660*Clg_12_CCF_per_ton_lowerSproulOffices</f>
        <v>47064.263895889701</v>
      </c>
      <c r="U276" s="21">
        <f>'Core Loads'!T620*Process_12_CCF_per_lb_lowerSproulOffices+'Core Loads'!T640*Htg_12_CCF_per_MMBtu_lowerSproulOffices+'Core Loads'!T660*Clg_12_CCF_per_ton_lowerSproulOffices</f>
        <v>47064.263895889701</v>
      </c>
      <c r="V276" s="21">
        <f>'Core Loads'!U620*Process_12_CCF_per_lb_lowerSproulOffices+'Core Loads'!U640*Htg_12_CCF_per_MMBtu_lowerSproulOffices+'Core Loads'!U660*Clg_12_CCF_per_ton_lowerSproulOffices</f>
        <v>47064.263895889701</v>
      </c>
      <c r="W276" s="21">
        <f>'Core Loads'!V620*Process_12_CCF_per_lb_lowerSproulOffices+'Core Loads'!V640*Htg_12_CCF_per_MMBtu_lowerSproulOffices+'Core Loads'!V660*Clg_12_CCF_per_ton_lowerSproulOffices</f>
        <v>47064.263895889701</v>
      </c>
      <c r="X276" s="21">
        <f>'Core Loads'!W620*Process_12_CCF_per_lb_lowerSproulOffices+'Core Loads'!W640*Htg_12_CCF_per_MMBtu_lowerSproulOffices+'Core Loads'!W660*Clg_12_CCF_per_ton_lowerSproulOffices</f>
        <v>47064.263895889701</v>
      </c>
      <c r="Y276" s="21">
        <f>'Core Loads'!X620*Process_12_CCF_per_lb_lowerSproulOffices+'Core Loads'!X640*Htg_12_CCF_per_MMBtu_lowerSproulOffices+'Core Loads'!X660*Clg_12_CCF_per_ton_lowerSproulOffices</f>
        <v>47064.263895889701</v>
      </c>
      <c r="Z276" s="21">
        <f>'Core Loads'!Y620*Process_12_CCF_per_lb_lowerSproulOffices+'Core Loads'!Y640*Htg_12_CCF_per_MMBtu_lowerSproulOffices+'Core Loads'!Y660*Clg_12_CCF_per_ton_lowerSproulOffices</f>
        <v>47064.263895889701</v>
      </c>
      <c r="AA276" s="21">
        <f>'Core Loads'!Z620*Process_12_CCF_per_lb_lowerSproulOffices+'Core Loads'!Z640*Htg_12_CCF_per_MMBtu_lowerSproulOffices+'Core Loads'!Z660*Clg_12_CCF_per_ton_lowerSproulOffices</f>
        <v>47064.263895889701</v>
      </c>
      <c r="AB276" s="21">
        <f>'Core Loads'!AA620*Process_12_CCF_per_lb_lowerSproulOffices+'Core Loads'!AA640*Htg_12_CCF_per_MMBtu_lowerSproulOffices+'Core Loads'!AA660*Clg_12_CCF_per_ton_lowerSproulOffices</f>
        <v>47064.263895889701</v>
      </c>
      <c r="AC276" s="21">
        <f>'Core Loads'!AB620*Process_12_CCF_per_lb_lowerSproulOffices+'Core Loads'!AB640*Htg_12_CCF_per_MMBtu_lowerSproulOffices+'Core Loads'!AB660*Clg_12_CCF_per_ton_lowerSproulOffices</f>
        <v>47064.263895889701</v>
      </c>
      <c r="AD276" s="21">
        <f>'Core Loads'!AC620*Process_12_CCF_per_lb_lowerSproulOffices+'Core Loads'!AC640*Htg_12_CCF_per_MMBtu_lowerSproulOffices+'Core Loads'!AC660*Clg_12_CCF_per_ton_lowerSproulOffices</f>
        <v>47064.263895889701</v>
      </c>
      <c r="AE276" s="21">
        <f>'Core Loads'!AD620*Process_12_CCF_per_lb_lowerSproulOffices+'Core Loads'!AD640*Htg_12_CCF_per_MMBtu_lowerSproulOffices+'Core Loads'!AD660*Clg_12_CCF_per_ton_lowerSproulOffices</f>
        <v>47064.263895889701</v>
      </c>
      <c r="AF276" s="21">
        <f>'Core Loads'!AE620*Process_12_CCF_per_lb_lowerSproulOffices+'Core Loads'!AE640*Htg_12_CCF_per_MMBtu_lowerSproulOffices+'Core Loads'!AE660*Clg_12_CCF_per_ton_lowerSproulOffices</f>
        <v>47064.263895889701</v>
      </c>
      <c r="AG276" s="21">
        <f>'Core Loads'!AF620*Process_12_CCF_per_lb_lowerSproulOffices+'Core Loads'!AF640*Htg_12_CCF_per_MMBtu_lowerSproulOffices+'Core Loads'!AF660*Clg_12_CCF_per_ton_lowerSproulOffices</f>
        <v>47064.263895889701</v>
      </c>
      <c r="AH276"/>
      <c r="AI276" s="23" t="s">
        <v>293</v>
      </c>
    </row>
    <row r="277" spans="3:35" ht="15.75" collapsed="1" thickTop="1" x14ac:dyDescent="0.25"/>
  </sheetData>
  <conditionalFormatting sqref="G20">
    <cfRule type="containsText" dxfId="647" priority="379" operator="containsText" text="In progress">
      <formula>NOT(ISERROR(SEARCH("In progress",G20)))</formula>
    </cfRule>
    <cfRule type="containsText" dxfId="646" priority="380" operator="containsText" text="Complete">
      <formula>NOT(ISERROR(SEARCH("Complete",G20)))</formula>
    </cfRule>
    <cfRule type="containsText" dxfId="645" priority="381" operator="containsText" text="Outstanding">
      <formula>NOT(ISERROR(SEARCH("Outstanding",G20)))</formula>
    </cfRule>
  </conditionalFormatting>
  <conditionalFormatting sqref="G19">
    <cfRule type="containsText" dxfId="644" priority="376" operator="containsText" text="In progress">
      <formula>NOT(ISERROR(SEARCH("In progress",G19)))</formula>
    </cfRule>
    <cfRule type="containsText" dxfId="643" priority="377" operator="containsText" text="Complete">
      <formula>NOT(ISERROR(SEARCH("Complete",G19)))</formula>
    </cfRule>
    <cfRule type="containsText" dxfId="642" priority="378" operator="containsText" text="Outstanding">
      <formula>NOT(ISERROR(SEARCH("Outstanding",G19)))</formula>
    </cfRule>
  </conditionalFormatting>
  <conditionalFormatting sqref="G11">
    <cfRule type="containsText" dxfId="641" priority="373" operator="containsText" text="In progress">
      <formula>NOT(ISERROR(SEARCH("In progress",G11)))</formula>
    </cfRule>
    <cfRule type="containsText" dxfId="640" priority="374" operator="containsText" text="Complete">
      <formula>NOT(ISERROR(SEARCH("Complete",G11)))</formula>
    </cfRule>
    <cfRule type="containsText" dxfId="639" priority="375" operator="containsText" text="Outstanding">
      <formula>NOT(ISERROR(SEARCH("Outstanding",G11)))</formula>
    </cfRule>
  </conditionalFormatting>
  <conditionalFormatting sqref="G13">
    <cfRule type="containsText" dxfId="638" priority="211" operator="containsText" text="In progress">
      <formula>NOT(ISERROR(SEARCH("In progress",G13)))</formula>
    </cfRule>
    <cfRule type="containsText" dxfId="637" priority="212" operator="containsText" text="Complete">
      <formula>NOT(ISERROR(SEARCH("Complete",G13)))</formula>
    </cfRule>
    <cfRule type="containsText" dxfId="636" priority="213" operator="containsText" text="Outstanding">
      <formula>NOT(ISERROR(SEARCH("Outstanding",G13)))</formula>
    </cfRule>
  </conditionalFormatting>
  <conditionalFormatting sqref="G12">
    <cfRule type="containsText" dxfId="635" priority="208" operator="containsText" text="In progress">
      <formula>NOT(ISERROR(SEARCH("In progress",G12)))</formula>
    </cfRule>
    <cfRule type="containsText" dxfId="634" priority="209" operator="containsText" text="Complete">
      <formula>NOT(ISERROR(SEARCH("Complete",G12)))</formula>
    </cfRule>
    <cfRule type="containsText" dxfId="633" priority="210" operator="containsText" text="Outstanding">
      <formula>NOT(ISERROR(SEARCH("Outstanding",G12)))</formula>
    </cfRule>
  </conditionalFormatting>
  <conditionalFormatting sqref="G36">
    <cfRule type="containsText" dxfId="632" priority="205" operator="containsText" text="In progress">
      <formula>NOT(ISERROR(SEARCH("In progress",G36)))</formula>
    </cfRule>
    <cfRule type="containsText" dxfId="631" priority="206" operator="containsText" text="Complete">
      <formula>NOT(ISERROR(SEARCH("Complete",G36)))</formula>
    </cfRule>
    <cfRule type="containsText" dxfId="630" priority="207" operator="containsText" text="Outstanding">
      <formula>NOT(ISERROR(SEARCH("Outstanding",G36)))</formula>
    </cfRule>
  </conditionalFormatting>
  <conditionalFormatting sqref="G35">
    <cfRule type="containsText" dxfId="629" priority="202" operator="containsText" text="In progress">
      <formula>NOT(ISERROR(SEARCH("In progress",G35)))</formula>
    </cfRule>
    <cfRule type="containsText" dxfId="628" priority="203" operator="containsText" text="Complete">
      <formula>NOT(ISERROR(SEARCH("Complete",G35)))</formula>
    </cfRule>
    <cfRule type="containsText" dxfId="627" priority="204" operator="containsText" text="Outstanding">
      <formula>NOT(ISERROR(SEARCH("Outstanding",G35)))</formula>
    </cfRule>
  </conditionalFormatting>
  <conditionalFormatting sqref="G27">
    <cfRule type="containsText" dxfId="626" priority="199" operator="containsText" text="In progress">
      <formula>NOT(ISERROR(SEARCH("In progress",G27)))</formula>
    </cfRule>
    <cfRule type="containsText" dxfId="625" priority="200" operator="containsText" text="Complete">
      <formula>NOT(ISERROR(SEARCH("Complete",G27)))</formula>
    </cfRule>
    <cfRule type="containsText" dxfId="624" priority="201" operator="containsText" text="Outstanding">
      <formula>NOT(ISERROR(SEARCH("Outstanding",G27)))</formula>
    </cfRule>
  </conditionalFormatting>
  <conditionalFormatting sqref="G29">
    <cfRule type="containsText" dxfId="623" priority="196" operator="containsText" text="In progress">
      <formula>NOT(ISERROR(SEARCH("In progress",G29)))</formula>
    </cfRule>
    <cfRule type="containsText" dxfId="622" priority="197" operator="containsText" text="Complete">
      <formula>NOT(ISERROR(SEARCH("Complete",G29)))</formula>
    </cfRule>
    <cfRule type="containsText" dxfId="621" priority="198" operator="containsText" text="Outstanding">
      <formula>NOT(ISERROR(SEARCH("Outstanding",G29)))</formula>
    </cfRule>
  </conditionalFormatting>
  <conditionalFormatting sqref="G28">
    <cfRule type="containsText" dxfId="620" priority="193" operator="containsText" text="In progress">
      <formula>NOT(ISERROR(SEARCH("In progress",G28)))</formula>
    </cfRule>
    <cfRule type="containsText" dxfId="619" priority="194" operator="containsText" text="Complete">
      <formula>NOT(ISERROR(SEARCH("Complete",G28)))</formula>
    </cfRule>
    <cfRule type="containsText" dxfId="618" priority="195" operator="containsText" text="Outstanding">
      <formula>NOT(ISERROR(SEARCH("Outstanding",G28)))</formula>
    </cfRule>
  </conditionalFormatting>
  <conditionalFormatting sqref="G67">
    <cfRule type="containsText" dxfId="617" priority="190" operator="containsText" text="In progress">
      <formula>NOT(ISERROR(SEARCH("In progress",G67)))</formula>
    </cfRule>
    <cfRule type="containsText" dxfId="616" priority="191" operator="containsText" text="Complete">
      <formula>NOT(ISERROR(SEARCH("Complete",G67)))</formula>
    </cfRule>
    <cfRule type="containsText" dxfId="615" priority="192" operator="containsText" text="Outstanding">
      <formula>NOT(ISERROR(SEARCH("Outstanding",G67)))</formula>
    </cfRule>
  </conditionalFormatting>
  <conditionalFormatting sqref="G66">
    <cfRule type="containsText" dxfId="614" priority="187" operator="containsText" text="In progress">
      <formula>NOT(ISERROR(SEARCH("In progress",G66)))</formula>
    </cfRule>
    <cfRule type="containsText" dxfId="613" priority="188" operator="containsText" text="Complete">
      <formula>NOT(ISERROR(SEARCH("Complete",G66)))</formula>
    </cfRule>
    <cfRule type="containsText" dxfId="612" priority="189" operator="containsText" text="Outstanding">
      <formula>NOT(ISERROR(SEARCH("Outstanding",G66)))</formula>
    </cfRule>
  </conditionalFormatting>
  <conditionalFormatting sqref="G58">
    <cfRule type="containsText" dxfId="611" priority="184" operator="containsText" text="In progress">
      <formula>NOT(ISERROR(SEARCH("In progress",G58)))</formula>
    </cfRule>
    <cfRule type="containsText" dxfId="610" priority="185" operator="containsText" text="Complete">
      <formula>NOT(ISERROR(SEARCH("Complete",G58)))</formula>
    </cfRule>
    <cfRule type="containsText" dxfId="609" priority="186" operator="containsText" text="Outstanding">
      <formula>NOT(ISERROR(SEARCH("Outstanding",G58)))</formula>
    </cfRule>
  </conditionalFormatting>
  <conditionalFormatting sqref="G60">
    <cfRule type="containsText" dxfId="608" priority="181" operator="containsText" text="In progress">
      <formula>NOT(ISERROR(SEARCH("In progress",G60)))</formula>
    </cfRule>
    <cfRule type="containsText" dxfId="607" priority="182" operator="containsText" text="Complete">
      <formula>NOT(ISERROR(SEARCH("Complete",G60)))</formula>
    </cfRule>
    <cfRule type="containsText" dxfId="606" priority="183" operator="containsText" text="Outstanding">
      <formula>NOT(ISERROR(SEARCH("Outstanding",G60)))</formula>
    </cfRule>
  </conditionalFormatting>
  <conditionalFormatting sqref="G59">
    <cfRule type="containsText" dxfId="605" priority="178" operator="containsText" text="In progress">
      <formula>NOT(ISERROR(SEARCH("In progress",G59)))</formula>
    </cfRule>
    <cfRule type="containsText" dxfId="604" priority="179" operator="containsText" text="Complete">
      <formula>NOT(ISERROR(SEARCH("Complete",G59)))</formula>
    </cfRule>
    <cfRule type="containsText" dxfId="603" priority="180" operator="containsText" text="Outstanding">
      <formula>NOT(ISERROR(SEARCH("Outstanding",G59)))</formula>
    </cfRule>
  </conditionalFormatting>
  <conditionalFormatting sqref="G97">
    <cfRule type="containsText" dxfId="602" priority="172" operator="containsText" text="In progress">
      <formula>NOT(ISERROR(SEARCH("In progress",G97)))</formula>
    </cfRule>
    <cfRule type="containsText" dxfId="601" priority="173" operator="containsText" text="Complete">
      <formula>NOT(ISERROR(SEARCH("Complete",G97)))</formula>
    </cfRule>
    <cfRule type="containsText" dxfId="600" priority="174" operator="containsText" text="Outstanding">
      <formula>NOT(ISERROR(SEARCH("Outstanding",G97)))</formula>
    </cfRule>
  </conditionalFormatting>
  <conditionalFormatting sqref="G89">
    <cfRule type="containsText" dxfId="599" priority="169" operator="containsText" text="In progress">
      <formula>NOT(ISERROR(SEARCH("In progress",G89)))</formula>
    </cfRule>
    <cfRule type="containsText" dxfId="598" priority="170" operator="containsText" text="Complete">
      <formula>NOT(ISERROR(SEARCH("Complete",G89)))</formula>
    </cfRule>
    <cfRule type="containsText" dxfId="597" priority="171" operator="containsText" text="Outstanding">
      <formula>NOT(ISERROR(SEARCH("Outstanding",G89)))</formula>
    </cfRule>
  </conditionalFormatting>
  <conditionalFormatting sqref="G91">
    <cfRule type="containsText" dxfId="596" priority="166" operator="containsText" text="In progress">
      <formula>NOT(ISERROR(SEARCH("In progress",G91)))</formula>
    </cfRule>
    <cfRule type="containsText" dxfId="595" priority="167" operator="containsText" text="Complete">
      <formula>NOT(ISERROR(SEARCH("Complete",G91)))</formula>
    </cfRule>
    <cfRule type="containsText" dxfId="594" priority="168" operator="containsText" text="Outstanding">
      <formula>NOT(ISERROR(SEARCH("Outstanding",G91)))</formula>
    </cfRule>
  </conditionalFormatting>
  <conditionalFormatting sqref="G90">
    <cfRule type="containsText" dxfId="593" priority="163" operator="containsText" text="In progress">
      <formula>NOT(ISERROR(SEARCH("In progress",G90)))</formula>
    </cfRule>
    <cfRule type="containsText" dxfId="592" priority="164" operator="containsText" text="Complete">
      <formula>NOT(ISERROR(SEARCH("Complete",G90)))</formula>
    </cfRule>
    <cfRule type="containsText" dxfId="591" priority="165" operator="containsText" text="Outstanding">
      <formula>NOT(ISERROR(SEARCH("Outstanding",G90)))</formula>
    </cfRule>
  </conditionalFormatting>
  <conditionalFormatting sqref="G129">
    <cfRule type="containsText" dxfId="590" priority="160" operator="containsText" text="In progress">
      <formula>NOT(ISERROR(SEARCH("In progress",G129)))</formula>
    </cfRule>
    <cfRule type="containsText" dxfId="589" priority="161" operator="containsText" text="Complete">
      <formula>NOT(ISERROR(SEARCH("Complete",G129)))</formula>
    </cfRule>
    <cfRule type="containsText" dxfId="588" priority="162" operator="containsText" text="Outstanding">
      <formula>NOT(ISERROR(SEARCH("Outstanding",G129)))</formula>
    </cfRule>
  </conditionalFormatting>
  <conditionalFormatting sqref="G128">
    <cfRule type="containsText" dxfId="587" priority="157" operator="containsText" text="In progress">
      <formula>NOT(ISERROR(SEARCH("In progress",G128)))</formula>
    </cfRule>
    <cfRule type="containsText" dxfId="586" priority="158" operator="containsText" text="Complete">
      <formula>NOT(ISERROR(SEARCH("Complete",G128)))</formula>
    </cfRule>
    <cfRule type="containsText" dxfId="585" priority="159" operator="containsText" text="Outstanding">
      <formula>NOT(ISERROR(SEARCH("Outstanding",G128)))</formula>
    </cfRule>
  </conditionalFormatting>
  <conditionalFormatting sqref="G120">
    <cfRule type="containsText" dxfId="584" priority="154" operator="containsText" text="In progress">
      <formula>NOT(ISERROR(SEARCH("In progress",G120)))</formula>
    </cfRule>
    <cfRule type="containsText" dxfId="583" priority="155" operator="containsText" text="Complete">
      <formula>NOT(ISERROR(SEARCH("Complete",G120)))</formula>
    </cfRule>
    <cfRule type="containsText" dxfId="582" priority="156" operator="containsText" text="Outstanding">
      <formula>NOT(ISERROR(SEARCH("Outstanding",G120)))</formula>
    </cfRule>
  </conditionalFormatting>
  <conditionalFormatting sqref="G122">
    <cfRule type="containsText" dxfId="581" priority="151" operator="containsText" text="In progress">
      <formula>NOT(ISERROR(SEARCH("In progress",G122)))</formula>
    </cfRule>
    <cfRule type="containsText" dxfId="580" priority="152" operator="containsText" text="Complete">
      <formula>NOT(ISERROR(SEARCH("Complete",G122)))</formula>
    </cfRule>
    <cfRule type="containsText" dxfId="579" priority="153" operator="containsText" text="Outstanding">
      <formula>NOT(ISERROR(SEARCH("Outstanding",G122)))</formula>
    </cfRule>
  </conditionalFormatting>
  <conditionalFormatting sqref="G121">
    <cfRule type="containsText" dxfId="578" priority="148" operator="containsText" text="In progress">
      <formula>NOT(ISERROR(SEARCH("In progress",G121)))</formula>
    </cfRule>
    <cfRule type="containsText" dxfId="577" priority="149" operator="containsText" text="Complete">
      <formula>NOT(ISERROR(SEARCH("Complete",G121)))</formula>
    </cfRule>
    <cfRule type="containsText" dxfId="576" priority="150" operator="containsText" text="Outstanding">
      <formula>NOT(ISERROR(SEARCH("Outstanding",G121)))</formula>
    </cfRule>
  </conditionalFormatting>
  <conditionalFormatting sqref="G161">
    <cfRule type="containsText" dxfId="575" priority="145" operator="containsText" text="In progress">
      <formula>NOT(ISERROR(SEARCH("In progress",G161)))</formula>
    </cfRule>
    <cfRule type="containsText" dxfId="574" priority="146" operator="containsText" text="Complete">
      <formula>NOT(ISERROR(SEARCH("Complete",G161)))</formula>
    </cfRule>
    <cfRule type="containsText" dxfId="573" priority="147" operator="containsText" text="Outstanding">
      <formula>NOT(ISERROR(SEARCH("Outstanding",G161)))</formula>
    </cfRule>
  </conditionalFormatting>
  <conditionalFormatting sqref="G160">
    <cfRule type="containsText" dxfId="572" priority="142" operator="containsText" text="In progress">
      <formula>NOT(ISERROR(SEARCH("In progress",G160)))</formula>
    </cfRule>
    <cfRule type="containsText" dxfId="571" priority="143" operator="containsText" text="Complete">
      <formula>NOT(ISERROR(SEARCH("Complete",G160)))</formula>
    </cfRule>
    <cfRule type="containsText" dxfId="570" priority="144" operator="containsText" text="Outstanding">
      <formula>NOT(ISERROR(SEARCH("Outstanding",G160)))</formula>
    </cfRule>
  </conditionalFormatting>
  <conditionalFormatting sqref="G152">
    <cfRule type="containsText" dxfId="569" priority="139" operator="containsText" text="In progress">
      <formula>NOT(ISERROR(SEARCH("In progress",G152)))</formula>
    </cfRule>
    <cfRule type="containsText" dxfId="568" priority="140" operator="containsText" text="Complete">
      <formula>NOT(ISERROR(SEARCH("Complete",G152)))</formula>
    </cfRule>
    <cfRule type="containsText" dxfId="567" priority="141" operator="containsText" text="Outstanding">
      <formula>NOT(ISERROR(SEARCH("Outstanding",G152)))</formula>
    </cfRule>
  </conditionalFormatting>
  <conditionalFormatting sqref="G154">
    <cfRule type="containsText" dxfId="566" priority="136" operator="containsText" text="In progress">
      <formula>NOT(ISERROR(SEARCH("In progress",G154)))</formula>
    </cfRule>
    <cfRule type="containsText" dxfId="565" priority="137" operator="containsText" text="Complete">
      <formula>NOT(ISERROR(SEARCH("Complete",G154)))</formula>
    </cfRule>
    <cfRule type="containsText" dxfId="564" priority="138" operator="containsText" text="Outstanding">
      <formula>NOT(ISERROR(SEARCH("Outstanding",G154)))</formula>
    </cfRule>
  </conditionalFormatting>
  <conditionalFormatting sqref="G153">
    <cfRule type="containsText" dxfId="563" priority="133" operator="containsText" text="In progress">
      <formula>NOT(ISERROR(SEARCH("In progress",G153)))</formula>
    </cfRule>
    <cfRule type="containsText" dxfId="562" priority="134" operator="containsText" text="Complete">
      <formula>NOT(ISERROR(SEARCH("Complete",G153)))</formula>
    </cfRule>
    <cfRule type="containsText" dxfId="561" priority="135" operator="containsText" text="Outstanding">
      <formula>NOT(ISERROR(SEARCH("Outstanding",G153)))</formula>
    </cfRule>
  </conditionalFormatting>
  <conditionalFormatting sqref="G202">
    <cfRule type="containsText" dxfId="560" priority="106" operator="containsText" text="In progress">
      <formula>NOT(ISERROR(SEARCH("In progress",G202)))</formula>
    </cfRule>
    <cfRule type="containsText" dxfId="559" priority="107" operator="containsText" text="Complete">
      <formula>NOT(ISERROR(SEARCH("Complete",G202)))</formula>
    </cfRule>
    <cfRule type="containsText" dxfId="558" priority="108" operator="containsText" text="Outstanding">
      <formula>NOT(ISERROR(SEARCH("Outstanding",G202)))</formula>
    </cfRule>
  </conditionalFormatting>
  <conditionalFormatting sqref="G201">
    <cfRule type="containsText" dxfId="557" priority="103" operator="containsText" text="In progress">
      <formula>NOT(ISERROR(SEARCH("In progress",G201)))</formula>
    </cfRule>
    <cfRule type="containsText" dxfId="556" priority="104" operator="containsText" text="Complete">
      <formula>NOT(ISERROR(SEARCH("Complete",G201)))</formula>
    </cfRule>
    <cfRule type="containsText" dxfId="555" priority="105" operator="containsText" text="Outstanding">
      <formula>NOT(ISERROR(SEARCH("Outstanding",G201)))</formula>
    </cfRule>
  </conditionalFormatting>
  <conditionalFormatting sqref="G168">
    <cfRule type="containsText" dxfId="554" priority="124" operator="containsText" text="In progress">
      <formula>NOT(ISERROR(SEARCH("In progress",G168)))</formula>
    </cfRule>
    <cfRule type="containsText" dxfId="553" priority="125" operator="containsText" text="Complete">
      <formula>NOT(ISERROR(SEARCH("Complete",G168)))</formula>
    </cfRule>
    <cfRule type="containsText" dxfId="552" priority="126" operator="containsText" text="Outstanding">
      <formula>NOT(ISERROR(SEARCH("Outstanding",G168)))</formula>
    </cfRule>
  </conditionalFormatting>
  <conditionalFormatting sqref="G170">
    <cfRule type="containsText" dxfId="551" priority="121" operator="containsText" text="In progress">
      <formula>NOT(ISERROR(SEARCH("In progress",G170)))</formula>
    </cfRule>
    <cfRule type="containsText" dxfId="550" priority="122" operator="containsText" text="Complete">
      <formula>NOT(ISERROR(SEARCH("Complete",G170)))</formula>
    </cfRule>
    <cfRule type="containsText" dxfId="549" priority="123" operator="containsText" text="Outstanding">
      <formula>NOT(ISERROR(SEARCH("Outstanding",G170)))</formula>
    </cfRule>
  </conditionalFormatting>
  <conditionalFormatting sqref="G169">
    <cfRule type="containsText" dxfId="548" priority="118" operator="containsText" text="In progress">
      <formula>NOT(ISERROR(SEARCH("In progress",G169)))</formula>
    </cfRule>
    <cfRule type="containsText" dxfId="547" priority="119" operator="containsText" text="Complete">
      <formula>NOT(ISERROR(SEARCH("Complete",G169)))</formula>
    </cfRule>
    <cfRule type="containsText" dxfId="546" priority="120" operator="containsText" text="Outstanding">
      <formula>NOT(ISERROR(SEARCH("Outstanding",G169)))</formula>
    </cfRule>
  </conditionalFormatting>
  <conditionalFormatting sqref="G216">
    <cfRule type="containsText" dxfId="545" priority="94" operator="containsText" text="In progress">
      <formula>NOT(ISERROR(SEARCH("In progress",G216)))</formula>
    </cfRule>
    <cfRule type="containsText" dxfId="544" priority="95" operator="containsText" text="Complete">
      <formula>NOT(ISERROR(SEARCH("Complete",G216)))</formula>
    </cfRule>
    <cfRule type="containsText" dxfId="543" priority="96" operator="containsText" text="Outstanding">
      <formula>NOT(ISERROR(SEARCH("Outstanding",G216)))</formula>
    </cfRule>
  </conditionalFormatting>
  <conditionalFormatting sqref="G200">
    <cfRule type="containsText" dxfId="542" priority="109" operator="containsText" text="In progress">
      <formula>NOT(ISERROR(SEARCH("In progress",G200)))</formula>
    </cfRule>
    <cfRule type="containsText" dxfId="541" priority="110" operator="containsText" text="Complete">
      <formula>NOT(ISERROR(SEARCH("Complete",G200)))</formula>
    </cfRule>
    <cfRule type="containsText" dxfId="540" priority="111" operator="containsText" text="Outstanding">
      <formula>NOT(ISERROR(SEARCH("Outstanding",G200)))</formula>
    </cfRule>
  </conditionalFormatting>
  <conditionalFormatting sqref="G217">
    <cfRule type="containsText" dxfId="539" priority="88" operator="containsText" text="In progress">
      <formula>NOT(ISERROR(SEARCH("In progress",G217)))</formula>
    </cfRule>
    <cfRule type="containsText" dxfId="538" priority="89" operator="containsText" text="Complete">
      <formula>NOT(ISERROR(SEARCH("Complete",G217)))</formula>
    </cfRule>
    <cfRule type="containsText" dxfId="537" priority="90" operator="containsText" text="Outstanding">
      <formula>NOT(ISERROR(SEARCH("Outstanding",G217)))</formula>
    </cfRule>
  </conditionalFormatting>
  <conditionalFormatting sqref="G218">
    <cfRule type="containsText" dxfId="536" priority="91" operator="containsText" text="In progress">
      <formula>NOT(ISERROR(SEARCH("In progress",G218)))</formula>
    </cfRule>
    <cfRule type="containsText" dxfId="535" priority="92" operator="containsText" text="Complete">
      <formula>NOT(ISERROR(SEARCH("Complete",G218)))</formula>
    </cfRule>
    <cfRule type="containsText" dxfId="534" priority="93" operator="containsText" text="Outstanding">
      <formula>NOT(ISERROR(SEARCH("Outstanding",G218)))</formula>
    </cfRule>
  </conditionalFormatting>
  <conditionalFormatting sqref="G232">
    <cfRule type="containsText" dxfId="533" priority="79" operator="containsText" text="In progress">
      <formula>NOT(ISERROR(SEARCH("In progress",G232)))</formula>
    </cfRule>
    <cfRule type="containsText" dxfId="532" priority="80" operator="containsText" text="Complete">
      <formula>NOT(ISERROR(SEARCH("Complete",G232)))</formula>
    </cfRule>
    <cfRule type="containsText" dxfId="531" priority="81" operator="containsText" text="Outstanding">
      <formula>NOT(ISERROR(SEARCH("Outstanding",G232)))</formula>
    </cfRule>
  </conditionalFormatting>
  <conditionalFormatting sqref="G234">
    <cfRule type="containsText" dxfId="530" priority="76" operator="containsText" text="In progress">
      <formula>NOT(ISERROR(SEARCH("In progress",G234)))</formula>
    </cfRule>
    <cfRule type="containsText" dxfId="529" priority="77" operator="containsText" text="Complete">
      <formula>NOT(ISERROR(SEARCH("Complete",G234)))</formula>
    </cfRule>
    <cfRule type="containsText" dxfId="528" priority="78" operator="containsText" text="Outstanding">
      <formula>NOT(ISERROR(SEARCH("Outstanding",G234)))</formula>
    </cfRule>
  </conditionalFormatting>
  <conditionalFormatting sqref="G233">
    <cfRule type="containsText" dxfId="527" priority="73" operator="containsText" text="In progress">
      <formula>NOT(ISERROR(SEARCH("In progress",G233)))</formula>
    </cfRule>
    <cfRule type="containsText" dxfId="526" priority="74" operator="containsText" text="Complete">
      <formula>NOT(ISERROR(SEARCH("Complete",G233)))</formula>
    </cfRule>
    <cfRule type="containsText" dxfId="525" priority="75" operator="containsText" text="Outstanding">
      <formula>NOT(ISERROR(SEARCH("Outstanding",G233)))</formula>
    </cfRule>
  </conditionalFormatting>
  <conditionalFormatting sqref="G177">
    <cfRule type="containsText" dxfId="524" priority="70" operator="containsText" text="In progress">
      <formula>NOT(ISERROR(SEARCH("In progress",G177)))</formula>
    </cfRule>
    <cfRule type="containsText" dxfId="523" priority="71" operator="containsText" text="Complete">
      <formula>NOT(ISERROR(SEARCH("Complete",G177)))</formula>
    </cfRule>
    <cfRule type="containsText" dxfId="522" priority="72" operator="containsText" text="Outstanding">
      <formula>NOT(ISERROR(SEARCH("Outstanding",G177)))</formula>
    </cfRule>
  </conditionalFormatting>
  <conditionalFormatting sqref="G176">
    <cfRule type="containsText" dxfId="521" priority="67" operator="containsText" text="In progress">
      <formula>NOT(ISERROR(SEARCH("In progress",G176)))</formula>
    </cfRule>
    <cfRule type="containsText" dxfId="520" priority="68" operator="containsText" text="Complete">
      <formula>NOT(ISERROR(SEARCH("Complete",G176)))</formula>
    </cfRule>
    <cfRule type="containsText" dxfId="519" priority="69" operator="containsText" text="Outstanding">
      <formula>NOT(ISERROR(SEARCH("Outstanding",G176)))</formula>
    </cfRule>
  </conditionalFormatting>
  <conditionalFormatting sqref="G209">
    <cfRule type="containsText" dxfId="518" priority="64" operator="containsText" text="In progress">
      <formula>NOT(ISERROR(SEARCH("In progress",G209)))</formula>
    </cfRule>
    <cfRule type="containsText" dxfId="517" priority="65" operator="containsText" text="Complete">
      <formula>NOT(ISERROR(SEARCH("Complete",G209)))</formula>
    </cfRule>
    <cfRule type="containsText" dxfId="516" priority="66" operator="containsText" text="Outstanding">
      <formula>NOT(ISERROR(SEARCH("Outstanding",G209)))</formula>
    </cfRule>
  </conditionalFormatting>
  <conditionalFormatting sqref="G208">
    <cfRule type="containsText" dxfId="515" priority="61" operator="containsText" text="In progress">
      <formula>NOT(ISERROR(SEARCH("In progress",G208)))</formula>
    </cfRule>
    <cfRule type="containsText" dxfId="514" priority="62" operator="containsText" text="Complete">
      <formula>NOT(ISERROR(SEARCH("Complete",G208)))</formula>
    </cfRule>
    <cfRule type="containsText" dxfId="513" priority="63" operator="containsText" text="Outstanding">
      <formula>NOT(ISERROR(SEARCH("Outstanding",G208)))</formula>
    </cfRule>
  </conditionalFormatting>
  <conditionalFormatting sqref="G225">
    <cfRule type="containsText" dxfId="512" priority="58" operator="containsText" text="In progress">
      <formula>NOT(ISERROR(SEARCH("In progress",G225)))</formula>
    </cfRule>
    <cfRule type="containsText" dxfId="511" priority="59" operator="containsText" text="Complete">
      <formula>NOT(ISERROR(SEARCH("Complete",G225)))</formula>
    </cfRule>
    <cfRule type="containsText" dxfId="510" priority="60" operator="containsText" text="Outstanding">
      <formula>NOT(ISERROR(SEARCH("Outstanding",G225)))</formula>
    </cfRule>
  </conditionalFormatting>
  <conditionalFormatting sqref="G224">
    <cfRule type="containsText" dxfId="509" priority="55" operator="containsText" text="In progress">
      <formula>NOT(ISERROR(SEARCH("In progress",G224)))</formula>
    </cfRule>
    <cfRule type="containsText" dxfId="508" priority="56" operator="containsText" text="Complete">
      <formula>NOT(ISERROR(SEARCH("Complete",G224)))</formula>
    </cfRule>
    <cfRule type="containsText" dxfId="507" priority="57" operator="containsText" text="Outstanding">
      <formula>NOT(ISERROR(SEARCH("Outstanding",G224)))</formula>
    </cfRule>
  </conditionalFormatting>
  <conditionalFormatting sqref="G241">
    <cfRule type="containsText" dxfId="506" priority="52" operator="containsText" text="In progress">
      <formula>NOT(ISERROR(SEARCH("In progress",G241)))</formula>
    </cfRule>
    <cfRule type="containsText" dxfId="505" priority="53" operator="containsText" text="Complete">
      <formula>NOT(ISERROR(SEARCH("Complete",G241)))</formula>
    </cfRule>
    <cfRule type="containsText" dxfId="504" priority="54" operator="containsText" text="Outstanding">
      <formula>NOT(ISERROR(SEARCH("Outstanding",G241)))</formula>
    </cfRule>
  </conditionalFormatting>
  <conditionalFormatting sqref="G240">
    <cfRule type="containsText" dxfId="503" priority="49" operator="containsText" text="In progress">
      <formula>NOT(ISERROR(SEARCH("In progress",G240)))</formula>
    </cfRule>
    <cfRule type="containsText" dxfId="502" priority="50" operator="containsText" text="Complete">
      <formula>NOT(ISERROR(SEARCH("Complete",G240)))</formula>
    </cfRule>
    <cfRule type="containsText" dxfId="501" priority="51" operator="containsText" text="Outstanding">
      <formula>NOT(ISERROR(SEARCH("Outstanding",G240)))</formula>
    </cfRule>
  </conditionalFormatting>
  <conditionalFormatting sqref="G98">
    <cfRule type="containsText" dxfId="500" priority="46" operator="containsText" text="In progress">
      <formula>NOT(ISERROR(SEARCH("In progress",G98)))</formula>
    </cfRule>
    <cfRule type="containsText" dxfId="499" priority="47" operator="containsText" text="Complete">
      <formula>NOT(ISERROR(SEARCH("Complete",G98)))</formula>
    </cfRule>
    <cfRule type="containsText" dxfId="498" priority="48" operator="containsText" text="Outstanding">
      <formula>NOT(ISERROR(SEARCH("Outstanding",G98)))</formula>
    </cfRule>
  </conditionalFormatting>
  <conditionalFormatting sqref="G145">
    <cfRule type="containsText" dxfId="497" priority="43" operator="containsText" text="In progress">
      <formula>NOT(ISERROR(SEARCH("In progress",G145)))</formula>
    </cfRule>
    <cfRule type="containsText" dxfId="496" priority="44" operator="containsText" text="Complete">
      <formula>NOT(ISERROR(SEARCH("Complete",G145)))</formula>
    </cfRule>
    <cfRule type="containsText" dxfId="495" priority="45" operator="containsText" text="Outstanding">
      <formula>NOT(ISERROR(SEARCH("Outstanding",G145)))</formula>
    </cfRule>
  </conditionalFormatting>
  <conditionalFormatting sqref="G144">
    <cfRule type="containsText" dxfId="494" priority="40" operator="containsText" text="In progress">
      <formula>NOT(ISERROR(SEARCH("In progress",G144)))</formula>
    </cfRule>
    <cfRule type="containsText" dxfId="493" priority="41" operator="containsText" text="Complete">
      <formula>NOT(ISERROR(SEARCH("Complete",G144)))</formula>
    </cfRule>
    <cfRule type="containsText" dxfId="492" priority="42" operator="containsText" text="Outstanding">
      <formula>NOT(ISERROR(SEARCH("Outstanding",G144)))</formula>
    </cfRule>
  </conditionalFormatting>
  <conditionalFormatting sqref="G136">
    <cfRule type="containsText" dxfId="491" priority="37" operator="containsText" text="In progress">
      <formula>NOT(ISERROR(SEARCH("In progress",G136)))</formula>
    </cfRule>
    <cfRule type="containsText" dxfId="490" priority="38" operator="containsText" text="Complete">
      <formula>NOT(ISERROR(SEARCH("Complete",G136)))</formula>
    </cfRule>
    <cfRule type="containsText" dxfId="489" priority="39" operator="containsText" text="Outstanding">
      <formula>NOT(ISERROR(SEARCH("Outstanding",G136)))</formula>
    </cfRule>
  </conditionalFormatting>
  <conditionalFormatting sqref="G138">
    <cfRule type="containsText" dxfId="488" priority="34" operator="containsText" text="In progress">
      <formula>NOT(ISERROR(SEARCH("In progress",G138)))</formula>
    </cfRule>
    <cfRule type="containsText" dxfId="487" priority="35" operator="containsText" text="Complete">
      <formula>NOT(ISERROR(SEARCH("Complete",G138)))</formula>
    </cfRule>
    <cfRule type="containsText" dxfId="486" priority="36" operator="containsText" text="Outstanding">
      <formula>NOT(ISERROR(SEARCH("Outstanding",G138)))</formula>
    </cfRule>
  </conditionalFormatting>
  <conditionalFormatting sqref="G137">
    <cfRule type="containsText" dxfId="485" priority="31" operator="containsText" text="In progress">
      <formula>NOT(ISERROR(SEARCH("In progress",G137)))</formula>
    </cfRule>
    <cfRule type="containsText" dxfId="484" priority="32" operator="containsText" text="Complete">
      <formula>NOT(ISERROR(SEARCH("Complete",G137)))</formula>
    </cfRule>
    <cfRule type="containsText" dxfId="483" priority="33" operator="containsText" text="Outstanding">
      <formula>NOT(ISERROR(SEARCH("Outstanding",G137)))</formula>
    </cfRule>
  </conditionalFormatting>
  <conditionalFormatting sqref="G193">
    <cfRule type="containsText" dxfId="482" priority="28" operator="containsText" text="In progress">
      <formula>NOT(ISERROR(SEARCH("In progress",G193)))</formula>
    </cfRule>
    <cfRule type="containsText" dxfId="481" priority="29" operator="containsText" text="Complete">
      <formula>NOT(ISERROR(SEARCH("Complete",G193)))</formula>
    </cfRule>
    <cfRule type="containsText" dxfId="480" priority="30" operator="containsText" text="Outstanding">
      <formula>NOT(ISERROR(SEARCH("Outstanding",G193)))</formula>
    </cfRule>
  </conditionalFormatting>
  <conditionalFormatting sqref="G192">
    <cfRule type="containsText" dxfId="479" priority="25" operator="containsText" text="In progress">
      <formula>NOT(ISERROR(SEARCH("In progress",G192)))</formula>
    </cfRule>
    <cfRule type="containsText" dxfId="478" priority="26" operator="containsText" text="Complete">
      <formula>NOT(ISERROR(SEARCH("Complete",G192)))</formula>
    </cfRule>
    <cfRule type="containsText" dxfId="477" priority="27" operator="containsText" text="Outstanding">
      <formula>NOT(ISERROR(SEARCH("Outstanding",G192)))</formula>
    </cfRule>
  </conditionalFormatting>
  <conditionalFormatting sqref="G184">
    <cfRule type="containsText" dxfId="476" priority="22" operator="containsText" text="In progress">
      <formula>NOT(ISERROR(SEARCH("In progress",G184)))</formula>
    </cfRule>
    <cfRule type="containsText" dxfId="475" priority="23" operator="containsText" text="Complete">
      <formula>NOT(ISERROR(SEARCH("Complete",G184)))</formula>
    </cfRule>
    <cfRule type="containsText" dxfId="474" priority="24" operator="containsText" text="Outstanding">
      <formula>NOT(ISERROR(SEARCH("Outstanding",G184)))</formula>
    </cfRule>
  </conditionalFormatting>
  <conditionalFormatting sqref="G186">
    <cfRule type="containsText" dxfId="473" priority="19" operator="containsText" text="In progress">
      <formula>NOT(ISERROR(SEARCH("In progress",G186)))</formula>
    </cfRule>
    <cfRule type="containsText" dxfId="472" priority="20" operator="containsText" text="Complete">
      <formula>NOT(ISERROR(SEARCH("Complete",G186)))</formula>
    </cfRule>
    <cfRule type="containsText" dxfId="471" priority="21" operator="containsText" text="Outstanding">
      <formula>NOT(ISERROR(SEARCH("Outstanding",G186)))</formula>
    </cfRule>
  </conditionalFormatting>
  <conditionalFormatting sqref="G185">
    <cfRule type="containsText" dxfId="470" priority="16" operator="containsText" text="In progress">
      <formula>NOT(ISERROR(SEARCH("In progress",G185)))</formula>
    </cfRule>
    <cfRule type="containsText" dxfId="469" priority="17" operator="containsText" text="Complete">
      <formula>NOT(ISERROR(SEARCH("Complete",G185)))</formula>
    </cfRule>
    <cfRule type="containsText" dxfId="468" priority="18" operator="containsText" text="Outstanding">
      <formula>NOT(ISERROR(SEARCH("Outstanding",G185)))</formula>
    </cfRule>
  </conditionalFormatting>
  <conditionalFormatting sqref="G257">
    <cfRule type="containsText" dxfId="467" priority="1" operator="containsText" text="In progress">
      <formula>NOT(ISERROR(SEARCH("In progress",G257)))</formula>
    </cfRule>
    <cfRule type="containsText" dxfId="466" priority="2" operator="containsText" text="Complete">
      <formula>NOT(ISERROR(SEARCH("Complete",G257)))</formula>
    </cfRule>
    <cfRule type="containsText" dxfId="465" priority="3" operator="containsText" text="Outstanding">
      <formula>NOT(ISERROR(SEARCH("Outstanding",G257)))</formula>
    </cfRule>
  </conditionalFormatting>
  <conditionalFormatting sqref="G256">
    <cfRule type="containsText" dxfId="464" priority="13" operator="containsText" text="In progress">
      <formula>NOT(ISERROR(SEARCH("In progress",G256)))</formula>
    </cfRule>
    <cfRule type="containsText" dxfId="463" priority="14" operator="containsText" text="Complete">
      <formula>NOT(ISERROR(SEARCH("Complete",G256)))</formula>
    </cfRule>
    <cfRule type="containsText" dxfId="462" priority="15" operator="containsText" text="Outstanding">
      <formula>NOT(ISERROR(SEARCH("Outstanding",G256)))</formula>
    </cfRule>
  </conditionalFormatting>
  <conditionalFormatting sqref="G248">
    <cfRule type="containsText" dxfId="461" priority="10" operator="containsText" text="In progress">
      <formula>NOT(ISERROR(SEARCH("In progress",G248)))</formula>
    </cfRule>
    <cfRule type="containsText" dxfId="460" priority="11" operator="containsText" text="Complete">
      <formula>NOT(ISERROR(SEARCH("Complete",G248)))</formula>
    </cfRule>
    <cfRule type="containsText" dxfId="459" priority="12" operator="containsText" text="Outstanding">
      <formula>NOT(ISERROR(SEARCH("Outstanding",G248)))</formula>
    </cfRule>
  </conditionalFormatting>
  <conditionalFormatting sqref="G250">
    <cfRule type="containsText" dxfId="458" priority="7" operator="containsText" text="In progress">
      <formula>NOT(ISERROR(SEARCH("In progress",G250)))</formula>
    </cfRule>
    <cfRule type="containsText" dxfId="457" priority="8" operator="containsText" text="Complete">
      <formula>NOT(ISERROR(SEARCH("Complete",G250)))</formula>
    </cfRule>
    <cfRule type="containsText" dxfId="456" priority="9" operator="containsText" text="Outstanding">
      <formula>NOT(ISERROR(SEARCH("Outstanding",G250)))</formula>
    </cfRule>
  </conditionalFormatting>
  <conditionalFormatting sqref="G249">
    <cfRule type="containsText" dxfId="455" priority="4" operator="containsText" text="In progress">
      <formula>NOT(ISERROR(SEARCH("In progress",G249)))</formula>
    </cfRule>
    <cfRule type="containsText" dxfId="454" priority="5" operator="containsText" text="Complete">
      <formula>NOT(ISERROR(SEARCH("Complete",G249)))</formula>
    </cfRule>
    <cfRule type="containsText" dxfId="453" priority="6" operator="containsText" text="Outstanding">
      <formula>NOT(ISERROR(SEARCH("Outstanding",G249)))</formula>
    </cfRule>
  </conditionalFormatting>
  <pageMargins left="0.7" right="0.7" top="0.75" bottom="0.75" header="0.3" footer="0.3"/>
  <pageSetup paperSize="256"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9486B-C1DB-4636-A813-0D5391A57004}">
  <dimension ref="B1:AJ273"/>
  <sheetViews>
    <sheetView workbookViewId="0"/>
  </sheetViews>
  <sheetFormatPr defaultRowHeight="15" x14ac:dyDescent="0.25"/>
  <cols>
    <col min="1" max="1" width="3.7109375" customWidth="1"/>
    <col min="2" max="2" width="12.5703125" customWidth="1"/>
    <col min="3" max="3" width="28" bestFit="1" customWidth="1"/>
    <col min="4" max="4" width="5.42578125" bestFit="1" customWidth="1"/>
    <col min="5" max="5" width="11.5703125" bestFit="1" customWidth="1"/>
    <col min="6" max="34" width="5.140625" bestFit="1" customWidth="1"/>
    <col min="36" max="36" width="27.28515625" bestFit="1" customWidth="1"/>
  </cols>
  <sheetData>
    <row r="1" spans="2:36" s="1" customFormat="1" x14ac:dyDescent="0.25">
      <c r="D1" s="9"/>
      <c r="E1" s="9"/>
      <c r="F1" s="11"/>
      <c r="S1" s="13"/>
      <c r="T1" s="13"/>
    </row>
    <row r="2" spans="2:36" s="1" customFormat="1" x14ac:dyDescent="0.25">
      <c r="B2" s="3" t="s">
        <v>0</v>
      </c>
      <c r="C2" s="8" t="str">
        <f>'Global Inputs'!C2</f>
        <v>UC Berkeley</v>
      </c>
      <c r="E2" s="6" t="s">
        <v>2</v>
      </c>
      <c r="F2" s="11"/>
      <c r="S2" s="13"/>
      <c r="T2" s="13"/>
    </row>
    <row r="3" spans="2:36" s="1" customFormat="1" x14ac:dyDescent="0.25">
      <c r="B3" s="3" t="s">
        <v>3</v>
      </c>
      <c r="C3" s="8" t="str">
        <f>'Global Inputs'!C3</f>
        <v>Campus energy study update</v>
      </c>
      <c r="E3" s="8" t="s">
        <v>5</v>
      </c>
      <c r="F3" s="11"/>
      <c r="S3" s="13"/>
      <c r="T3" s="13"/>
    </row>
    <row r="4" spans="2:36" s="1" customFormat="1" x14ac:dyDescent="0.25">
      <c r="B4" s="3" t="s">
        <v>6</v>
      </c>
      <c r="C4" s="8">
        <f>'Global Inputs'!C4</f>
        <v>267147</v>
      </c>
      <c r="E4" s="7" t="s">
        <v>7</v>
      </c>
      <c r="F4" s="11"/>
      <c r="S4" s="13"/>
      <c r="T4" s="13"/>
    </row>
    <row r="5" spans="2:36" s="1" customFormat="1" x14ac:dyDescent="0.25">
      <c r="B5" s="3"/>
      <c r="C5" s="3"/>
      <c r="E5" s="4" t="s">
        <v>8</v>
      </c>
      <c r="F5" s="11"/>
      <c r="S5" s="13"/>
      <c r="T5" s="13"/>
    </row>
    <row r="6" spans="2:36" s="1" customFormat="1" x14ac:dyDescent="0.25">
      <c r="B6" s="3"/>
      <c r="C6" s="3"/>
      <c r="D6" s="9"/>
      <c r="E6" s="15" t="s">
        <v>9</v>
      </c>
      <c r="F6" s="11"/>
      <c r="S6" s="13"/>
      <c r="T6" s="13"/>
    </row>
    <row r="7" spans="2:36" s="1" customFormat="1" x14ac:dyDescent="0.25">
      <c r="B7" s="3"/>
      <c r="C7" s="3"/>
      <c r="D7" s="9"/>
      <c r="E7" s="9"/>
      <c r="F7" s="11"/>
      <c r="S7" s="13"/>
      <c r="T7" s="13"/>
    </row>
    <row r="8" spans="2:36" s="1" customFormat="1" ht="23.25" x14ac:dyDescent="0.35">
      <c r="B8" s="2" t="s">
        <v>303</v>
      </c>
      <c r="C8" s="2"/>
      <c r="D8" s="10"/>
      <c r="E8" s="10"/>
      <c r="F8" s="12"/>
      <c r="G8" s="5"/>
      <c r="H8" s="5"/>
      <c r="I8" s="5"/>
      <c r="J8" s="5"/>
      <c r="M8" s="5"/>
      <c r="P8" s="5"/>
      <c r="S8" s="13"/>
      <c r="T8" s="13"/>
    </row>
    <row r="10" spans="2:36" x14ac:dyDescent="0.25">
      <c r="S10" s="14"/>
      <c r="T10" s="14"/>
    </row>
    <row r="11" spans="2:36" s="1" customFormat="1" ht="20.25" thickBot="1" x14ac:dyDescent="0.35">
      <c r="B11" s="18" t="s">
        <v>276</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row>
    <row r="12" spans="2:36" s="1" customFormat="1" ht="18" thickTop="1" thickBot="1" x14ac:dyDescent="0.3">
      <c r="B12" s="19" t="s">
        <v>224</v>
      </c>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row>
    <row r="13" spans="2:36" s="1" customFormat="1" ht="16.5" thickTop="1" thickBot="1" x14ac:dyDescent="0.3">
      <c r="B13" s="20" t="s">
        <v>292</v>
      </c>
      <c r="C13" s="20" t="s">
        <v>13</v>
      </c>
      <c r="D13" s="20" t="s">
        <v>17</v>
      </c>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t="s">
        <v>15</v>
      </c>
    </row>
    <row r="14" spans="2:36" x14ac:dyDescent="0.25">
      <c r="D14">
        <v>2025</v>
      </c>
      <c r="E14">
        <v>2026</v>
      </c>
      <c r="F14">
        <v>2027</v>
      </c>
      <c r="G14">
        <v>2028</v>
      </c>
      <c r="H14">
        <v>2029</v>
      </c>
      <c r="I14">
        <v>2030</v>
      </c>
      <c r="J14">
        <v>2031</v>
      </c>
      <c r="K14">
        <v>2032</v>
      </c>
      <c r="L14">
        <v>2033</v>
      </c>
      <c r="M14">
        <v>2034</v>
      </c>
      <c r="N14">
        <v>2035</v>
      </c>
      <c r="O14">
        <v>2036</v>
      </c>
      <c r="P14">
        <v>2037</v>
      </c>
      <c r="Q14">
        <v>2038</v>
      </c>
      <c r="R14">
        <v>2039</v>
      </c>
      <c r="S14">
        <v>2040</v>
      </c>
      <c r="T14">
        <v>2041</v>
      </c>
      <c r="U14">
        <v>2042</v>
      </c>
      <c r="V14">
        <v>2043</v>
      </c>
      <c r="W14">
        <v>2044</v>
      </c>
      <c r="X14">
        <v>2045</v>
      </c>
      <c r="Y14">
        <v>2046</v>
      </c>
      <c r="Z14">
        <v>2047</v>
      </c>
      <c r="AA14">
        <v>2048</v>
      </c>
      <c r="AB14">
        <v>2049</v>
      </c>
      <c r="AC14">
        <v>2050</v>
      </c>
      <c r="AD14">
        <v>2051</v>
      </c>
      <c r="AE14">
        <v>2052</v>
      </c>
      <c r="AF14">
        <v>2053</v>
      </c>
      <c r="AG14">
        <v>2054</v>
      </c>
      <c r="AH14">
        <v>2055</v>
      </c>
    </row>
    <row r="15" spans="2:36" s="1" customFormat="1" x14ac:dyDescent="0.25">
      <c r="B15" t="s">
        <v>141</v>
      </c>
      <c r="C15" t="s">
        <v>109</v>
      </c>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c r="AJ15" s="23" t="s">
        <v>293</v>
      </c>
    </row>
    <row r="16" spans="2:36" s="1" customFormat="1" x14ac:dyDescent="0.25">
      <c r="B16" t="s">
        <v>136</v>
      </c>
      <c r="C16" t="s">
        <v>169</v>
      </c>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c r="AJ16" s="23" t="s">
        <v>293</v>
      </c>
    </row>
    <row r="17" spans="2:36" s="1" customFormat="1" x14ac:dyDescent="0.25">
      <c r="B17" t="s">
        <v>154</v>
      </c>
      <c r="C17" t="s">
        <v>170</v>
      </c>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c r="AJ17" s="23" t="s">
        <v>293</v>
      </c>
    </row>
    <row r="20" spans="2:36" s="1" customFormat="1" ht="20.25" thickBot="1" x14ac:dyDescent="0.35">
      <c r="B20" s="18" t="s">
        <v>294</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spans="2:36" s="1" customFormat="1" ht="18" thickTop="1" thickBot="1" x14ac:dyDescent="0.3">
      <c r="B21" s="19" t="s">
        <v>144</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row>
    <row r="22" spans="2:36" s="1" customFormat="1" ht="16.5" thickTop="1" thickBot="1" x14ac:dyDescent="0.3">
      <c r="B22" s="20" t="s">
        <v>292</v>
      </c>
      <c r="C22" s="20" t="s">
        <v>13</v>
      </c>
      <c r="D22" s="20" t="s">
        <v>17</v>
      </c>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t="s">
        <v>15</v>
      </c>
    </row>
    <row r="23" spans="2:36" x14ac:dyDescent="0.25">
      <c r="D23">
        <v>2025</v>
      </c>
      <c r="E23">
        <v>2026</v>
      </c>
      <c r="F23">
        <v>2027</v>
      </c>
      <c r="G23">
        <v>2028</v>
      </c>
      <c r="H23">
        <v>2029</v>
      </c>
      <c r="I23">
        <v>2030</v>
      </c>
      <c r="J23">
        <v>2031</v>
      </c>
      <c r="K23">
        <v>2032</v>
      </c>
      <c r="L23">
        <v>2033</v>
      </c>
      <c r="M23">
        <v>2034</v>
      </c>
      <c r="N23">
        <v>2035</v>
      </c>
      <c r="O23">
        <v>2036</v>
      </c>
      <c r="P23">
        <v>2037</v>
      </c>
      <c r="Q23">
        <v>2038</v>
      </c>
      <c r="R23">
        <v>2039</v>
      </c>
      <c r="S23">
        <v>2040</v>
      </c>
      <c r="T23">
        <v>2041</v>
      </c>
      <c r="U23">
        <v>2042</v>
      </c>
      <c r="V23">
        <v>2043</v>
      </c>
      <c r="W23">
        <v>2044</v>
      </c>
      <c r="X23">
        <v>2045</v>
      </c>
      <c r="Y23">
        <v>2046</v>
      </c>
      <c r="Z23">
        <v>2047</v>
      </c>
      <c r="AA23">
        <v>2048</v>
      </c>
      <c r="AB23">
        <v>2049</v>
      </c>
      <c r="AC23">
        <v>2050</v>
      </c>
      <c r="AD23">
        <v>2051</v>
      </c>
      <c r="AE23">
        <v>2052</v>
      </c>
      <c r="AF23">
        <v>2053</v>
      </c>
      <c r="AG23">
        <v>2054</v>
      </c>
      <c r="AH23">
        <v>2055</v>
      </c>
    </row>
    <row r="24" spans="2:36" s="1" customFormat="1" x14ac:dyDescent="0.25">
      <c r="B24" t="s">
        <v>141</v>
      </c>
      <c r="C24" t="s">
        <v>109</v>
      </c>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c r="AJ24" s="23" t="s">
        <v>293</v>
      </c>
    </row>
    <row r="25" spans="2:36" s="1" customFormat="1" x14ac:dyDescent="0.25">
      <c r="B25" t="s">
        <v>136</v>
      </c>
      <c r="C25" t="s">
        <v>169</v>
      </c>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c r="AJ25" s="23" t="s">
        <v>293</v>
      </c>
    </row>
    <row r="26" spans="2:36" s="1" customFormat="1" x14ac:dyDescent="0.25">
      <c r="B26" t="s">
        <v>154</v>
      </c>
      <c r="C26" t="s">
        <v>170</v>
      </c>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c r="AJ26" s="23" t="s">
        <v>293</v>
      </c>
    </row>
    <row r="27" spans="2:36" s="1" customFormat="1" x14ac:dyDescent="0.25">
      <c r="B27"/>
      <c r="C27"/>
      <c r="D27"/>
      <c r="E27"/>
      <c r="F27"/>
      <c r="G27"/>
      <c r="H27"/>
      <c r="I27"/>
      <c r="J27"/>
      <c r="K27"/>
      <c r="L27"/>
      <c r="M27"/>
      <c r="N27"/>
      <c r="O27"/>
      <c r="P27"/>
      <c r="Q27"/>
      <c r="R27"/>
      <c r="S27"/>
      <c r="T27"/>
      <c r="U27"/>
      <c r="V27"/>
      <c r="W27"/>
      <c r="X27"/>
      <c r="Y27"/>
      <c r="Z27"/>
      <c r="AA27"/>
      <c r="AB27"/>
      <c r="AC27"/>
      <c r="AD27"/>
      <c r="AE27"/>
      <c r="AF27"/>
      <c r="AG27"/>
      <c r="AH27"/>
      <c r="AI27"/>
      <c r="AJ27"/>
    </row>
    <row r="28" spans="2:36" s="1" customFormat="1" ht="17.25" thickBot="1" x14ac:dyDescent="0.3">
      <c r="B28" s="19" t="s">
        <v>145</v>
      </c>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row>
    <row r="29" spans="2:36" s="1" customFormat="1" ht="16.5" thickTop="1" thickBot="1" x14ac:dyDescent="0.3">
      <c r="B29" s="20" t="s">
        <v>292</v>
      </c>
      <c r="C29" s="20" t="s">
        <v>13</v>
      </c>
      <c r="D29" s="20" t="s">
        <v>17</v>
      </c>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t="s">
        <v>15</v>
      </c>
    </row>
    <row r="30" spans="2:36" x14ac:dyDescent="0.25">
      <c r="D30">
        <v>2025</v>
      </c>
      <c r="E30">
        <v>2026</v>
      </c>
      <c r="F30">
        <v>2027</v>
      </c>
      <c r="G30">
        <v>2028</v>
      </c>
      <c r="H30">
        <v>2029</v>
      </c>
      <c r="I30">
        <v>2030</v>
      </c>
      <c r="J30">
        <v>2031</v>
      </c>
      <c r="K30">
        <v>2032</v>
      </c>
      <c r="L30">
        <v>2033</v>
      </c>
      <c r="M30">
        <v>2034</v>
      </c>
      <c r="N30">
        <v>2035</v>
      </c>
      <c r="O30">
        <v>2036</v>
      </c>
      <c r="P30">
        <v>2037</v>
      </c>
      <c r="Q30">
        <v>2038</v>
      </c>
      <c r="R30">
        <v>2039</v>
      </c>
      <c r="S30">
        <v>2040</v>
      </c>
      <c r="T30">
        <v>2041</v>
      </c>
      <c r="U30">
        <v>2042</v>
      </c>
      <c r="V30">
        <v>2043</v>
      </c>
      <c r="W30">
        <v>2044</v>
      </c>
      <c r="X30">
        <v>2045</v>
      </c>
      <c r="Y30">
        <v>2046</v>
      </c>
      <c r="Z30">
        <v>2047</v>
      </c>
      <c r="AA30">
        <v>2048</v>
      </c>
      <c r="AB30">
        <v>2049</v>
      </c>
      <c r="AC30">
        <v>2050</v>
      </c>
      <c r="AD30">
        <v>2051</v>
      </c>
      <c r="AE30">
        <v>2052</v>
      </c>
      <c r="AF30">
        <v>2053</v>
      </c>
      <c r="AG30">
        <v>2054</v>
      </c>
      <c r="AH30">
        <v>2055</v>
      </c>
    </row>
    <row r="31" spans="2:36" s="1" customFormat="1" x14ac:dyDescent="0.25">
      <c r="B31" t="s">
        <v>141</v>
      </c>
      <c r="C31" t="s">
        <v>109</v>
      </c>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c r="AJ31" s="23" t="s">
        <v>293</v>
      </c>
    </row>
    <row r="32" spans="2:36" s="1" customFormat="1" x14ac:dyDescent="0.25">
      <c r="B32" t="s">
        <v>136</v>
      </c>
      <c r="C32" t="s">
        <v>169</v>
      </c>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c r="AJ32" s="23" t="s">
        <v>293</v>
      </c>
    </row>
    <row r="33" spans="2:36" s="1" customFormat="1" x14ac:dyDescent="0.25">
      <c r="B33" t="s">
        <v>154</v>
      </c>
      <c r="C33" t="s">
        <v>170</v>
      </c>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c r="AJ33" s="23" t="s">
        <v>293</v>
      </c>
    </row>
    <row r="34" spans="2:36" s="1" customFormat="1" x14ac:dyDescent="0.25">
      <c r="B34"/>
      <c r="C34"/>
      <c r="D34"/>
      <c r="E34"/>
      <c r="F34"/>
      <c r="G34"/>
      <c r="H34"/>
      <c r="I34"/>
      <c r="J34"/>
      <c r="K34"/>
      <c r="L34"/>
      <c r="M34"/>
      <c r="N34"/>
      <c r="O34"/>
      <c r="P34"/>
      <c r="Q34"/>
      <c r="R34"/>
      <c r="S34"/>
      <c r="T34"/>
      <c r="U34"/>
      <c r="V34"/>
      <c r="W34"/>
      <c r="X34"/>
      <c r="Y34"/>
      <c r="Z34"/>
      <c r="AA34"/>
      <c r="AB34"/>
      <c r="AC34"/>
      <c r="AD34"/>
      <c r="AE34"/>
      <c r="AF34"/>
      <c r="AG34"/>
      <c r="AH34"/>
      <c r="AI34"/>
      <c r="AJ34"/>
    </row>
    <row r="35" spans="2:36" s="1" customFormat="1" ht="17.25" thickBot="1" x14ac:dyDescent="0.3">
      <c r="B35" s="19" t="s">
        <v>146</v>
      </c>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row>
    <row r="36" spans="2:36" s="1" customFormat="1" ht="16.5" thickTop="1" thickBot="1" x14ac:dyDescent="0.3">
      <c r="B36" s="20" t="s">
        <v>292</v>
      </c>
      <c r="C36" s="20" t="s">
        <v>13</v>
      </c>
      <c r="D36" s="20" t="s">
        <v>17</v>
      </c>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t="s">
        <v>15</v>
      </c>
    </row>
    <row r="37" spans="2:36" x14ac:dyDescent="0.25">
      <c r="D37">
        <v>2025</v>
      </c>
      <c r="E37">
        <v>2026</v>
      </c>
      <c r="F37">
        <v>2027</v>
      </c>
      <c r="G37">
        <v>2028</v>
      </c>
      <c r="H37">
        <v>2029</v>
      </c>
      <c r="I37">
        <v>2030</v>
      </c>
      <c r="J37">
        <v>2031</v>
      </c>
      <c r="K37">
        <v>2032</v>
      </c>
      <c r="L37">
        <v>2033</v>
      </c>
      <c r="M37">
        <v>2034</v>
      </c>
      <c r="N37">
        <v>2035</v>
      </c>
      <c r="O37">
        <v>2036</v>
      </c>
      <c r="P37">
        <v>2037</v>
      </c>
      <c r="Q37">
        <v>2038</v>
      </c>
      <c r="R37">
        <v>2039</v>
      </c>
      <c r="S37">
        <v>2040</v>
      </c>
      <c r="T37">
        <v>2041</v>
      </c>
      <c r="U37">
        <v>2042</v>
      </c>
      <c r="V37">
        <v>2043</v>
      </c>
      <c r="W37">
        <v>2044</v>
      </c>
      <c r="X37">
        <v>2045</v>
      </c>
      <c r="Y37">
        <v>2046</v>
      </c>
      <c r="Z37">
        <v>2047</v>
      </c>
      <c r="AA37">
        <v>2048</v>
      </c>
      <c r="AB37">
        <v>2049</v>
      </c>
      <c r="AC37">
        <v>2050</v>
      </c>
      <c r="AD37">
        <v>2051</v>
      </c>
      <c r="AE37">
        <v>2052</v>
      </c>
      <c r="AF37">
        <v>2053</v>
      </c>
      <c r="AG37">
        <v>2054</v>
      </c>
      <c r="AH37">
        <v>2055</v>
      </c>
    </row>
    <row r="38" spans="2:36" s="1" customFormat="1" x14ac:dyDescent="0.25">
      <c r="B38" t="s">
        <v>141</v>
      </c>
      <c r="C38" t="s">
        <v>109</v>
      </c>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c r="AJ38" s="23" t="s">
        <v>293</v>
      </c>
    </row>
    <row r="39" spans="2:36" s="1" customFormat="1" x14ac:dyDescent="0.25">
      <c r="B39" t="s">
        <v>136</v>
      </c>
      <c r="C39" t="s">
        <v>169</v>
      </c>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c r="AJ39" s="23" t="s">
        <v>293</v>
      </c>
    </row>
    <row r="40" spans="2:36" s="1" customFormat="1" x14ac:dyDescent="0.25">
      <c r="B40" t="s">
        <v>154</v>
      </c>
      <c r="C40" t="s">
        <v>170</v>
      </c>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c r="AJ40" s="23" t="s">
        <v>293</v>
      </c>
    </row>
    <row r="41" spans="2:36" s="1" customFormat="1" x14ac:dyDescent="0.25">
      <c r="B41"/>
      <c r="C41"/>
      <c r="D41"/>
      <c r="E41"/>
      <c r="F41"/>
      <c r="G41"/>
      <c r="H41"/>
      <c r="I41"/>
      <c r="J41"/>
      <c r="K41"/>
      <c r="L41"/>
      <c r="M41"/>
      <c r="N41"/>
      <c r="O41"/>
      <c r="P41"/>
      <c r="Q41"/>
      <c r="R41"/>
      <c r="S41"/>
      <c r="T41"/>
      <c r="U41"/>
      <c r="V41"/>
      <c r="W41"/>
      <c r="X41"/>
      <c r="Y41"/>
      <c r="Z41"/>
      <c r="AA41"/>
      <c r="AB41"/>
      <c r="AC41"/>
      <c r="AD41"/>
      <c r="AE41"/>
      <c r="AF41"/>
      <c r="AG41"/>
      <c r="AH41"/>
      <c r="AI41"/>
      <c r="AJ41"/>
    </row>
    <row r="42" spans="2:36" s="1" customFormat="1" ht="17.25" thickBot="1" x14ac:dyDescent="0.3">
      <c r="B42" s="19" t="s">
        <v>147</v>
      </c>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row>
    <row r="43" spans="2:36" s="1" customFormat="1" ht="16.5" thickTop="1" thickBot="1" x14ac:dyDescent="0.3">
      <c r="B43" s="20" t="s">
        <v>292</v>
      </c>
      <c r="C43" s="20" t="s">
        <v>13</v>
      </c>
      <c r="D43" s="20" t="s">
        <v>17</v>
      </c>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t="s">
        <v>15</v>
      </c>
    </row>
    <row r="44" spans="2:36" x14ac:dyDescent="0.25">
      <c r="D44">
        <v>2025</v>
      </c>
      <c r="E44">
        <v>2026</v>
      </c>
      <c r="F44">
        <v>2027</v>
      </c>
      <c r="G44">
        <v>2028</v>
      </c>
      <c r="H44">
        <v>2029</v>
      </c>
      <c r="I44">
        <v>2030</v>
      </c>
      <c r="J44">
        <v>2031</v>
      </c>
      <c r="K44">
        <v>2032</v>
      </c>
      <c r="L44">
        <v>2033</v>
      </c>
      <c r="M44">
        <v>2034</v>
      </c>
      <c r="N44">
        <v>2035</v>
      </c>
      <c r="O44">
        <v>2036</v>
      </c>
      <c r="P44">
        <v>2037</v>
      </c>
      <c r="Q44">
        <v>2038</v>
      </c>
      <c r="R44">
        <v>2039</v>
      </c>
      <c r="S44">
        <v>2040</v>
      </c>
      <c r="T44">
        <v>2041</v>
      </c>
      <c r="U44">
        <v>2042</v>
      </c>
      <c r="V44">
        <v>2043</v>
      </c>
      <c r="W44">
        <v>2044</v>
      </c>
      <c r="X44">
        <v>2045</v>
      </c>
      <c r="Y44">
        <v>2046</v>
      </c>
      <c r="Z44">
        <v>2047</v>
      </c>
      <c r="AA44">
        <v>2048</v>
      </c>
      <c r="AB44">
        <v>2049</v>
      </c>
      <c r="AC44">
        <v>2050</v>
      </c>
      <c r="AD44">
        <v>2051</v>
      </c>
      <c r="AE44">
        <v>2052</v>
      </c>
      <c r="AF44">
        <v>2053</v>
      </c>
      <c r="AG44">
        <v>2054</v>
      </c>
      <c r="AH44">
        <v>2055</v>
      </c>
    </row>
    <row r="45" spans="2:36" s="1" customFormat="1" x14ac:dyDescent="0.25">
      <c r="B45" t="s">
        <v>141</v>
      </c>
      <c r="C45" t="s">
        <v>109</v>
      </c>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c r="AJ45" s="23" t="s">
        <v>293</v>
      </c>
    </row>
    <row r="46" spans="2:36" s="1" customFormat="1" x14ac:dyDescent="0.25">
      <c r="B46" t="s">
        <v>136</v>
      </c>
      <c r="C46" t="s">
        <v>169</v>
      </c>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c r="AJ46" s="23" t="s">
        <v>293</v>
      </c>
    </row>
    <row r="47" spans="2:36" s="1" customFormat="1" x14ac:dyDescent="0.25">
      <c r="B47" t="s">
        <v>154</v>
      </c>
      <c r="C47" t="s">
        <v>170</v>
      </c>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c r="AJ47" s="23" t="s">
        <v>293</v>
      </c>
    </row>
    <row r="48" spans="2:36" s="1" customFormat="1" x14ac:dyDescent="0.25">
      <c r="B48"/>
      <c r="C48"/>
      <c r="D48"/>
      <c r="E48"/>
      <c r="F48"/>
      <c r="G48"/>
      <c r="H48"/>
      <c r="I48"/>
      <c r="J48"/>
      <c r="K48"/>
      <c r="L48"/>
      <c r="M48"/>
      <c r="N48"/>
      <c r="O48"/>
      <c r="P48"/>
      <c r="Q48"/>
      <c r="R48"/>
      <c r="S48"/>
      <c r="T48"/>
      <c r="U48"/>
      <c r="V48"/>
      <c r="W48"/>
      <c r="X48"/>
      <c r="Y48"/>
      <c r="Z48"/>
      <c r="AA48"/>
      <c r="AB48"/>
      <c r="AC48"/>
      <c r="AD48"/>
      <c r="AE48"/>
      <c r="AF48"/>
      <c r="AG48"/>
      <c r="AH48"/>
      <c r="AI48"/>
      <c r="AJ48"/>
    </row>
    <row r="49" spans="2:36" s="1" customFormat="1" ht="17.25" thickBot="1" x14ac:dyDescent="0.3">
      <c r="B49" s="19" t="s">
        <v>148</v>
      </c>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row>
    <row r="50" spans="2:36" s="1" customFormat="1" ht="16.5" thickTop="1" thickBot="1" x14ac:dyDescent="0.3">
      <c r="B50" s="20" t="s">
        <v>292</v>
      </c>
      <c r="C50" s="20" t="s">
        <v>13</v>
      </c>
      <c r="D50" s="20" t="s">
        <v>17</v>
      </c>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t="s">
        <v>15</v>
      </c>
    </row>
    <row r="51" spans="2:36" x14ac:dyDescent="0.25">
      <c r="D51">
        <v>2025</v>
      </c>
      <c r="E51">
        <v>2026</v>
      </c>
      <c r="F51">
        <v>2027</v>
      </c>
      <c r="G51">
        <v>2028</v>
      </c>
      <c r="H51">
        <v>2029</v>
      </c>
      <c r="I51">
        <v>2030</v>
      </c>
      <c r="J51">
        <v>2031</v>
      </c>
      <c r="K51">
        <v>2032</v>
      </c>
      <c r="L51">
        <v>2033</v>
      </c>
      <c r="M51">
        <v>2034</v>
      </c>
      <c r="N51">
        <v>2035</v>
      </c>
      <c r="O51">
        <v>2036</v>
      </c>
      <c r="P51">
        <v>2037</v>
      </c>
      <c r="Q51">
        <v>2038</v>
      </c>
      <c r="R51">
        <v>2039</v>
      </c>
      <c r="S51">
        <v>2040</v>
      </c>
      <c r="T51">
        <v>2041</v>
      </c>
      <c r="U51">
        <v>2042</v>
      </c>
      <c r="V51">
        <v>2043</v>
      </c>
      <c r="W51">
        <v>2044</v>
      </c>
      <c r="X51">
        <v>2045</v>
      </c>
      <c r="Y51">
        <v>2046</v>
      </c>
      <c r="Z51">
        <v>2047</v>
      </c>
      <c r="AA51">
        <v>2048</v>
      </c>
      <c r="AB51">
        <v>2049</v>
      </c>
      <c r="AC51">
        <v>2050</v>
      </c>
      <c r="AD51">
        <v>2051</v>
      </c>
      <c r="AE51">
        <v>2052</v>
      </c>
      <c r="AF51">
        <v>2053</v>
      </c>
      <c r="AG51">
        <v>2054</v>
      </c>
      <c r="AH51">
        <v>2055</v>
      </c>
    </row>
    <row r="52" spans="2:36" s="1" customFormat="1" x14ac:dyDescent="0.25">
      <c r="B52" t="s">
        <v>141</v>
      </c>
      <c r="C52" t="s">
        <v>109</v>
      </c>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c r="AJ52" s="23" t="s">
        <v>293</v>
      </c>
    </row>
    <row r="53" spans="2:36" s="1" customFormat="1" x14ac:dyDescent="0.25">
      <c r="B53" t="s">
        <v>136</v>
      </c>
      <c r="C53" t="s">
        <v>169</v>
      </c>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c r="AJ53" s="23" t="s">
        <v>293</v>
      </c>
    </row>
    <row r="54" spans="2:36" s="1" customFormat="1" x14ac:dyDescent="0.25">
      <c r="B54" t="s">
        <v>154</v>
      </c>
      <c r="C54" t="s">
        <v>170</v>
      </c>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c r="AJ54" s="23" t="s">
        <v>293</v>
      </c>
    </row>
    <row r="55" spans="2:36" s="1" customFormat="1" x14ac:dyDescent="0.25">
      <c r="B55"/>
      <c r="C55"/>
      <c r="D55"/>
      <c r="E55"/>
      <c r="F55"/>
      <c r="G55"/>
      <c r="H55"/>
      <c r="I55"/>
      <c r="J55"/>
      <c r="K55"/>
      <c r="L55"/>
      <c r="M55"/>
      <c r="N55"/>
      <c r="O55"/>
      <c r="P55"/>
      <c r="Q55"/>
      <c r="R55"/>
      <c r="S55"/>
      <c r="T55"/>
      <c r="U55"/>
      <c r="V55"/>
      <c r="W55"/>
      <c r="X55"/>
      <c r="Y55"/>
      <c r="Z55"/>
      <c r="AA55"/>
      <c r="AB55"/>
      <c r="AC55"/>
      <c r="AD55"/>
      <c r="AE55"/>
      <c r="AF55"/>
      <c r="AG55"/>
      <c r="AH55"/>
      <c r="AI55"/>
      <c r="AJ55"/>
    </row>
    <row r="56" spans="2:36" s="1" customFormat="1" ht="17.25" thickBot="1" x14ac:dyDescent="0.3">
      <c r="B56" s="19" t="s">
        <v>224</v>
      </c>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row>
    <row r="57" spans="2:36" s="1" customFormat="1" ht="16.5" thickTop="1" thickBot="1" x14ac:dyDescent="0.3">
      <c r="B57" s="20" t="s">
        <v>292</v>
      </c>
      <c r="C57" s="20" t="s">
        <v>13</v>
      </c>
      <c r="D57" s="20" t="s">
        <v>17</v>
      </c>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t="s">
        <v>15</v>
      </c>
    </row>
    <row r="58" spans="2:36" x14ac:dyDescent="0.25">
      <c r="D58">
        <v>2025</v>
      </c>
      <c r="E58">
        <v>2026</v>
      </c>
      <c r="F58">
        <v>2027</v>
      </c>
      <c r="G58">
        <v>2028</v>
      </c>
      <c r="H58">
        <v>2029</v>
      </c>
      <c r="I58">
        <v>2030</v>
      </c>
      <c r="J58">
        <v>2031</v>
      </c>
      <c r="K58">
        <v>2032</v>
      </c>
      <c r="L58">
        <v>2033</v>
      </c>
      <c r="M58">
        <v>2034</v>
      </c>
      <c r="N58">
        <v>2035</v>
      </c>
      <c r="O58">
        <v>2036</v>
      </c>
      <c r="P58">
        <v>2037</v>
      </c>
      <c r="Q58">
        <v>2038</v>
      </c>
      <c r="R58">
        <v>2039</v>
      </c>
      <c r="S58">
        <v>2040</v>
      </c>
      <c r="T58">
        <v>2041</v>
      </c>
      <c r="U58">
        <v>2042</v>
      </c>
      <c r="V58">
        <v>2043</v>
      </c>
      <c r="W58">
        <v>2044</v>
      </c>
      <c r="X58">
        <v>2045</v>
      </c>
      <c r="Y58">
        <v>2046</v>
      </c>
      <c r="Z58">
        <v>2047</v>
      </c>
      <c r="AA58">
        <v>2048</v>
      </c>
      <c r="AB58">
        <v>2049</v>
      </c>
      <c r="AC58">
        <v>2050</v>
      </c>
      <c r="AD58">
        <v>2051</v>
      </c>
      <c r="AE58">
        <v>2052</v>
      </c>
      <c r="AF58">
        <v>2053</v>
      </c>
      <c r="AG58">
        <v>2054</v>
      </c>
      <c r="AH58">
        <v>2055</v>
      </c>
    </row>
    <row r="59" spans="2:36" s="1" customFormat="1" x14ac:dyDescent="0.25">
      <c r="B59" t="s">
        <v>141</v>
      </c>
      <c r="C59" t="s">
        <v>109</v>
      </c>
      <c r="D59" s="22">
        <f t="shared" ref="D59:AH61" si="0">SUM(D52,D45,D38,D31,D24)</f>
        <v>0</v>
      </c>
      <c r="E59" s="22">
        <f t="shared" si="0"/>
        <v>0</v>
      </c>
      <c r="F59" s="22">
        <f t="shared" si="0"/>
        <v>0</v>
      </c>
      <c r="G59" s="22">
        <f t="shared" si="0"/>
        <v>0</v>
      </c>
      <c r="H59" s="22">
        <f t="shared" si="0"/>
        <v>0</v>
      </c>
      <c r="I59" s="22">
        <f t="shared" si="0"/>
        <v>0</v>
      </c>
      <c r="J59" s="22">
        <f t="shared" si="0"/>
        <v>0</v>
      </c>
      <c r="K59" s="22">
        <f t="shared" si="0"/>
        <v>0</v>
      </c>
      <c r="L59" s="22">
        <f t="shared" si="0"/>
        <v>0</v>
      </c>
      <c r="M59" s="22">
        <f t="shared" si="0"/>
        <v>0</v>
      </c>
      <c r="N59" s="22">
        <f t="shared" si="0"/>
        <v>0</v>
      </c>
      <c r="O59" s="22">
        <f t="shared" si="0"/>
        <v>0</v>
      </c>
      <c r="P59" s="22">
        <f t="shared" si="0"/>
        <v>0</v>
      </c>
      <c r="Q59" s="22">
        <f t="shared" si="0"/>
        <v>0</v>
      </c>
      <c r="R59" s="22">
        <f t="shared" si="0"/>
        <v>0</v>
      </c>
      <c r="S59" s="22">
        <f t="shared" si="0"/>
        <v>0</v>
      </c>
      <c r="T59" s="22">
        <f t="shared" si="0"/>
        <v>0</v>
      </c>
      <c r="U59" s="22">
        <f t="shared" si="0"/>
        <v>0</v>
      </c>
      <c r="V59" s="22">
        <f t="shared" si="0"/>
        <v>0</v>
      </c>
      <c r="W59" s="22">
        <f t="shared" si="0"/>
        <v>0</v>
      </c>
      <c r="X59" s="22">
        <f t="shared" si="0"/>
        <v>0</v>
      </c>
      <c r="Y59" s="22">
        <f t="shared" si="0"/>
        <v>0</v>
      </c>
      <c r="Z59" s="22">
        <f t="shared" si="0"/>
        <v>0</v>
      </c>
      <c r="AA59" s="22">
        <f t="shared" si="0"/>
        <v>0</v>
      </c>
      <c r="AB59" s="22">
        <f t="shared" si="0"/>
        <v>0</v>
      </c>
      <c r="AC59" s="22">
        <f t="shared" si="0"/>
        <v>0</v>
      </c>
      <c r="AD59" s="22">
        <f t="shared" si="0"/>
        <v>0</v>
      </c>
      <c r="AE59" s="22">
        <f t="shared" si="0"/>
        <v>0</v>
      </c>
      <c r="AF59" s="22">
        <f t="shared" si="0"/>
        <v>0</v>
      </c>
      <c r="AG59" s="22">
        <f t="shared" si="0"/>
        <v>0</v>
      </c>
      <c r="AH59" s="22">
        <f t="shared" si="0"/>
        <v>0</v>
      </c>
      <c r="AI59"/>
      <c r="AJ59" s="23" t="s">
        <v>304</v>
      </c>
    </row>
    <row r="60" spans="2:36" s="1" customFormat="1" x14ac:dyDescent="0.25">
      <c r="B60" t="s">
        <v>136</v>
      </c>
      <c r="C60" t="s">
        <v>169</v>
      </c>
      <c r="D60" s="22">
        <f t="shared" si="0"/>
        <v>0</v>
      </c>
      <c r="E60" s="22">
        <f t="shared" si="0"/>
        <v>0</v>
      </c>
      <c r="F60" s="22">
        <f t="shared" si="0"/>
        <v>0</v>
      </c>
      <c r="G60" s="22">
        <f t="shared" si="0"/>
        <v>0</v>
      </c>
      <c r="H60" s="22">
        <f t="shared" si="0"/>
        <v>0</v>
      </c>
      <c r="I60" s="22">
        <f t="shared" si="0"/>
        <v>0</v>
      </c>
      <c r="J60" s="22">
        <f t="shared" si="0"/>
        <v>0</v>
      </c>
      <c r="K60" s="22">
        <f t="shared" si="0"/>
        <v>0</v>
      </c>
      <c r="L60" s="22">
        <f t="shared" si="0"/>
        <v>0</v>
      </c>
      <c r="M60" s="22">
        <f t="shared" si="0"/>
        <v>0</v>
      </c>
      <c r="N60" s="22">
        <f t="shared" si="0"/>
        <v>0</v>
      </c>
      <c r="O60" s="22">
        <f t="shared" si="0"/>
        <v>0</v>
      </c>
      <c r="P60" s="22">
        <f t="shared" si="0"/>
        <v>0</v>
      </c>
      <c r="Q60" s="22">
        <f t="shared" si="0"/>
        <v>0</v>
      </c>
      <c r="R60" s="22">
        <f t="shared" si="0"/>
        <v>0</v>
      </c>
      <c r="S60" s="22">
        <f t="shared" si="0"/>
        <v>0</v>
      </c>
      <c r="T60" s="22">
        <f t="shared" si="0"/>
        <v>0</v>
      </c>
      <c r="U60" s="22">
        <f t="shared" si="0"/>
        <v>0</v>
      </c>
      <c r="V60" s="22">
        <f t="shared" si="0"/>
        <v>0</v>
      </c>
      <c r="W60" s="22">
        <f t="shared" si="0"/>
        <v>0</v>
      </c>
      <c r="X60" s="22">
        <f t="shared" si="0"/>
        <v>0</v>
      </c>
      <c r="Y60" s="22">
        <f t="shared" si="0"/>
        <v>0</v>
      </c>
      <c r="Z60" s="22">
        <f t="shared" si="0"/>
        <v>0</v>
      </c>
      <c r="AA60" s="22">
        <f t="shared" si="0"/>
        <v>0</v>
      </c>
      <c r="AB60" s="22">
        <f t="shared" si="0"/>
        <v>0</v>
      </c>
      <c r="AC60" s="22">
        <f t="shared" si="0"/>
        <v>0</v>
      </c>
      <c r="AD60" s="22">
        <f t="shared" si="0"/>
        <v>0</v>
      </c>
      <c r="AE60" s="22">
        <f t="shared" si="0"/>
        <v>0</v>
      </c>
      <c r="AF60" s="22">
        <f t="shared" si="0"/>
        <v>0</v>
      </c>
      <c r="AG60" s="22">
        <f t="shared" si="0"/>
        <v>0</v>
      </c>
      <c r="AH60" s="22">
        <f t="shared" si="0"/>
        <v>0</v>
      </c>
      <c r="AI60"/>
      <c r="AJ60" s="23" t="s">
        <v>304</v>
      </c>
    </row>
    <row r="61" spans="2:36" s="1" customFormat="1" x14ac:dyDescent="0.25">
      <c r="B61" t="s">
        <v>154</v>
      </c>
      <c r="C61" t="s">
        <v>170</v>
      </c>
      <c r="D61" s="22">
        <f t="shared" si="0"/>
        <v>0</v>
      </c>
      <c r="E61" s="22">
        <f t="shared" si="0"/>
        <v>0</v>
      </c>
      <c r="F61" s="22">
        <f t="shared" si="0"/>
        <v>0</v>
      </c>
      <c r="G61" s="22">
        <f t="shared" si="0"/>
        <v>0</v>
      </c>
      <c r="H61" s="22">
        <f t="shared" si="0"/>
        <v>0</v>
      </c>
      <c r="I61" s="22">
        <f t="shared" si="0"/>
        <v>0</v>
      </c>
      <c r="J61" s="22">
        <f t="shared" si="0"/>
        <v>0</v>
      </c>
      <c r="K61" s="22">
        <f t="shared" si="0"/>
        <v>0</v>
      </c>
      <c r="L61" s="22">
        <f t="shared" si="0"/>
        <v>0</v>
      </c>
      <c r="M61" s="22">
        <f t="shared" si="0"/>
        <v>0</v>
      </c>
      <c r="N61" s="22">
        <f t="shared" si="0"/>
        <v>0</v>
      </c>
      <c r="O61" s="22">
        <f t="shared" si="0"/>
        <v>0</v>
      </c>
      <c r="P61" s="22">
        <f t="shared" si="0"/>
        <v>0</v>
      </c>
      <c r="Q61" s="22">
        <f t="shared" si="0"/>
        <v>0</v>
      </c>
      <c r="R61" s="22">
        <f t="shared" si="0"/>
        <v>0</v>
      </c>
      <c r="S61" s="22">
        <f t="shared" si="0"/>
        <v>0</v>
      </c>
      <c r="T61" s="22">
        <f t="shared" si="0"/>
        <v>0</v>
      </c>
      <c r="U61" s="22">
        <f t="shared" si="0"/>
        <v>0</v>
      </c>
      <c r="V61" s="22">
        <f t="shared" si="0"/>
        <v>0</v>
      </c>
      <c r="W61" s="22">
        <f t="shared" si="0"/>
        <v>0</v>
      </c>
      <c r="X61" s="22">
        <f t="shared" si="0"/>
        <v>0</v>
      </c>
      <c r="Y61" s="22">
        <f t="shared" si="0"/>
        <v>0</v>
      </c>
      <c r="Z61" s="22">
        <f t="shared" si="0"/>
        <v>0</v>
      </c>
      <c r="AA61" s="22">
        <f t="shared" si="0"/>
        <v>0</v>
      </c>
      <c r="AB61" s="22">
        <f t="shared" si="0"/>
        <v>0</v>
      </c>
      <c r="AC61" s="22">
        <f t="shared" si="0"/>
        <v>0</v>
      </c>
      <c r="AD61" s="22">
        <f t="shared" si="0"/>
        <v>0</v>
      </c>
      <c r="AE61" s="22">
        <f t="shared" si="0"/>
        <v>0</v>
      </c>
      <c r="AF61" s="22">
        <f t="shared" si="0"/>
        <v>0</v>
      </c>
      <c r="AG61" s="22">
        <f t="shared" si="0"/>
        <v>0</v>
      </c>
      <c r="AH61" s="22">
        <f t="shared" si="0"/>
        <v>0</v>
      </c>
      <c r="AI61"/>
      <c r="AJ61" s="23" t="s">
        <v>304</v>
      </c>
    </row>
    <row r="64" spans="2:36" s="1" customFormat="1" ht="20.25" thickBot="1" x14ac:dyDescent="0.35">
      <c r="B64" s="18" t="s">
        <v>296</v>
      </c>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spans="2:36" s="1" customFormat="1" ht="18" thickTop="1" thickBot="1" x14ac:dyDescent="0.3">
      <c r="B65" s="19" t="s">
        <v>144</v>
      </c>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row>
    <row r="66" spans="2:36" s="1" customFormat="1" ht="16.5" thickTop="1" thickBot="1" x14ac:dyDescent="0.3">
      <c r="B66" s="20" t="s">
        <v>292</v>
      </c>
      <c r="C66" s="20" t="s">
        <v>13</v>
      </c>
      <c r="D66" s="20" t="s">
        <v>17</v>
      </c>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t="s">
        <v>15</v>
      </c>
    </row>
    <row r="67" spans="2:36" x14ac:dyDescent="0.25">
      <c r="D67">
        <v>2025</v>
      </c>
      <c r="E67">
        <v>2026</v>
      </c>
      <c r="F67">
        <v>2027</v>
      </c>
      <c r="G67">
        <v>2028</v>
      </c>
      <c r="H67">
        <v>2029</v>
      </c>
      <c r="I67">
        <v>2030</v>
      </c>
      <c r="J67">
        <v>2031</v>
      </c>
      <c r="K67">
        <v>2032</v>
      </c>
      <c r="L67">
        <v>2033</v>
      </c>
      <c r="M67">
        <v>2034</v>
      </c>
      <c r="N67">
        <v>2035</v>
      </c>
      <c r="O67">
        <v>2036</v>
      </c>
      <c r="P67">
        <v>2037</v>
      </c>
      <c r="Q67">
        <v>2038</v>
      </c>
      <c r="R67">
        <v>2039</v>
      </c>
      <c r="S67">
        <v>2040</v>
      </c>
      <c r="T67">
        <v>2041</v>
      </c>
      <c r="U67">
        <v>2042</v>
      </c>
      <c r="V67">
        <v>2043</v>
      </c>
      <c r="W67">
        <v>2044</v>
      </c>
      <c r="X67">
        <v>2045</v>
      </c>
      <c r="Y67">
        <v>2046</v>
      </c>
      <c r="Z67">
        <v>2047</v>
      </c>
      <c r="AA67">
        <v>2048</v>
      </c>
      <c r="AB67">
        <v>2049</v>
      </c>
      <c r="AC67">
        <v>2050</v>
      </c>
      <c r="AD67">
        <v>2051</v>
      </c>
      <c r="AE67">
        <v>2052</v>
      </c>
      <c r="AF67">
        <v>2053</v>
      </c>
      <c r="AG67">
        <v>2054</v>
      </c>
      <c r="AH67">
        <v>2055</v>
      </c>
    </row>
    <row r="68" spans="2:36" s="1" customFormat="1" x14ac:dyDescent="0.25">
      <c r="B68" t="s">
        <v>141</v>
      </c>
      <c r="C68" t="s">
        <v>109</v>
      </c>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c r="AJ68" s="23" t="s">
        <v>293</v>
      </c>
    </row>
    <row r="69" spans="2:36" s="1" customFormat="1" x14ac:dyDescent="0.25">
      <c r="B69" t="s">
        <v>136</v>
      </c>
      <c r="C69" t="s">
        <v>169</v>
      </c>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c r="AJ69" s="23" t="s">
        <v>293</v>
      </c>
    </row>
    <row r="70" spans="2:36" s="1" customFormat="1" x14ac:dyDescent="0.25">
      <c r="B70" t="s">
        <v>154</v>
      </c>
      <c r="C70" t="s">
        <v>170</v>
      </c>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c r="AJ70" s="23" t="s">
        <v>293</v>
      </c>
    </row>
    <row r="71" spans="2:36" s="1" customFormat="1" x14ac:dyDescent="0.25">
      <c r="B71"/>
      <c r="C71"/>
      <c r="D71"/>
      <c r="E71"/>
      <c r="F71"/>
      <c r="G71"/>
      <c r="H71"/>
      <c r="I71"/>
      <c r="J71"/>
      <c r="K71"/>
      <c r="L71"/>
      <c r="M71"/>
      <c r="N71"/>
      <c r="O71"/>
      <c r="P71"/>
      <c r="Q71"/>
      <c r="R71"/>
      <c r="S71"/>
      <c r="T71"/>
      <c r="U71"/>
      <c r="V71"/>
      <c r="W71"/>
      <c r="X71"/>
      <c r="Y71"/>
      <c r="Z71"/>
      <c r="AA71"/>
      <c r="AB71"/>
      <c r="AC71"/>
      <c r="AD71"/>
      <c r="AE71"/>
      <c r="AF71"/>
      <c r="AG71"/>
      <c r="AH71"/>
      <c r="AI71"/>
      <c r="AJ71"/>
    </row>
    <row r="72" spans="2:36" s="1" customFormat="1" ht="17.25" thickBot="1" x14ac:dyDescent="0.3">
      <c r="B72" s="19" t="s">
        <v>145</v>
      </c>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row>
    <row r="73" spans="2:36" s="1" customFormat="1" ht="16.5" thickTop="1" thickBot="1" x14ac:dyDescent="0.3">
      <c r="B73" s="20" t="s">
        <v>292</v>
      </c>
      <c r="C73" s="20" t="s">
        <v>13</v>
      </c>
      <c r="D73" s="20" t="s">
        <v>17</v>
      </c>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t="s">
        <v>15</v>
      </c>
    </row>
    <row r="74" spans="2:36" x14ac:dyDescent="0.25">
      <c r="D74">
        <v>2025</v>
      </c>
      <c r="E74">
        <v>2026</v>
      </c>
      <c r="F74">
        <v>2027</v>
      </c>
      <c r="G74">
        <v>2028</v>
      </c>
      <c r="H74">
        <v>2029</v>
      </c>
      <c r="I74">
        <v>2030</v>
      </c>
      <c r="J74">
        <v>2031</v>
      </c>
      <c r="K74">
        <v>2032</v>
      </c>
      <c r="L74">
        <v>2033</v>
      </c>
      <c r="M74">
        <v>2034</v>
      </c>
      <c r="N74">
        <v>2035</v>
      </c>
      <c r="O74">
        <v>2036</v>
      </c>
      <c r="P74">
        <v>2037</v>
      </c>
      <c r="Q74">
        <v>2038</v>
      </c>
      <c r="R74">
        <v>2039</v>
      </c>
      <c r="S74">
        <v>2040</v>
      </c>
      <c r="T74">
        <v>2041</v>
      </c>
      <c r="U74">
        <v>2042</v>
      </c>
      <c r="V74">
        <v>2043</v>
      </c>
      <c r="W74">
        <v>2044</v>
      </c>
      <c r="X74">
        <v>2045</v>
      </c>
      <c r="Y74">
        <v>2046</v>
      </c>
      <c r="Z74">
        <v>2047</v>
      </c>
      <c r="AA74">
        <v>2048</v>
      </c>
      <c r="AB74">
        <v>2049</v>
      </c>
      <c r="AC74">
        <v>2050</v>
      </c>
      <c r="AD74">
        <v>2051</v>
      </c>
      <c r="AE74">
        <v>2052</v>
      </c>
      <c r="AF74">
        <v>2053</v>
      </c>
      <c r="AG74">
        <v>2054</v>
      </c>
      <c r="AH74">
        <v>2055</v>
      </c>
    </row>
    <row r="75" spans="2:36" s="1" customFormat="1" x14ac:dyDescent="0.25">
      <c r="B75" t="s">
        <v>141</v>
      </c>
      <c r="C75" t="s">
        <v>109</v>
      </c>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c r="AJ75" s="23" t="s">
        <v>293</v>
      </c>
    </row>
    <row r="76" spans="2:36" s="1" customFormat="1" x14ac:dyDescent="0.25">
      <c r="B76" t="s">
        <v>136</v>
      </c>
      <c r="C76" t="s">
        <v>169</v>
      </c>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c r="AJ76" s="23" t="s">
        <v>293</v>
      </c>
    </row>
    <row r="77" spans="2:36" s="1" customFormat="1" x14ac:dyDescent="0.25">
      <c r="B77" t="s">
        <v>154</v>
      </c>
      <c r="C77" t="s">
        <v>170</v>
      </c>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c r="AJ77" s="23" t="s">
        <v>293</v>
      </c>
    </row>
    <row r="78" spans="2:36" s="1" customFormat="1" x14ac:dyDescent="0.25">
      <c r="B78"/>
      <c r="C78"/>
      <c r="D78"/>
      <c r="E78"/>
      <c r="F78"/>
      <c r="G78"/>
      <c r="H78"/>
      <c r="I78"/>
      <c r="J78"/>
      <c r="K78"/>
      <c r="L78"/>
      <c r="M78"/>
      <c r="N78"/>
      <c r="O78"/>
      <c r="P78"/>
      <c r="Q78"/>
      <c r="R78"/>
      <c r="S78"/>
      <c r="T78"/>
      <c r="U78"/>
      <c r="V78"/>
      <c r="W78"/>
      <c r="X78"/>
      <c r="Y78"/>
      <c r="Z78"/>
      <c r="AA78"/>
      <c r="AB78"/>
      <c r="AC78"/>
      <c r="AD78"/>
      <c r="AE78"/>
      <c r="AF78"/>
      <c r="AG78"/>
      <c r="AH78"/>
      <c r="AI78"/>
      <c r="AJ78"/>
    </row>
    <row r="79" spans="2:36" s="1" customFormat="1" ht="17.25" thickBot="1" x14ac:dyDescent="0.3">
      <c r="B79" s="19" t="s">
        <v>146</v>
      </c>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row>
    <row r="80" spans="2:36" s="1" customFormat="1" ht="16.5" thickTop="1" thickBot="1" x14ac:dyDescent="0.3">
      <c r="B80" s="20" t="s">
        <v>292</v>
      </c>
      <c r="C80" s="20" t="s">
        <v>13</v>
      </c>
      <c r="D80" s="20" t="s">
        <v>17</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t="s">
        <v>15</v>
      </c>
    </row>
    <row r="81" spans="2:36" x14ac:dyDescent="0.25">
      <c r="D81">
        <v>2025</v>
      </c>
      <c r="E81">
        <v>2026</v>
      </c>
      <c r="F81">
        <v>2027</v>
      </c>
      <c r="G81">
        <v>2028</v>
      </c>
      <c r="H81">
        <v>2029</v>
      </c>
      <c r="I81">
        <v>2030</v>
      </c>
      <c r="J81">
        <v>2031</v>
      </c>
      <c r="K81">
        <v>2032</v>
      </c>
      <c r="L81">
        <v>2033</v>
      </c>
      <c r="M81">
        <v>2034</v>
      </c>
      <c r="N81">
        <v>2035</v>
      </c>
      <c r="O81">
        <v>2036</v>
      </c>
      <c r="P81">
        <v>2037</v>
      </c>
      <c r="Q81">
        <v>2038</v>
      </c>
      <c r="R81">
        <v>2039</v>
      </c>
      <c r="S81">
        <v>2040</v>
      </c>
      <c r="T81">
        <v>2041</v>
      </c>
      <c r="U81">
        <v>2042</v>
      </c>
      <c r="V81">
        <v>2043</v>
      </c>
      <c r="W81">
        <v>2044</v>
      </c>
      <c r="X81">
        <v>2045</v>
      </c>
      <c r="Y81">
        <v>2046</v>
      </c>
      <c r="Z81">
        <v>2047</v>
      </c>
      <c r="AA81">
        <v>2048</v>
      </c>
      <c r="AB81">
        <v>2049</v>
      </c>
      <c r="AC81">
        <v>2050</v>
      </c>
      <c r="AD81">
        <v>2051</v>
      </c>
      <c r="AE81">
        <v>2052</v>
      </c>
      <c r="AF81">
        <v>2053</v>
      </c>
      <c r="AG81">
        <v>2054</v>
      </c>
      <c r="AH81">
        <v>2055</v>
      </c>
    </row>
    <row r="82" spans="2:36" s="1" customFormat="1" x14ac:dyDescent="0.25">
      <c r="B82" t="s">
        <v>141</v>
      </c>
      <c r="C82" t="s">
        <v>109</v>
      </c>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c r="AJ82" s="23" t="s">
        <v>293</v>
      </c>
    </row>
    <row r="83" spans="2:36" s="1" customFormat="1" x14ac:dyDescent="0.25">
      <c r="B83" t="s">
        <v>136</v>
      </c>
      <c r="C83" t="s">
        <v>169</v>
      </c>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c r="AJ83" s="23" t="s">
        <v>293</v>
      </c>
    </row>
    <row r="84" spans="2:36" s="1" customFormat="1" x14ac:dyDescent="0.25">
      <c r="B84" t="s">
        <v>154</v>
      </c>
      <c r="C84" t="s">
        <v>170</v>
      </c>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c r="AJ84" s="23" t="s">
        <v>293</v>
      </c>
    </row>
    <row r="85" spans="2:36" s="1" customFormat="1" x14ac:dyDescent="0.25">
      <c r="B85"/>
      <c r="C85"/>
      <c r="D85"/>
      <c r="E85"/>
      <c r="F85"/>
      <c r="G85"/>
      <c r="H85"/>
      <c r="I85"/>
      <c r="J85"/>
      <c r="K85"/>
      <c r="L85"/>
      <c r="M85"/>
      <c r="N85"/>
      <c r="O85"/>
      <c r="P85"/>
      <c r="Q85"/>
      <c r="R85"/>
      <c r="S85"/>
      <c r="T85"/>
      <c r="U85"/>
      <c r="V85"/>
      <c r="W85"/>
      <c r="X85"/>
      <c r="Y85"/>
      <c r="Z85"/>
      <c r="AA85"/>
      <c r="AB85"/>
      <c r="AC85"/>
      <c r="AD85"/>
      <c r="AE85"/>
      <c r="AF85"/>
      <c r="AG85"/>
      <c r="AH85"/>
      <c r="AI85"/>
      <c r="AJ85"/>
    </row>
    <row r="86" spans="2:36" s="1" customFormat="1" ht="17.25" thickBot="1" x14ac:dyDescent="0.3">
      <c r="B86" s="19" t="s">
        <v>147</v>
      </c>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row>
    <row r="87" spans="2:36" s="1" customFormat="1" ht="16.5" thickTop="1" thickBot="1" x14ac:dyDescent="0.3">
      <c r="B87" s="20" t="s">
        <v>292</v>
      </c>
      <c r="C87" s="20" t="s">
        <v>13</v>
      </c>
      <c r="D87" s="20" t="s">
        <v>17</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t="s">
        <v>15</v>
      </c>
    </row>
    <row r="88" spans="2:36" x14ac:dyDescent="0.25">
      <c r="D88">
        <v>2025</v>
      </c>
      <c r="E88">
        <v>2026</v>
      </c>
      <c r="F88">
        <v>2027</v>
      </c>
      <c r="G88">
        <v>2028</v>
      </c>
      <c r="H88">
        <v>2029</v>
      </c>
      <c r="I88">
        <v>2030</v>
      </c>
      <c r="J88">
        <v>2031</v>
      </c>
      <c r="K88">
        <v>2032</v>
      </c>
      <c r="L88">
        <v>2033</v>
      </c>
      <c r="M88">
        <v>2034</v>
      </c>
      <c r="N88">
        <v>2035</v>
      </c>
      <c r="O88">
        <v>2036</v>
      </c>
      <c r="P88">
        <v>2037</v>
      </c>
      <c r="Q88">
        <v>2038</v>
      </c>
      <c r="R88">
        <v>2039</v>
      </c>
      <c r="S88">
        <v>2040</v>
      </c>
      <c r="T88">
        <v>2041</v>
      </c>
      <c r="U88">
        <v>2042</v>
      </c>
      <c r="V88">
        <v>2043</v>
      </c>
      <c r="W88">
        <v>2044</v>
      </c>
      <c r="X88">
        <v>2045</v>
      </c>
      <c r="Y88">
        <v>2046</v>
      </c>
      <c r="Z88">
        <v>2047</v>
      </c>
      <c r="AA88">
        <v>2048</v>
      </c>
      <c r="AB88">
        <v>2049</v>
      </c>
      <c r="AC88">
        <v>2050</v>
      </c>
      <c r="AD88">
        <v>2051</v>
      </c>
      <c r="AE88">
        <v>2052</v>
      </c>
      <c r="AF88">
        <v>2053</v>
      </c>
      <c r="AG88">
        <v>2054</v>
      </c>
      <c r="AH88">
        <v>2055</v>
      </c>
    </row>
    <row r="89" spans="2:36" s="1" customFormat="1" x14ac:dyDescent="0.25">
      <c r="B89" t="s">
        <v>141</v>
      </c>
      <c r="C89" t="s">
        <v>109</v>
      </c>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c r="AJ89" s="23" t="s">
        <v>293</v>
      </c>
    </row>
    <row r="90" spans="2:36" s="1" customFormat="1" x14ac:dyDescent="0.25">
      <c r="B90" t="s">
        <v>136</v>
      </c>
      <c r="C90" t="s">
        <v>169</v>
      </c>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c r="AJ90" s="23" t="s">
        <v>293</v>
      </c>
    </row>
    <row r="91" spans="2:36" s="1" customFormat="1" x14ac:dyDescent="0.25">
      <c r="B91" t="s">
        <v>154</v>
      </c>
      <c r="C91" t="s">
        <v>170</v>
      </c>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c r="AJ91" s="23" t="s">
        <v>293</v>
      </c>
    </row>
    <row r="92" spans="2:36" s="1" customFormat="1" x14ac:dyDescent="0.25">
      <c r="B92"/>
      <c r="C92"/>
      <c r="D92"/>
      <c r="E92"/>
      <c r="F92"/>
      <c r="G92"/>
      <c r="H92"/>
      <c r="I92"/>
      <c r="J92"/>
      <c r="K92"/>
      <c r="L92"/>
      <c r="M92"/>
      <c r="N92"/>
      <c r="O92"/>
      <c r="P92"/>
      <c r="Q92"/>
      <c r="R92"/>
      <c r="S92"/>
      <c r="T92"/>
      <c r="U92"/>
      <c r="V92"/>
      <c r="W92"/>
      <c r="X92"/>
      <c r="Y92"/>
      <c r="Z92"/>
      <c r="AA92"/>
      <c r="AB92"/>
      <c r="AC92"/>
      <c r="AD92"/>
      <c r="AE92"/>
      <c r="AF92"/>
      <c r="AG92"/>
      <c r="AH92"/>
      <c r="AI92"/>
      <c r="AJ92"/>
    </row>
    <row r="93" spans="2:36" s="1" customFormat="1" ht="17.25" thickBot="1" x14ac:dyDescent="0.3">
      <c r="B93" s="19" t="s">
        <v>148</v>
      </c>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row>
    <row r="94" spans="2:36" s="1" customFormat="1" ht="16.5" thickTop="1" thickBot="1" x14ac:dyDescent="0.3">
      <c r="B94" s="20" t="s">
        <v>292</v>
      </c>
      <c r="C94" s="20" t="s">
        <v>13</v>
      </c>
      <c r="D94" s="20" t="s">
        <v>17</v>
      </c>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t="s">
        <v>15</v>
      </c>
    </row>
    <row r="95" spans="2:36" x14ac:dyDescent="0.25">
      <c r="D95">
        <v>2025</v>
      </c>
      <c r="E95">
        <v>2026</v>
      </c>
      <c r="F95">
        <v>2027</v>
      </c>
      <c r="G95">
        <v>2028</v>
      </c>
      <c r="H95">
        <v>2029</v>
      </c>
      <c r="I95">
        <v>2030</v>
      </c>
      <c r="J95">
        <v>2031</v>
      </c>
      <c r="K95">
        <v>2032</v>
      </c>
      <c r="L95">
        <v>2033</v>
      </c>
      <c r="M95">
        <v>2034</v>
      </c>
      <c r="N95">
        <v>2035</v>
      </c>
      <c r="O95">
        <v>2036</v>
      </c>
      <c r="P95">
        <v>2037</v>
      </c>
      <c r="Q95">
        <v>2038</v>
      </c>
      <c r="R95">
        <v>2039</v>
      </c>
      <c r="S95">
        <v>2040</v>
      </c>
      <c r="T95">
        <v>2041</v>
      </c>
      <c r="U95">
        <v>2042</v>
      </c>
      <c r="V95">
        <v>2043</v>
      </c>
      <c r="W95">
        <v>2044</v>
      </c>
      <c r="X95">
        <v>2045</v>
      </c>
      <c r="Y95">
        <v>2046</v>
      </c>
      <c r="Z95">
        <v>2047</v>
      </c>
      <c r="AA95">
        <v>2048</v>
      </c>
      <c r="AB95">
        <v>2049</v>
      </c>
      <c r="AC95">
        <v>2050</v>
      </c>
      <c r="AD95">
        <v>2051</v>
      </c>
      <c r="AE95">
        <v>2052</v>
      </c>
      <c r="AF95">
        <v>2053</v>
      </c>
      <c r="AG95">
        <v>2054</v>
      </c>
      <c r="AH95">
        <v>2055</v>
      </c>
    </row>
    <row r="96" spans="2:36" s="1" customFormat="1" x14ac:dyDescent="0.25">
      <c r="B96" t="s">
        <v>141</v>
      </c>
      <c r="C96" t="s">
        <v>109</v>
      </c>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c r="AJ96" s="23" t="s">
        <v>293</v>
      </c>
    </row>
    <row r="97" spans="2:36" s="1" customFormat="1" x14ac:dyDescent="0.25">
      <c r="B97" t="s">
        <v>136</v>
      </c>
      <c r="C97" t="s">
        <v>169</v>
      </c>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c r="AJ97" s="23" t="s">
        <v>293</v>
      </c>
    </row>
    <row r="98" spans="2:36" s="1" customFormat="1" x14ac:dyDescent="0.25">
      <c r="B98" t="s">
        <v>154</v>
      </c>
      <c r="C98" t="s">
        <v>170</v>
      </c>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c r="AJ98" s="23" t="s">
        <v>293</v>
      </c>
    </row>
    <row r="99" spans="2:36" s="1" customFormat="1" x14ac:dyDescent="0.25">
      <c r="B99"/>
      <c r="C99"/>
      <c r="D99"/>
      <c r="E99"/>
      <c r="F99"/>
      <c r="G99"/>
      <c r="H99"/>
      <c r="I99"/>
      <c r="J99"/>
      <c r="K99"/>
      <c r="L99"/>
      <c r="M99"/>
      <c r="N99"/>
      <c r="O99"/>
      <c r="P99"/>
      <c r="Q99"/>
      <c r="R99"/>
      <c r="S99"/>
      <c r="T99"/>
      <c r="U99"/>
      <c r="V99"/>
      <c r="W99"/>
      <c r="X99"/>
      <c r="Y99"/>
      <c r="Z99"/>
      <c r="AA99"/>
      <c r="AB99"/>
      <c r="AC99"/>
      <c r="AD99"/>
      <c r="AE99"/>
      <c r="AF99"/>
      <c r="AG99"/>
      <c r="AH99"/>
      <c r="AI99"/>
      <c r="AJ99"/>
    </row>
    <row r="100" spans="2:36" s="1" customFormat="1" ht="17.25" thickBot="1" x14ac:dyDescent="0.3">
      <c r="B100" s="19" t="s">
        <v>224</v>
      </c>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row>
    <row r="101" spans="2:36" s="1" customFormat="1" ht="16.5" thickTop="1" thickBot="1" x14ac:dyDescent="0.3">
      <c r="B101" s="20" t="s">
        <v>292</v>
      </c>
      <c r="C101" s="20" t="s">
        <v>13</v>
      </c>
      <c r="D101" s="20" t="s">
        <v>17</v>
      </c>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t="s">
        <v>15</v>
      </c>
    </row>
    <row r="102" spans="2:36" x14ac:dyDescent="0.25">
      <c r="D102">
        <v>2025</v>
      </c>
      <c r="E102">
        <v>2026</v>
      </c>
      <c r="F102">
        <v>2027</v>
      </c>
      <c r="G102">
        <v>2028</v>
      </c>
      <c r="H102">
        <v>2029</v>
      </c>
      <c r="I102">
        <v>2030</v>
      </c>
      <c r="J102">
        <v>2031</v>
      </c>
      <c r="K102">
        <v>2032</v>
      </c>
      <c r="L102">
        <v>2033</v>
      </c>
      <c r="M102">
        <v>2034</v>
      </c>
      <c r="N102">
        <v>2035</v>
      </c>
      <c r="O102">
        <v>2036</v>
      </c>
      <c r="P102">
        <v>2037</v>
      </c>
      <c r="Q102">
        <v>2038</v>
      </c>
      <c r="R102">
        <v>2039</v>
      </c>
      <c r="S102">
        <v>2040</v>
      </c>
      <c r="T102">
        <v>2041</v>
      </c>
      <c r="U102">
        <v>2042</v>
      </c>
      <c r="V102">
        <v>2043</v>
      </c>
      <c r="W102">
        <v>2044</v>
      </c>
      <c r="X102">
        <v>2045</v>
      </c>
      <c r="Y102">
        <v>2046</v>
      </c>
      <c r="Z102">
        <v>2047</v>
      </c>
      <c r="AA102">
        <v>2048</v>
      </c>
      <c r="AB102">
        <v>2049</v>
      </c>
      <c r="AC102">
        <v>2050</v>
      </c>
      <c r="AD102">
        <v>2051</v>
      </c>
      <c r="AE102">
        <v>2052</v>
      </c>
      <c r="AF102">
        <v>2053</v>
      </c>
      <c r="AG102">
        <v>2054</v>
      </c>
      <c r="AH102">
        <v>2055</v>
      </c>
    </row>
    <row r="103" spans="2:36" s="1" customFormat="1" x14ac:dyDescent="0.25">
      <c r="B103" t="s">
        <v>141</v>
      </c>
      <c r="C103" t="s">
        <v>109</v>
      </c>
      <c r="D103" s="22">
        <f t="shared" ref="D103:AH103" si="1">SUM(D96,D89,D82,D75,D68)</f>
        <v>0</v>
      </c>
      <c r="E103" s="22">
        <f t="shared" si="1"/>
        <v>0</v>
      </c>
      <c r="F103" s="22">
        <f t="shared" si="1"/>
        <v>0</v>
      </c>
      <c r="G103" s="22">
        <f t="shared" si="1"/>
        <v>0</v>
      </c>
      <c r="H103" s="22">
        <f t="shared" si="1"/>
        <v>0</v>
      </c>
      <c r="I103" s="22">
        <f t="shared" si="1"/>
        <v>0</v>
      </c>
      <c r="J103" s="22">
        <f t="shared" si="1"/>
        <v>0</v>
      </c>
      <c r="K103" s="22">
        <f t="shared" si="1"/>
        <v>0</v>
      </c>
      <c r="L103" s="22">
        <f t="shared" si="1"/>
        <v>0</v>
      </c>
      <c r="M103" s="22">
        <f t="shared" si="1"/>
        <v>0</v>
      </c>
      <c r="N103" s="22">
        <f t="shared" si="1"/>
        <v>0</v>
      </c>
      <c r="O103" s="22">
        <f t="shared" si="1"/>
        <v>0</v>
      </c>
      <c r="P103" s="22">
        <f t="shared" si="1"/>
        <v>0</v>
      </c>
      <c r="Q103" s="22">
        <f t="shared" si="1"/>
        <v>0</v>
      </c>
      <c r="R103" s="22">
        <f t="shared" si="1"/>
        <v>0</v>
      </c>
      <c r="S103" s="22">
        <f t="shared" si="1"/>
        <v>0</v>
      </c>
      <c r="T103" s="22">
        <f t="shared" si="1"/>
        <v>0</v>
      </c>
      <c r="U103" s="22">
        <f t="shared" si="1"/>
        <v>0</v>
      </c>
      <c r="V103" s="22">
        <f t="shared" si="1"/>
        <v>0</v>
      </c>
      <c r="W103" s="22">
        <f t="shared" si="1"/>
        <v>0</v>
      </c>
      <c r="X103" s="22">
        <f t="shared" si="1"/>
        <v>0</v>
      </c>
      <c r="Y103" s="22">
        <f t="shared" si="1"/>
        <v>0</v>
      </c>
      <c r="Z103" s="22">
        <f t="shared" si="1"/>
        <v>0</v>
      </c>
      <c r="AA103" s="22">
        <f t="shared" si="1"/>
        <v>0</v>
      </c>
      <c r="AB103" s="22">
        <f t="shared" si="1"/>
        <v>0</v>
      </c>
      <c r="AC103" s="22">
        <f t="shared" si="1"/>
        <v>0</v>
      </c>
      <c r="AD103" s="22">
        <f t="shared" si="1"/>
        <v>0</v>
      </c>
      <c r="AE103" s="22">
        <f t="shared" si="1"/>
        <v>0</v>
      </c>
      <c r="AF103" s="22">
        <f t="shared" si="1"/>
        <v>0</v>
      </c>
      <c r="AG103" s="22">
        <f t="shared" si="1"/>
        <v>0</v>
      </c>
      <c r="AH103" s="22">
        <f t="shared" si="1"/>
        <v>0</v>
      </c>
      <c r="AI103"/>
      <c r="AJ103" s="23" t="s">
        <v>304</v>
      </c>
    </row>
    <row r="104" spans="2:36" s="1" customFormat="1" x14ac:dyDescent="0.25">
      <c r="B104" t="s">
        <v>136</v>
      </c>
      <c r="C104" t="s">
        <v>169</v>
      </c>
      <c r="D104" s="22">
        <f t="shared" ref="D104:AH104" si="2">SUM(D97,D90,D83,D76,D69)</f>
        <v>0</v>
      </c>
      <c r="E104" s="22">
        <f t="shared" si="2"/>
        <v>0</v>
      </c>
      <c r="F104" s="22">
        <f t="shared" si="2"/>
        <v>0</v>
      </c>
      <c r="G104" s="22">
        <f t="shared" si="2"/>
        <v>0</v>
      </c>
      <c r="H104" s="22">
        <f t="shared" si="2"/>
        <v>0</v>
      </c>
      <c r="I104" s="22">
        <f t="shared" si="2"/>
        <v>0</v>
      </c>
      <c r="J104" s="22">
        <f t="shared" si="2"/>
        <v>0</v>
      </c>
      <c r="K104" s="22">
        <f t="shared" si="2"/>
        <v>0</v>
      </c>
      <c r="L104" s="22">
        <f t="shared" si="2"/>
        <v>0</v>
      </c>
      <c r="M104" s="22">
        <f t="shared" si="2"/>
        <v>0</v>
      </c>
      <c r="N104" s="22">
        <f t="shared" si="2"/>
        <v>0</v>
      </c>
      <c r="O104" s="22">
        <f t="shared" si="2"/>
        <v>0</v>
      </c>
      <c r="P104" s="22">
        <f t="shared" si="2"/>
        <v>0</v>
      </c>
      <c r="Q104" s="22">
        <f t="shared" si="2"/>
        <v>0</v>
      </c>
      <c r="R104" s="22">
        <f t="shared" si="2"/>
        <v>0</v>
      </c>
      <c r="S104" s="22">
        <f t="shared" si="2"/>
        <v>0</v>
      </c>
      <c r="T104" s="22">
        <f t="shared" si="2"/>
        <v>0</v>
      </c>
      <c r="U104" s="22">
        <f t="shared" si="2"/>
        <v>0</v>
      </c>
      <c r="V104" s="22">
        <f t="shared" si="2"/>
        <v>0</v>
      </c>
      <c r="W104" s="22">
        <f t="shared" si="2"/>
        <v>0</v>
      </c>
      <c r="X104" s="22">
        <f t="shared" si="2"/>
        <v>0</v>
      </c>
      <c r="Y104" s="22">
        <f t="shared" si="2"/>
        <v>0</v>
      </c>
      <c r="Z104" s="22">
        <f t="shared" si="2"/>
        <v>0</v>
      </c>
      <c r="AA104" s="22">
        <f t="shared" si="2"/>
        <v>0</v>
      </c>
      <c r="AB104" s="22">
        <f t="shared" si="2"/>
        <v>0</v>
      </c>
      <c r="AC104" s="22">
        <f t="shared" si="2"/>
        <v>0</v>
      </c>
      <c r="AD104" s="22">
        <f t="shared" si="2"/>
        <v>0</v>
      </c>
      <c r="AE104" s="22">
        <f t="shared" si="2"/>
        <v>0</v>
      </c>
      <c r="AF104" s="22">
        <f t="shared" si="2"/>
        <v>0</v>
      </c>
      <c r="AG104" s="22">
        <f t="shared" si="2"/>
        <v>0</v>
      </c>
      <c r="AH104" s="22">
        <f t="shared" si="2"/>
        <v>0</v>
      </c>
      <c r="AI104"/>
      <c r="AJ104" s="23" t="s">
        <v>304</v>
      </c>
    </row>
    <row r="105" spans="2:36" s="1" customFormat="1" x14ac:dyDescent="0.25">
      <c r="B105" t="s">
        <v>154</v>
      </c>
      <c r="C105" t="s">
        <v>170</v>
      </c>
      <c r="D105" s="22">
        <f t="shared" ref="D105:AH105" si="3">SUM(D98,D91,D84,D77,D70)</f>
        <v>0</v>
      </c>
      <c r="E105" s="22">
        <f t="shared" si="3"/>
        <v>0</v>
      </c>
      <c r="F105" s="22">
        <f t="shared" si="3"/>
        <v>0</v>
      </c>
      <c r="G105" s="22">
        <f t="shared" si="3"/>
        <v>0</v>
      </c>
      <c r="H105" s="22">
        <f t="shared" si="3"/>
        <v>0</v>
      </c>
      <c r="I105" s="22">
        <f t="shared" si="3"/>
        <v>0</v>
      </c>
      <c r="J105" s="22">
        <f t="shared" si="3"/>
        <v>0</v>
      </c>
      <c r="K105" s="22">
        <f t="shared" si="3"/>
        <v>0</v>
      </c>
      <c r="L105" s="22">
        <f t="shared" si="3"/>
        <v>0</v>
      </c>
      <c r="M105" s="22">
        <f t="shared" si="3"/>
        <v>0</v>
      </c>
      <c r="N105" s="22">
        <f t="shared" si="3"/>
        <v>0</v>
      </c>
      <c r="O105" s="22">
        <f t="shared" si="3"/>
        <v>0</v>
      </c>
      <c r="P105" s="22">
        <f t="shared" si="3"/>
        <v>0</v>
      </c>
      <c r="Q105" s="22">
        <f t="shared" si="3"/>
        <v>0</v>
      </c>
      <c r="R105" s="22">
        <f t="shared" si="3"/>
        <v>0</v>
      </c>
      <c r="S105" s="22">
        <f t="shared" si="3"/>
        <v>0</v>
      </c>
      <c r="T105" s="22">
        <f t="shared" si="3"/>
        <v>0</v>
      </c>
      <c r="U105" s="22">
        <f t="shared" si="3"/>
        <v>0</v>
      </c>
      <c r="V105" s="22">
        <f t="shared" si="3"/>
        <v>0</v>
      </c>
      <c r="W105" s="22">
        <f t="shared" si="3"/>
        <v>0</v>
      </c>
      <c r="X105" s="22">
        <f t="shared" si="3"/>
        <v>0</v>
      </c>
      <c r="Y105" s="22">
        <f t="shared" si="3"/>
        <v>0</v>
      </c>
      <c r="Z105" s="22">
        <f t="shared" si="3"/>
        <v>0</v>
      </c>
      <c r="AA105" s="22">
        <f t="shared" si="3"/>
        <v>0</v>
      </c>
      <c r="AB105" s="22">
        <f t="shared" si="3"/>
        <v>0</v>
      </c>
      <c r="AC105" s="22">
        <f t="shared" si="3"/>
        <v>0</v>
      </c>
      <c r="AD105" s="22">
        <f t="shared" si="3"/>
        <v>0</v>
      </c>
      <c r="AE105" s="22">
        <f t="shared" si="3"/>
        <v>0</v>
      </c>
      <c r="AF105" s="22">
        <f t="shared" si="3"/>
        <v>0</v>
      </c>
      <c r="AG105" s="22">
        <f t="shared" si="3"/>
        <v>0</v>
      </c>
      <c r="AH105" s="22">
        <f t="shared" si="3"/>
        <v>0</v>
      </c>
      <c r="AI105"/>
      <c r="AJ105" s="23" t="s">
        <v>304</v>
      </c>
    </row>
    <row r="108" spans="2:36" s="1" customFormat="1" ht="20.25" thickBot="1" x14ac:dyDescent="0.35">
      <c r="B108" s="18" t="s">
        <v>297</v>
      </c>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spans="2:36" s="1" customFormat="1" ht="18" thickTop="1" thickBot="1" x14ac:dyDescent="0.3">
      <c r="B109" s="19" t="s">
        <v>144</v>
      </c>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row>
    <row r="110" spans="2:36" s="1" customFormat="1" ht="16.5" thickTop="1" thickBot="1" x14ac:dyDescent="0.3">
      <c r="B110" s="20" t="s">
        <v>292</v>
      </c>
      <c r="C110" s="20" t="s">
        <v>13</v>
      </c>
      <c r="D110" s="20" t="s">
        <v>17</v>
      </c>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t="s">
        <v>15</v>
      </c>
    </row>
    <row r="111" spans="2:36" x14ac:dyDescent="0.25">
      <c r="D111">
        <v>2025</v>
      </c>
      <c r="E111">
        <v>2026</v>
      </c>
      <c r="F111">
        <v>2027</v>
      </c>
      <c r="G111">
        <v>2028</v>
      </c>
      <c r="H111">
        <v>2029</v>
      </c>
      <c r="I111">
        <v>2030</v>
      </c>
      <c r="J111">
        <v>2031</v>
      </c>
      <c r="K111">
        <v>2032</v>
      </c>
      <c r="L111">
        <v>2033</v>
      </c>
      <c r="M111">
        <v>2034</v>
      </c>
      <c r="N111">
        <v>2035</v>
      </c>
      <c r="O111">
        <v>2036</v>
      </c>
      <c r="P111">
        <v>2037</v>
      </c>
      <c r="Q111">
        <v>2038</v>
      </c>
      <c r="R111">
        <v>2039</v>
      </c>
      <c r="S111">
        <v>2040</v>
      </c>
      <c r="T111">
        <v>2041</v>
      </c>
      <c r="U111">
        <v>2042</v>
      </c>
      <c r="V111">
        <v>2043</v>
      </c>
      <c r="W111">
        <v>2044</v>
      </c>
      <c r="X111">
        <v>2045</v>
      </c>
      <c r="Y111">
        <v>2046</v>
      </c>
      <c r="Z111">
        <v>2047</v>
      </c>
      <c r="AA111">
        <v>2048</v>
      </c>
      <c r="AB111">
        <v>2049</v>
      </c>
      <c r="AC111">
        <v>2050</v>
      </c>
      <c r="AD111">
        <v>2051</v>
      </c>
      <c r="AE111">
        <v>2052</v>
      </c>
      <c r="AF111">
        <v>2053</v>
      </c>
      <c r="AG111">
        <v>2054</v>
      </c>
      <c r="AH111">
        <v>2055</v>
      </c>
    </row>
    <row r="112" spans="2:36" s="1" customFormat="1" x14ac:dyDescent="0.25">
      <c r="B112" t="s">
        <v>141</v>
      </c>
      <c r="C112" t="s">
        <v>109</v>
      </c>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c r="AJ112" s="23" t="s">
        <v>293</v>
      </c>
    </row>
    <row r="113" spans="2:36" s="1" customFormat="1" x14ac:dyDescent="0.25">
      <c r="B113" t="s">
        <v>136</v>
      </c>
      <c r="C113" t="s">
        <v>169</v>
      </c>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c r="AJ113" s="23" t="s">
        <v>293</v>
      </c>
    </row>
    <row r="114" spans="2:36" s="1" customFormat="1" x14ac:dyDescent="0.25">
      <c r="B114" t="s">
        <v>154</v>
      </c>
      <c r="C114" t="s">
        <v>170</v>
      </c>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c r="AJ114" s="23" t="s">
        <v>293</v>
      </c>
    </row>
    <row r="115" spans="2:36" s="1" customFormat="1" x14ac:dyDescent="0.2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row>
    <row r="116" spans="2:36" s="1" customFormat="1" ht="17.25" thickBot="1" x14ac:dyDescent="0.3">
      <c r="B116" s="19" t="s">
        <v>145</v>
      </c>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row>
    <row r="117" spans="2:36" s="1" customFormat="1" ht="16.5" thickTop="1" thickBot="1" x14ac:dyDescent="0.3">
      <c r="B117" s="20" t="s">
        <v>292</v>
      </c>
      <c r="C117" s="20" t="s">
        <v>13</v>
      </c>
      <c r="D117" s="20" t="s">
        <v>17</v>
      </c>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t="s">
        <v>15</v>
      </c>
    </row>
    <row r="118" spans="2:36" x14ac:dyDescent="0.25">
      <c r="D118">
        <v>2025</v>
      </c>
      <c r="E118">
        <v>2026</v>
      </c>
      <c r="F118">
        <v>2027</v>
      </c>
      <c r="G118">
        <v>2028</v>
      </c>
      <c r="H118">
        <v>2029</v>
      </c>
      <c r="I118">
        <v>2030</v>
      </c>
      <c r="J118">
        <v>2031</v>
      </c>
      <c r="K118">
        <v>2032</v>
      </c>
      <c r="L118">
        <v>2033</v>
      </c>
      <c r="M118">
        <v>2034</v>
      </c>
      <c r="N118">
        <v>2035</v>
      </c>
      <c r="O118">
        <v>2036</v>
      </c>
      <c r="P118">
        <v>2037</v>
      </c>
      <c r="Q118">
        <v>2038</v>
      </c>
      <c r="R118">
        <v>2039</v>
      </c>
      <c r="S118">
        <v>2040</v>
      </c>
      <c r="T118">
        <v>2041</v>
      </c>
      <c r="U118">
        <v>2042</v>
      </c>
      <c r="V118">
        <v>2043</v>
      </c>
      <c r="W118">
        <v>2044</v>
      </c>
      <c r="X118">
        <v>2045</v>
      </c>
      <c r="Y118">
        <v>2046</v>
      </c>
      <c r="Z118">
        <v>2047</v>
      </c>
      <c r="AA118">
        <v>2048</v>
      </c>
      <c r="AB118">
        <v>2049</v>
      </c>
      <c r="AC118">
        <v>2050</v>
      </c>
      <c r="AD118">
        <v>2051</v>
      </c>
      <c r="AE118">
        <v>2052</v>
      </c>
      <c r="AF118">
        <v>2053</v>
      </c>
      <c r="AG118">
        <v>2054</v>
      </c>
      <c r="AH118">
        <v>2055</v>
      </c>
    </row>
    <row r="119" spans="2:36" s="1" customFormat="1" x14ac:dyDescent="0.25">
      <c r="B119" t="s">
        <v>141</v>
      </c>
      <c r="C119" t="s">
        <v>109</v>
      </c>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c r="AJ119" s="23" t="s">
        <v>293</v>
      </c>
    </row>
    <row r="120" spans="2:36" s="1" customFormat="1" x14ac:dyDescent="0.25">
      <c r="B120" t="s">
        <v>136</v>
      </c>
      <c r="C120" t="s">
        <v>169</v>
      </c>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c r="AJ120" s="23" t="s">
        <v>293</v>
      </c>
    </row>
    <row r="121" spans="2:36" s="1" customFormat="1" x14ac:dyDescent="0.25">
      <c r="B121" t="s">
        <v>154</v>
      </c>
      <c r="C121" t="s">
        <v>170</v>
      </c>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c r="AJ121" s="23" t="s">
        <v>293</v>
      </c>
    </row>
    <row r="122" spans="2:36" s="1" customFormat="1" x14ac:dyDescent="0.25">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row>
    <row r="123" spans="2:36" s="1" customFormat="1" ht="17.25" thickBot="1" x14ac:dyDescent="0.3">
      <c r="B123" s="19" t="s">
        <v>146</v>
      </c>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row>
    <row r="124" spans="2:36" s="1" customFormat="1" ht="16.5" thickTop="1" thickBot="1" x14ac:dyDescent="0.3">
      <c r="B124" s="20" t="s">
        <v>292</v>
      </c>
      <c r="C124" s="20" t="s">
        <v>13</v>
      </c>
      <c r="D124" s="20" t="s">
        <v>17</v>
      </c>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t="s">
        <v>15</v>
      </c>
    </row>
    <row r="125" spans="2:36" x14ac:dyDescent="0.25">
      <c r="D125">
        <v>2025</v>
      </c>
      <c r="E125">
        <v>2026</v>
      </c>
      <c r="F125">
        <v>2027</v>
      </c>
      <c r="G125">
        <v>2028</v>
      </c>
      <c r="H125">
        <v>2029</v>
      </c>
      <c r="I125">
        <v>2030</v>
      </c>
      <c r="J125">
        <v>2031</v>
      </c>
      <c r="K125">
        <v>2032</v>
      </c>
      <c r="L125">
        <v>2033</v>
      </c>
      <c r="M125">
        <v>2034</v>
      </c>
      <c r="N125">
        <v>2035</v>
      </c>
      <c r="O125">
        <v>2036</v>
      </c>
      <c r="P125">
        <v>2037</v>
      </c>
      <c r="Q125">
        <v>2038</v>
      </c>
      <c r="R125">
        <v>2039</v>
      </c>
      <c r="S125">
        <v>2040</v>
      </c>
      <c r="T125">
        <v>2041</v>
      </c>
      <c r="U125">
        <v>2042</v>
      </c>
      <c r="V125">
        <v>2043</v>
      </c>
      <c r="W125">
        <v>2044</v>
      </c>
      <c r="X125">
        <v>2045</v>
      </c>
      <c r="Y125">
        <v>2046</v>
      </c>
      <c r="Z125">
        <v>2047</v>
      </c>
      <c r="AA125">
        <v>2048</v>
      </c>
      <c r="AB125">
        <v>2049</v>
      </c>
      <c r="AC125">
        <v>2050</v>
      </c>
      <c r="AD125">
        <v>2051</v>
      </c>
      <c r="AE125">
        <v>2052</v>
      </c>
      <c r="AF125">
        <v>2053</v>
      </c>
      <c r="AG125">
        <v>2054</v>
      </c>
      <c r="AH125">
        <v>2055</v>
      </c>
    </row>
    <row r="126" spans="2:36" s="1" customFormat="1" x14ac:dyDescent="0.25">
      <c r="B126" t="s">
        <v>141</v>
      </c>
      <c r="C126" t="s">
        <v>109</v>
      </c>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c r="AJ126" s="23" t="s">
        <v>293</v>
      </c>
    </row>
    <row r="127" spans="2:36" s="1" customFormat="1" x14ac:dyDescent="0.25">
      <c r="B127" t="s">
        <v>136</v>
      </c>
      <c r="C127" t="s">
        <v>169</v>
      </c>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c r="AJ127" s="23" t="s">
        <v>293</v>
      </c>
    </row>
    <row r="128" spans="2:36" s="1" customFormat="1" x14ac:dyDescent="0.25">
      <c r="B128" t="s">
        <v>154</v>
      </c>
      <c r="C128" t="s">
        <v>170</v>
      </c>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c r="AJ128" s="23" t="s">
        <v>293</v>
      </c>
    </row>
    <row r="129" spans="2:36" s="1" customFormat="1" x14ac:dyDescent="0.25">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row>
    <row r="130" spans="2:36" s="1" customFormat="1" ht="17.25" thickBot="1" x14ac:dyDescent="0.3">
      <c r="B130" s="19" t="s">
        <v>147</v>
      </c>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row>
    <row r="131" spans="2:36" s="1" customFormat="1" ht="16.5" thickTop="1" thickBot="1" x14ac:dyDescent="0.3">
      <c r="B131" s="20" t="s">
        <v>292</v>
      </c>
      <c r="C131" s="20" t="s">
        <v>13</v>
      </c>
      <c r="D131" s="20" t="s">
        <v>17</v>
      </c>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t="s">
        <v>15</v>
      </c>
    </row>
    <row r="132" spans="2:36" x14ac:dyDescent="0.25">
      <c r="D132">
        <v>2025</v>
      </c>
      <c r="E132">
        <v>2026</v>
      </c>
      <c r="F132">
        <v>2027</v>
      </c>
      <c r="G132">
        <v>2028</v>
      </c>
      <c r="H132">
        <v>2029</v>
      </c>
      <c r="I132">
        <v>2030</v>
      </c>
      <c r="J132">
        <v>2031</v>
      </c>
      <c r="K132">
        <v>2032</v>
      </c>
      <c r="L132">
        <v>2033</v>
      </c>
      <c r="M132">
        <v>2034</v>
      </c>
      <c r="N132">
        <v>2035</v>
      </c>
      <c r="O132">
        <v>2036</v>
      </c>
      <c r="P132">
        <v>2037</v>
      </c>
      <c r="Q132">
        <v>2038</v>
      </c>
      <c r="R132">
        <v>2039</v>
      </c>
      <c r="S132">
        <v>2040</v>
      </c>
      <c r="T132">
        <v>2041</v>
      </c>
      <c r="U132">
        <v>2042</v>
      </c>
      <c r="V132">
        <v>2043</v>
      </c>
      <c r="W132">
        <v>2044</v>
      </c>
      <c r="X132">
        <v>2045</v>
      </c>
      <c r="Y132">
        <v>2046</v>
      </c>
      <c r="Z132">
        <v>2047</v>
      </c>
      <c r="AA132">
        <v>2048</v>
      </c>
      <c r="AB132">
        <v>2049</v>
      </c>
      <c r="AC132">
        <v>2050</v>
      </c>
      <c r="AD132">
        <v>2051</v>
      </c>
      <c r="AE132">
        <v>2052</v>
      </c>
      <c r="AF132">
        <v>2053</v>
      </c>
      <c r="AG132">
        <v>2054</v>
      </c>
      <c r="AH132">
        <v>2055</v>
      </c>
    </row>
    <row r="133" spans="2:36" s="1" customFormat="1" x14ac:dyDescent="0.25">
      <c r="B133" t="s">
        <v>141</v>
      </c>
      <c r="C133" t="s">
        <v>109</v>
      </c>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c r="AJ133" s="23" t="s">
        <v>293</v>
      </c>
    </row>
    <row r="134" spans="2:36" s="1" customFormat="1" x14ac:dyDescent="0.25">
      <c r="B134" t="s">
        <v>136</v>
      </c>
      <c r="C134" t="s">
        <v>169</v>
      </c>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c r="AJ134" s="23" t="s">
        <v>293</v>
      </c>
    </row>
    <row r="135" spans="2:36" s="1" customFormat="1" x14ac:dyDescent="0.25">
      <c r="B135" t="s">
        <v>154</v>
      </c>
      <c r="C135" t="s">
        <v>170</v>
      </c>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c r="AJ135" s="23" t="s">
        <v>293</v>
      </c>
    </row>
    <row r="136" spans="2:36" s="1" customFormat="1" x14ac:dyDescent="0.25">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row>
    <row r="137" spans="2:36" s="1" customFormat="1" ht="17.25" thickBot="1" x14ac:dyDescent="0.3">
      <c r="B137" s="19" t="s">
        <v>148</v>
      </c>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row>
    <row r="138" spans="2:36" s="1" customFormat="1" ht="16.5" thickTop="1" thickBot="1" x14ac:dyDescent="0.3">
      <c r="B138" s="20" t="s">
        <v>292</v>
      </c>
      <c r="C138" s="20" t="s">
        <v>13</v>
      </c>
      <c r="D138" s="20" t="s">
        <v>17</v>
      </c>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t="s">
        <v>15</v>
      </c>
    </row>
    <row r="139" spans="2:36" x14ac:dyDescent="0.25">
      <c r="D139">
        <v>2025</v>
      </c>
      <c r="E139">
        <v>2026</v>
      </c>
      <c r="F139">
        <v>2027</v>
      </c>
      <c r="G139">
        <v>2028</v>
      </c>
      <c r="H139">
        <v>2029</v>
      </c>
      <c r="I139">
        <v>2030</v>
      </c>
      <c r="J139">
        <v>2031</v>
      </c>
      <c r="K139">
        <v>2032</v>
      </c>
      <c r="L139">
        <v>2033</v>
      </c>
      <c r="M139">
        <v>2034</v>
      </c>
      <c r="N139">
        <v>2035</v>
      </c>
      <c r="O139">
        <v>2036</v>
      </c>
      <c r="P139">
        <v>2037</v>
      </c>
      <c r="Q139">
        <v>2038</v>
      </c>
      <c r="R139">
        <v>2039</v>
      </c>
      <c r="S139">
        <v>2040</v>
      </c>
      <c r="T139">
        <v>2041</v>
      </c>
      <c r="U139">
        <v>2042</v>
      </c>
      <c r="V139">
        <v>2043</v>
      </c>
      <c r="W139">
        <v>2044</v>
      </c>
      <c r="X139">
        <v>2045</v>
      </c>
      <c r="Y139">
        <v>2046</v>
      </c>
      <c r="Z139">
        <v>2047</v>
      </c>
      <c r="AA139">
        <v>2048</v>
      </c>
      <c r="AB139">
        <v>2049</v>
      </c>
      <c r="AC139">
        <v>2050</v>
      </c>
      <c r="AD139">
        <v>2051</v>
      </c>
      <c r="AE139">
        <v>2052</v>
      </c>
      <c r="AF139">
        <v>2053</v>
      </c>
      <c r="AG139">
        <v>2054</v>
      </c>
      <c r="AH139">
        <v>2055</v>
      </c>
    </row>
    <row r="140" spans="2:36" s="1" customFormat="1" x14ac:dyDescent="0.25">
      <c r="B140" t="s">
        <v>141</v>
      </c>
      <c r="C140" t="s">
        <v>109</v>
      </c>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c r="AJ140" s="23" t="s">
        <v>293</v>
      </c>
    </row>
    <row r="141" spans="2:36" s="1" customFormat="1" x14ac:dyDescent="0.25">
      <c r="B141" t="s">
        <v>136</v>
      </c>
      <c r="C141" t="s">
        <v>169</v>
      </c>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c r="AJ141" s="23" t="s">
        <v>293</v>
      </c>
    </row>
    <row r="142" spans="2:36" s="1" customFormat="1" x14ac:dyDescent="0.25">
      <c r="B142" t="s">
        <v>154</v>
      </c>
      <c r="C142" t="s">
        <v>170</v>
      </c>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c r="AJ142" s="23" t="s">
        <v>293</v>
      </c>
    </row>
    <row r="143" spans="2:36" s="1" customFormat="1" x14ac:dyDescent="0.25">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row>
    <row r="144" spans="2:36" s="1" customFormat="1" ht="17.25" thickBot="1" x14ac:dyDescent="0.3">
      <c r="B144" s="19" t="s">
        <v>224</v>
      </c>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row>
    <row r="145" spans="2:36" s="1" customFormat="1" ht="16.5" thickTop="1" thickBot="1" x14ac:dyDescent="0.3">
      <c r="B145" s="20" t="s">
        <v>292</v>
      </c>
      <c r="C145" s="20" t="s">
        <v>13</v>
      </c>
      <c r="D145" s="20" t="s">
        <v>17</v>
      </c>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t="s">
        <v>15</v>
      </c>
    </row>
    <row r="146" spans="2:36" x14ac:dyDescent="0.25">
      <c r="D146">
        <v>2025</v>
      </c>
      <c r="E146">
        <v>2026</v>
      </c>
      <c r="F146">
        <v>2027</v>
      </c>
      <c r="G146">
        <v>2028</v>
      </c>
      <c r="H146">
        <v>2029</v>
      </c>
      <c r="I146">
        <v>2030</v>
      </c>
      <c r="J146">
        <v>2031</v>
      </c>
      <c r="K146">
        <v>2032</v>
      </c>
      <c r="L146">
        <v>2033</v>
      </c>
      <c r="M146">
        <v>2034</v>
      </c>
      <c r="N146">
        <v>2035</v>
      </c>
      <c r="O146">
        <v>2036</v>
      </c>
      <c r="P146">
        <v>2037</v>
      </c>
      <c r="Q146">
        <v>2038</v>
      </c>
      <c r="R146">
        <v>2039</v>
      </c>
      <c r="S146">
        <v>2040</v>
      </c>
      <c r="T146">
        <v>2041</v>
      </c>
      <c r="U146">
        <v>2042</v>
      </c>
      <c r="V146">
        <v>2043</v>
      </c>
      <c r="W146">
        <v>2044</v>
      </c>
      <c r="X146">
        <v>2045</v>
      </c>
      <c r="Y146">
        <v>2046</v>
      </c>
      <c r="Z146">
        <v>2047</v>
      </c>
      <c r="AA146">
        <v>2048</v>
      </c>
      <c r="AB146">
        <v>2049</v>
      </c>
      <c r="AC146">
        <v>2050</v>
      </c>
      <c r="AD146">
        <v>2051</v>
      </c>
      <c r="AE146">
        <v>2052</v>
      </c>
      <c r="AF146">
        <v>2053</v>
      </c>
      <c r="AG146">
        <v>2054</v>
      </c>
      <c r="AH146">
        <v>2055</v>
      </c>
    </row>
    <row r="147" spans="2:36" s="1" customFormat="1" x14ac:dyDescent="0.25">
      <c r="B147" t="s">
        <v>141</v>
      </c>
      <c r="C147" t="s">
        <v>109</v>
      </c>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c r="AJ147" s="23" t="s">
        <v>304</v>
      </c>
    </row>
    <row r="148" spans="2:36" s="1" customFormat="1" x14ac:dyDescent="0.25">
      <c r="B148" t="s">
        <v>136</v>
      </c>
      <c r="C148" t="s">
        <v>169</v>
      </c>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c r="AJ148" s="23" t="s">
        <v>304</v>
      </c>
    </row>
    <row r="149" spans="2:36" s="1" customFormat="1" x14ac:dyDescent="0.25">
      <c r="B149" t="s">
        <v>154</v>
      </c>
      <c r="C149" t="s">
        <v>170</v>
      </c>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c r="AJ149" s="23" t="s">
        <v>304</v>
      </c>
    </row>
    <row r="150" spans="2:36" s="1" customFormat="1" x14ac:dyDescent="0.25">
      <c r="B150" s="3"/>
      <c r="C150" s="3"/>
    </row>
    <row r="151" spans="2:36" s="1" customFormat="1" x14ac:dyDescent="0.25"/>
    <row r="152" spans="2:36" s="1" customFormat="1" ht="20.25" thickBot="1" x14ac:dyDescent="0.35">
      <c r="B152" s="18" t="s">
        <v>285</v>
      </c>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row>
    <row r="153" spans="2:36" s="1" customFormat="1" ht="18" thickTop="1" thickBot="1" x14ac:dyDescent="0.3">
      <c r="B153" s="19" t="s">
        <v>224</v>
      </c>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row>
    <row r="154" spans="2:36" s="1" customFormat="1" ht="16.5" thickTop="1" thickBot="1" x14ac:dyDescent="0.3">
      <c r="B154" s="20" t="s">
        <v>292</v>
      </c>
      <c r="C154" s="20" t="s">
        <v>13</v>
      </c>
      <c r="D154" s="20" t="s">
        <v>17</v>
      </c>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t="s">
        <v>15</v>
      </c>
    </row>
    <row r="155" spans="2:36" x14ac:dyDescent="0.25">
      <c r="D155">
        <v>2025</v>
      </c>
      <c r="E155">
        <v>2026</v>
      </c>
      <c r="F155">
        <v>2027</v>
      </c>
      <c r="G155">
        <v>2028</v>
      </c>
      <c r="H155">
        <v>2029</v>
      </c>
      <c r="I155">
        <v>2030</v>
      </c>
      <c r="J155">
        <v>2031</v>
      </c>
      <c r="K155">
        <v>2032</v>
      </c>
      <c r="L155">
        <v>2033</v>
      </c>
      <c r="M155">
        <v>2034</v>
      </c>
      <c r="N155">
        <v>2035</v>
      </c>
      <c r="O155">
        <v>2036</v>
      </c>
      <c r="P155">
        <v>2037</v>
      </c>
      <c r="Q155">
        <v>2038</v>
      </c>
      <c r="R155">
        <v>2039</v>
      </c>
      <c r="S155">
        <v>2040</v>
      </c>
      <c r="T155">
        <v>2041</v>
      </c>
      <c r="U155">
        <v>2042</v>
      </c>
      <c r="V155">
        <v>2043</v>
      </c>
      <c r="W155">
        <v>2044</v>
      </c>
      <c r="X155">
        <v>2045</v>
      </c>
      <c r="Y155">
        <v>2046</v>
      </c>
      <c r="Z155">
        <v>2047</v>
      </c>
      <c r="AA155">
        <v>2048</v>
      </c>
      <c r="AB155">
        <v>2049</v>
      </c>
      <c r="AC155">
        <v>2050</v>
      </c>
      <c r="AD155">
        <v>2051</v>
      </c>
      <c r="AE155">
        <v>2052</v>
      </c>
      <c r="AF155">
        <v>2053</v>
      </c>
      <c r="AG155">
        <v>2054</v>
      </c>
      <c r="AH155">
        <v>2055</v>
      </c>
    </row>
    <row r="156" spans="2:36" s="1" customFormat="1" x14ac:dyDescent="0.25">
      <c r="B156" t="s">
        <v>141</v>
      </c>
      <c r="C156" t="s">
        <v>109</v>
      </c>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c r="AJ156" s="23" t="s">
        <v>293</v>
      </c>
    </row>
    <row r="157" spans="2:36" s="1" customFormat="1" x14ac:dyDescent="0.25">
      <c r="B157" t="s">
        <v>136</v>
      </c>
      <c r="C157" t="s">
        <v>169</v>
      </c>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c r="AJ157" s="23" t="s">
        <v>293</v>
      </c>
    </row>
    <row r="158" spans="2:36" s="1" customFormat="1" x14ac:dyDescent="0.25">
      <c r="B158" t="s">
        <v>154</v>
      </c>
      <c r="C158" t="s">
        <v>170</v>
      </c>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c r="AJ158" s="23" t="s">
        <v>293</v>
      </c>
    </row>
    <row r="161" spans="2:36" s="1" customFormat="1" ht="20.25" thickBot="1" x14ac:dyDescent="0.35">
      <c r="B161" s="18" t="s">
        <v>298</v>
      </c>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row>
    <row r="162" spans="2:36" s="1" customFormat="1" ht="18" thickTop="1" thickBot="1" x14ac:dyDescent="0.3">
      <c r="B162" s="19" t="s">
        <v>144</v>
      </c>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row>
    <row r="163" spans="2:36" s="1" customFormat="1" ht="16.5" thickTop="1" thickBot="1" x14ac:dyDescent="0.3">
      <c r="B163" s="20" t="s">
        <v>292</v>
      </c>
      <c r="C163" s="20" t="s">
        <v>13</v>
      </c>
      <c r="D163" s="20" t="s">
        <v>17</v>
      </c>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t="s">
        <v>15</v>
      </c>
    </row>
    <row r="164" spans="2:36" x14ac:dyDescent="0.25">
      <c r="D164">
        <v>2025</v>
      </c>
      <c r="E164">
        <v>2026</v>
      </c>
      <c r="F164">
        <v>2027</v>
      </c>
      <c r="G164">
        <v>2028</v>
      </c>
      <c r="H164">
        <v>2029</v>
      </c>
      <c r="I164">
        <v>2030</v>
      </c>
      <c r="J164">
        <v>2031</v>
      </c>
      <c r="K164">
        <v>2032</v>
      </c>
      <c r="L164">
        <v>2033</v>
      </c>
      <c r="M164">
        <v>2034</v>
      </c>
      <c r="N164">
        <v>2035</v>
      </c>
      <c r="O164">
        <v>2036</v>
      </c>
      <c r="P164">
        <v>2037</v>
      </c>
      <c r="Q164">
        <v>2038</v>
      </c>
      <c r="R164">
        <v>2039</v>
      </c>
      <c r="S164">
        <v>2040</v>
      </c>
      <c r="T164">
        <v>2041</v>
      </c>
      <c r="U164">
        <v>2042</v>
      </c>
      <c r="V164">
        <v>2043</v>
      </c>
      <c r="W164">
        <v>2044</v>
      </c>
      <c r="X164">
        <v>2045</v>
      </c>
      <c r="Y164">
        <v>2046</v>
      </c>
      <c r="Z164">
        <v>2047</v>
      </c>
      <c r="AA164">
        <v>2048</v>
      </c>
      <c r="AB164">
        <v>2049</v>
      </c>
      <c r="AC164">
        <v>2050</v>
      </c>
      <c r="AD164">
        <v>2051</v>
      </c>
      <c r="AE164">
        <v>2052</v>
      </c>
      <c r="AF164">
        <v>2053</v>
      </c>
      <c r="AG164">
        <v>2054</v>
      </c>
      <c r="AH164">
        <v>2055</v>
      </c>
    </row>
    <row r="165" spans="2:36" s="1" customFormat="1" x14ac:dyDescent="0.25">
      <c r="B165" t="s">
        <v>141</v>
      </c>
      <c r="C165" t="s">
        <v>109</v>
      </c>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c r="AJ165" s="23" t="s">
        <v>293</v>
      </c>
    </row>
    <row r="166" spans="2:36" s="1" customFormat="1" x14ac:dyDescent="0.25">
      <c r="B166" t="s">
        <v>136</v>
      </c>
      <c r="C166" t="s">
        <v>169</v>
      </c>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c r="AJ166" s="23" t="s">
        <v>293</v>
      </c>
    </row>
    <row r="167" spans="2:36" s="1" customFormat="1" x14ac:dyDescent="0.25">
      <c r="B167" t="s">
        <v>154</v>
      </c>
      <c r="C167" t="s">
        <v>170</v>
      </c>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c r="AJ167" s="23" t="s">
        <v>293</v>
      </c>
    </row>
    <row r="168" spans="2:36" s="1" customFormat="1" x14ac:dyDescent="0.25">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row>
    <row r="169" spans="2:36" s="1" customFormat="1" ht="17.25" thickBot="1" x14ac:dyDescent="0.3">
      <c r="B169" s="19" t="s">
        <v>145</v>
      </c>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row>
    <row r="170" spans="2:36" s="1" customFormat="1" ht="16.5" thickTop="1" thickBot="1" x14ac:dyDescent="0.3">
      <c r="B170" s="20" t="s">
        <v>292</v>
      </c>
      <c r="C170" s="20" t="s">
        <v>13</v>
      </c>
      <c r="D170" s="20" t="s">
        <v>17</v>
      </c>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t="s">
        <v>15</v>
      </c>
    </row>
    <row r="171" spans="2:36" x14ac:dyDescent="0.25">
      <c r="D171">
        <v>2025</v>
      </c>
      <c r="E171">
        <v>2026</v>
      </c>
      <c r="F171">
        <v>2027</v>
      </c>
      <c r="G171">
        <v>2028</v>
      </c>
      <c r="H171">
        <v>2029</v>
      </c>
      <c r="I171">
        <v>2030</v>
      </c>
      <c r="J171">
        <v>2031</v>
      </c>
      <c r="K171">
        <v>2032</v>
      </c>
      <c r="L171">
        <v>2033</v>
      </c>
      <c r="M171">
        <v>2034</v>
      </c>
      <c r="N171">
        <v>2035</v>
      </c>
      <c r="O171">
        <v>2036</v>
      </c>
      <c r="P171">
        <v>2037</v>
      </c>
      <c r="Q171">
        <v>2038</v>
      </c>
      <c r="R171">
        <v>2039</v>
      </c>
      <c r="S171">
        <v>2040</v>
      </c>
      <c r="T171">
        <v>2041</v>
      </c>
      <c r="U171">
        <v>2042</v>
      </c>
      <c r="V171">
        <v>2043</v>
      </c>
      <c r="W171">
        <v>2044</v>
      </c>
      <c r="X171">
        <v>2045</v>
      </c>
      <c r="Y171">
        <v>2046</v>
      </c>
      <c r="Z171">
        <v>2047</v>
      </c>
      <c r="AA171">
        <v>2048</v>
      </c>
      <c r="AB171">
        <v>2049</v>
      </c>
      <c r="AC171">
        <v>2050</v>
      </c>
      <c r="AD171">
        <v>2051</v>
      </c>
      <c r="AE171">
        <v>2052</v>
      </c>
      <c r="AF171">
        <v>2053</v>
      </c>
      <c r="AG171">
        <v>2054</v>
      </c>
      <c r="AH171">
        <v>2055</v>
      </c>
    </row>
    <row r="172" spans="2:36" s="1" customFormat="1" x14ac:dyDescent="0.25">
      <c r="B172" t="s">
        <v>141</v>
      </c>
      <c r="C172" t="s">
        <v>109</v>
      </c>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c r="AJ172" s="23" t="s">
        <v>293</v>
      </c>
    </row>
    <row r="173" spans="2:36" s="1" customFormat="1" x14ac:dyDescent="0.25">
      <c r="B173" t="s">
        <v>136</v>
      </c>
      <c r="C173" t="s">
        <v>169</v>
      </c>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c r="AJ173" s="23" t="s">
        <v>293</v>
      </c>
    </row>
    <row r="174" spans="2:36" s="1" customFormat="1" x14ac:dyDescent="0.25">
      <c r="B174" t="s">
        <v>154</v>
      </c>
      <c r="C174" t="s">
        <v>170</v>
      </c>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c r="AJ174" s="23" t="s">
        <v>293</v>
      </c>
    </row>
    <row r="175" spans="2:36" s="1" customFormat="1" x14ac:dyDescent="0.2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row>
    <row r="176" spans="2:36" s="1" customFormat="1" ht="17.25" thickBot="1" x14ac:dyDescent="0.3">
      <c r="B176" s="19" t="s">
        <v>146</v>
      </c>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row>
    <row r="177" spans="2:36" s="1" customFormat="1" ht="16.5" thickTop="1" thickBot="1" x14ac:dyDescent="0.3">
      <c r="B177" s="20" t="s">
        <v>292</v>
      </c>
      <c r="C177" s="20" t="s">
        <v>13</v>
      </c>
      <c r="D177" s="20" t="s">
        <v>17</v>
      </c>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t="s">
        <v>15</v>
      </c>
    </row>
    <row r="178" spans="2:36" x14ac:dyDescent="0.25">
      <c r="D178">
        <v>2025</v>
      </c>
      <c r="E178">
        <v>2026</v>
      </c>
      <c r="F178">
        <v>2027</v>
      </c>
      <c r="G178">
        <v>2028</v>
      </c>
      <c r="H178">
        <v>2029</v>
      </c>
      <c r="I178">
        <v>2030</v>
      </c>
      <c r="J178">
        <v>2031</v>
      </c>
      <c r="K178">
        <v>2032</v>
      </c>
      <c r="L178">
        <v>2033</v>
      </c>
      <c r="M178">
        <v>2034</v>
      </c>
      <c r="N178">
        <v>2035</v>
      </c>
      <c r="O178">
        <v>2036</v>
      </c>
      <c r="P178">
        <v>2037</v>
      </c>
      <c r="Q178">
        <v>2038</v>
      </c>
      <c r="R178">
        <v>2039</v>
      </c>
      <c r="S178">
        <v>2040</v>
      </c>
      <c r="T178">
        <v>2041</v>
      </c>
      <c r="U178">
        <v>2042</v>
      </c>
      <c r="V178">
        <v>2043</v>
      </c>
      <c r="W178">
        <v>2044</v>
      </c>
      <c r="X178">
        <v>2045</v>
      </c>
      <c r="Y178">
        <v>2046</v>
      </c>
      <c r="Z178">
        <v>2047</v>
      </c>
      <c r="AA178">
        <v>2048</v>
      </c>
      <c r="AB178">
        <v>2049</v>
      </c>
      <c r="AC178">
        <v>2050</v>
      </c>
      <c r="AD178">
        <v>2051</v>
      </c>
      <c r="AE178">
        <v>2052</v>
      </c>
      <c r="AF178">
        <v>2053</v>
      </c>
      <c r="AG178">
        <v>2054</v>
      </c>
      <c r="AH178">
        <v>2055</v>
      </c>
    </row>
    <row r="179" spans="2:36" s="1" customFormat="1" x14ac:dyDescent="0.25">
      <c r="B179" t="s">
        <v>141</v>
      </c>
      <c r="C179" t="s">
        <v>109</v>
      </c>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c r="AJ179" s="23" t="s">
        <v>293</v>
      </c>
    </row>
    <row r="180" spans="2:36" s="1" customFormat="1" x14ac:dyDescent="0.25">
      <c r="B180" t="s">
        <v>136</v>
      </c>
      <c r="C180" t="s">
        <v>169</v>
      </c>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c r="AJ180" s="23" t="s">
        <v>293</v>
      </c>
    </row>
    <row r="181" spans="2:36" s="1" customFormat="1" x14ac:dyDescent="0.25">
      <c r="B181" t="s">
        <v>154</v>
      </c>
      <c r="C181" t="s">
        <v>170</v>
      </c>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c r="AJ181" s="23" t="s">
        <v>293</v>
      </c>
    </row>
    <row r="182" spans="2:36" s="1" customFormat="1" x14ac:dyDescent="0.25">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row>
    <row r="183" spans="2:36" s="1" customFormat="1" ht="17.25" thickBot="1" x14ac:dyDescent="0.3">
      <c r="B183" s="19" t="s">
        <v>147</v>
      </c>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row>
    <row r="184" spans="2:36" s="1" customFormat="1" ht="16.5" thickTop="1" thickBot="1" x14ac:dyDescent="0.3">
      <c r="B184" s="20" t="s">
        <v>292</v>
      </c>
      <c r="C184" s="20" t="s">
        <v>13</v>
      </c>
      <c r="D184" s="20" t="s">
        <v>17</v>
      </c>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t="s">
        <v>15</v>
      </c>
    </row>
    <row r="185" spans="2:36" x14ac:dyDescent="0.25">
      <c r="D185">
        <v>2025</v>
      </c>
      <c r="E185">
        <v>2026</v>
      </c>
      <c r="F185">
        <v>2027</v>
      </c>
      <c r="G185">
        <v>2028</v>
      </c>
      <c r="H185">
        <v>2029</v>
      </c>
      <c r="I185">
        <v>2030</v>
      </c>
      <c r="J185">
        <v>2031</v>
      </c>
      <c r="K185">
        <v>2032</v>
      </c>
      <c r="L185">
        <v>2033</v>
      </c>
      <c r="M185">
        <v>2034</v>
      </c>
      <c r="N185">
        <v>2035</v>
      </c>
      <c r="O185">
        <v>2036</v>
      </c>
      <c r="P185">
        <v>2037</v>
      </c>
      <c r="Q185">
        <v>2038</v>
      </c>
      <c r="R185">
        <v>2039</v>
      </c>
      <c r="S185">
        <v>2040</v>
      </c>
      <c r="T185">
        <v>2041</v>
      </c>
      <c r="U185">
        <v>2042</v>
      </c>
      <c r="V185">
        <v>2043</v>
      </c>
      <c r="W185">
        <v>2044</v>
      </c>
      <c r="X185">
        <v>2045</v>
      </c>
      <c r="Y185">
        <v>2046</v>
      </c>
      <c r="Z185">
        <v>2047</v>
      </c>
      <c r="AA185">
        <v>2048</v>
      </c>
      <c r="AB185">
        <v>2049</v>
      </c>
      <c r="AC185">
        <v>2050</v>
      </c>
      <c r="AD185">
        <v>2051</v>
      </c>
      <c r="AE185">
        <v>2052</v>
      </c>
      <c r="AF185">
        <v>2053</v>
      </c>
      <c r="AG185">
        <v>2054</v>
      </c>
      <c r="AH185">
        <v>2055</v>
      </c>
    </row>
    <row r="186" spans="2:36" s="1" customFormat="1" x14ac:dyDescent="0.25">
      <c r="B186" t="s">
        <v>141</v>
      </c>
      <c r="C186" t="s">
        <v>109</v>
      </c>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c r="AJ186" s="23" t="s">
        <v>293</v>
      </c>
    </row>
    <row r="187" spans="2:36" s="1" customFormat="1" x14ac:dyDescent="0.25">
      <c r="B187" t="s">
        <v>136</v>
      </c>
      <c r="C187" t="s">
        <v>169</v>
      </c>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c r="AJ187" s="23" t="s">
        <v>293</v>
      </c>
    </row>
    <row r="188" spans="2:36" s="1" customFormat="1" x14ac:dyDescent="0.25">
      <c r="B188" t="s">
        <v>154</v>
      </c>
      <c r="C188" t="s">
        <v>170</v>
      </c>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c r="AJ188" s="23" t="s">
        <v>293</v>
      </c>
    </row>
    <row r="189" spans="2:36" s="1" customFormat="1" x14ac:dyDescent="0.25">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row>
    <row r="190" spans="2:36" s="1" customFormat="1" ht="17.25" thickBot="1" x14ac:dyDescent="0.3">
      <c r="B190" s="19" t="s">
        <v>148</v>
      </c>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row>
    <row r="191" spans="2:36" s="1" customFormat="1" ht="16.5" thickTop="1" thickBot="1" x14ac:dyDescent="0.3">
      <c r="B191" s="20" t="s">
        <v>292</v>
      </c>
      <c r="C191" s="20" t="s">
        <v>13</v>
      </c>
      <c r="D191" s="20" t="s">
        <v>17</v>
      </c>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t="s">
        <v>15</v>
      </c>
    </row>
    <row r="192" spans="2:36" x14ac:dyDescent="0.25">
      <c r="D192">
        <v>2025</v>
      </c>
      <c r="E192">
        <v>2026</v>
      </c>
      <c r="F192">
        <v>2027</v>
      </c>
      <c r="G192">
        <v>2028</v>
      </c>
      <c r="H192">
        <v>2029</v>
      </c>
      <c r="I192">
        <v>2030</v>
      </c>
      <c r="J192">
        <v>2031</v>
      </c>
      <c r="K192">
        <v>2032</v>
      </c>
      <c r="L192">
        <v>2033</v>
      </c>
      <c r="M192">
        <v>2034</v>
      </c>
      <c r="N192">
        <v>2035</v>
      </c>
      <c r="O192">
        <v>2036</v>
      </c>
      <c r="P192">
        <v>2037</v>
      </c>
      <c r="Q192">
        <v>2038</v>
      </c>
      <c r="R192">
        <v>2039</v>
      </c>
      <c r="S192">
        <v>2040</v>
      </c>
      <c r="T192">
        <v>2041</v>
      </c>
      <c r="U192">
        <v>2042</v>
      </c>
      <c r="V192">
        <v>2043</v>
      </c>
      <c r="W192">
        <v>2044</v>
      </c>
      <c r="X192">
        <v>2045</v>
      </c>
      <c r="Y192">
        <v>2046</v>
      </c>
      <c r="Z192">
        <v>2047</v>
      </c>
      <c r="AA192">
        <v>2048</v>
      </c>
      <c r="AB192">
        <v>2049</v>
      </c>
      <c r="AC192">
        <v>2050</v>
      </c>
      <c r="AD192">
        <v>2051</v>
      </c>
      <c r="AE192">
        <v>2052</v>
      </c>
      <c r="AF192">
        <v>2053</v>
      </c>
      <c r="AG192">
        <v>2054</v>
      </c>
      <c r="AH192">
        <v>2055</v>
      </c>
    </row>
    <row r="193" spans="2:36" s="1" customFormat="1" x14ac:dyDescent="0.25">
      <c r="B193" t="s">
        <v>141</v>
      </c>
      <c r="C193" t="s">
        <v>109</v>
      </c>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c r="AJ193" s="23" t="s">
        <v>293</v>
      </c>
    </row>
    <row r="194" spans="2:36" s="1" customFormat="1" x14ac:dyDescent="0.25">
      <c r="B194" t="s">
        <v>136</v>
      </c>
      <c r="C194" t="s">
        <v>169</v>
      </c>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c r="AJ194" s="23" t="s">
        <v>293</v>
      </c>
    </row>
    <row r="195" spans="2:36" s="1" customFormat="1" x14ac:dyDescent="0.25">
      <c r="B195" t="s">
        <v>154</v>
      </c>
      <c r="C195" t="s">
        <v>170</v>
      </c>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c r="AJ195" s="23" t="s">
        <v>293</v>
      </c>
    </row>
    <row r="196" spans="2:36" s="1" customFormat="1" x14ac:dyDescent="0.25">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row>
    <row r="197" spans="2:36" s="1" customFormat="1" ht="17.25" thickBot="1" x14ac:dyDescent="0.3">
      <c r="B197" s="19" t="s">
        <v>224</v>
      </c>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row>
    <row r="198" spans="2:36" s="1" customFormat="1" ht="16.5" thickTop="1" thickBot="1" x14ac:dyDescent="0.3">
      <c r="B198" s="20" t="s">
        <v>292</v>
      </c>
      <c r="C198" s="20" t="s">
        <v>13</v>
      </c>
      <c r="D198" s="20" t="s">
        <v>17</v>
      </c>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t="s">
        <v>15</v>
      </c>
    </row>
    <row r="199" spans="2:36" x14ac:dyDescent="0.25">
      <c r="D199">
        <v>2025</v>
      </c>
      <c r="E199">
        <v>2026</v>
      </c>
      <c r="F199">
        <v>2027</v>
      </c>
      <c r="G199">
        <v>2028</v>
      </c>
      <c r="H199">
        <v>2029</v>
      </c>
      <c r="I199">
        <v>2030</v>
      </c>
      <c r="J199">
        <v>2031</v>
      </c>
      <c r="K199">
        <v>2032</v>
      </c>
      <c r="L199">
        <v>2033</v>
      </c>
      <c r="M199">
        <v>2034</v>
      </c>
      <c r="N199">
        <v>2035</v>
      </c>
      <c r="O199">
        <v>2036</v>
      </c>
      <c r="P199">
        <v>2037</v>
      </c>
      <c r="Q199">
        <v>2038</v>
      </c>
      <c r="R199">
        <v>2039</v>
      </c>
      <c r="S199">
        <v>2040</v>
      </c>
      <c r="T199">
        <v>2041</v>
      </c>
      <c r="U199">
        <v>2042</v>
      </c>
      <c r="V199">
        <v>2043</v>
      </c>
      <c r="W199">
        <v>2044</v>
      </c>
      <c r="X199">
        <v>2045</v>
      </c>
      <c r="Y199">
        <v>2046</v>
      </c>
      <c r="Z199">
        <v>2047</v>
      </c>
      <c r="AA199">
        <v>2048</v>
      </c>
      <c r="AB199">
        <v>2049</v>
      </c>
      <c r="AC199">
        <v>2050</v>
      </c>
      <c r="AD199">
        <v>2051</v>
      </c>
      <c r="AE199">
        <v>2052</v>
      </c>
      <c r="AF199">
        <v>2053</v>
      </c>
      <c r="AG199">
        <v>2054</v>
      </c>
      <c r="AH199">
        <v>2055</v>
      </c>
    </row>
    <row r="200" spans="2:36" s="1" customFormat="1" x14ac:dyDescent="0.25">
      <c r="B200" t="s">
        <v>141</v>
      </c>
      <c r="C200" t="s">
        <v>109</v>
      </c>
      <c r="D200" s="22">
        <f t="shared" ref="D200:AG200" si="4">SUM(D193,D186,D179,D172,D165)</f>
        <v>0</v>
      </c>
      <c r="E200" s="22">
        <f t="shared" si="4"/>
        <v>0</v>
      </c>
      <c r="F200" s="22">
        <f t="shared" si="4"/>
        <v>0</v>
      </c>
      <c r="G200" s="22">
        <f t="shared" si="4"/>
        <v>0</v>
      </c>
      <c r="H200" s="22">
        <f t="shared" si="4"/>
        <v>0</v>
      </c>
      <c r="I200" s="22">
        <f t="shared" si="4"/>
        <v>0</v>
      </c>
      <c r="J200" s="22">
        <f t="shared" si="4"/>
        <v>0</v>
      </c>
      <c r="K200" s="22">
        <f t="shared" si="4"/>
        <v>0</v>
      </c>
      <c r="L200" s="22">
        <f t="shared" si="4"/>
        <v>0</v>
      </c>
      <c r="M200" s="22">
        <f t="shared" si="4"/>
        <v>0</v>
      </c>
      <c r="N200" s="22">
        <f t="shared" si="4"/>
        <v>0</v>
      </c>
      <c r="O200" s="22">
        <f t="shared" si="4"/>
        <v>0</v>
      </c>
      <c r="P200" s="22">
        <f t="shared" si="4"/>
        <v>0</v>
      </c>
      <c r="Q200" s="22">
        <f t="shared" si="4"/>
        <v>0</v>
      </c>
      <c r="R200" s="22">
        <f t="shared" si="4"/>
        <v>0</v>
      </c>
      <c r="S200" s="22">
        <f t="shared" si="4"/>
        <v>0</v>
      </c>
      <c r="T200" s="22">
        <f t="shared" si="4"/>
        <v>0</v>
      </c>
      <c r="U200" s="22">
        <f t="shared" si="4"/>
        <v>0</v>
      </c>
      <c r="V200" s="22">
        <f t="shared" si="4"/>
        <v>0</v>
      </c>
      <c r="W200" s="22">
        <f t="shared" si="4"/>
        <v>0</v>
      </c>
      <c r="X200" s="22">
        <f t="shared" si="4"/>
        <v>0</v>
      </c>
      <c r="Y200" s="22">
        <f t="shared" si="4"/>
        <v>0</v>
      </c>
      <c r="Z200" s="22">
        <f t="shared" si="4"/>
        <v>0</v>
      </c>
      <c r="AA200" s="22">
        <f t="shared" si="4"/>
        <v>0</v>
      </c>
      <c r="AB200" s="22">
        <f t="shared" si="4"/>
        <v>0</v>
      </c>
      <c r="AC200" s="22">
        <f t="shared" si="4"/>
        <v>0</v>
      </c>
      <c r="AD200" s="22">
        <f t="shared" si="4"/>
        <v>0</v>
      </c>
      <c r="AE200" s="22">
        <f t="shared" si="4"/>
        <v>0</v>
      </c>
      <c r="AF200" s="22">
        <f t="shared" si="4"/>
        <v>0</v>
      </c>
      <c r="AG200" s="22">
        <f t="shared" si="4"/>
        <v>0</v>
      </c>
      <c r="AH200" s="22">
        <f t="shared" ref="AH200:AH202" si="5">SUM(AH193,AH186,AH179,AH172,AH165)</f>
        <v>0</v>
      </c>
      <c r="AI200"/>
      <c r="AJ200" s="23" t="s">
        <v>304</v>
      </c>
    </row>
    <row r="201" spans="2:36" s="1" customFormat="1" x14ac:dyDescent="0.25">
      <c r="B201" t="s">
        <v>136</v>
      </c>
      <c r="C201" t="s">
        <v>169</v>
      </c>
      <c r="D201" s="22">
        <f t="shared" ref="D201:AG201" si="6">SUM(D194,D187,D180,D173,D166)</f>
        <v>0</v>
      </c>
      <c r="E201" s="22">
        <f t="shared" si="6"/>
        <v>0</v>
      </c>
      <c r="F201" s="22">
        <f t="shared" si="6"/>
        <v>0</v>
      </c>
      <c r="G201" s="22">
        <f t="shared" si="6"/>
        <v>0</v>
      </c>
      <c r="H201" s="22">
        <f t="shared" si="6"/>
        <v>0</v>
      </c>
      <c r="I201" s="22">
        <f t="shared" si="6"/>
        <v>0</v>
      </c>
      <c r="J201" s="22">
        <f t="shared" si="6"/>
        <v>0</v>
      </c>
      <c r="K201" s="22">
        <f t="shared" si="6"/>
        <v>0</v>
      </c>
      <c r="L201" s="22">
        <f t="shared" si="6"/>
        <v>0</v>
      </c>
      <c r="M201" s="22">
        <f t="shared" si="6"/>
        <v>0</v>
      </c>
      <c r="N201" s="22">
        <f t="shared" si="6"/>
        <v>0</v>
      </c>
      <c r="O201" s="22">
        <f t="shared" si="6"/>
        <v>0</v>
      </c>
      <c r="P201" s="22">
        <f t="shared" si="6"/>
        <v>0</v>
      </c>
      <c r="Q201" s="22">
        <f t="shared" si="6"/>
        <v>0</v>
      </c>
      <c r="R201" s="22">
        <f t="shared" si="6"/>
        <v>0</v>
      </c>
      <c r="S201" s="22">
        <f t="shared" si="6"/>
        <v>0</v>
      </c>
      <c r="T201" s="22">
        <f t="shared" si="6"/>
        <v>0</v>
      </c>
      <c r="U201" s="22">
        <f t="shared" si="6"/>
        <v>0</v>
      </c>
      <c r="V201" s="22">
        <f t="shared" si="6"/>
        <v>0</v>
      </c>
      <c r="W201" s="22">
        <f t="shared" si="6"/>
        <v>0</v>
      </c>
      <c r="X201" s="22">
        <f t="shared" si="6"/>
        <v>0</v>
      </c>
      <c r="Y201" s="22">
        <f t="shared" si="6"/>
        <v>0</v>
      </c>
      <c r="Z201" s="22">
        <f t="shared" si="6"/>
        <v>0</v>
      </c>
      <c r="AA201" s="22">
        <f t="shared" si="6"/>
        <v>0</v>
      </c>
      <c r="AB201" s="22">
        <f t="shared" si="6"/>
        <v>0</v>
      </c>
      <c r="AC201" s="22">
        <f t="shared" si="6"/>
        <v>0</v>
      </c>
      <c r="AD201" s="22">
        <f t="shared" si="6"/>
        <v>0</v>
      </c>
      <c r="AE201" s="22">
        <f t="shared" si="6"/>
        <v>0</v>
      </c>
      <c r="AF201" s="22">
        <f t="shared" si="6"/>
        <v>0</v>
      </c>
      <c r="AG201" s="22">
        <f t="shared" si="6"/>
        <v>0</v>
      </c>
      <c r="AH201" s="22">
        <f t="shared" si="5"/>
        <v>0</v>
      </c>
      <c r="AI201"/>
      <c r="AJ201" s="23" t="s">
        <v>304</v>
      </c>
    </row>
    <row r="202" spans="2:36" s="1" customFormat="1" x14ac:dyDescent="0.25">
      <c r="B202" t="s">
        <v>154</v>
      </c>
      <c r="C202" t="s">
        <v>170</v>
      </c>
      <c r="D202" s="22">
        <f t="shared" ref="D202:AG202" si="7">SUM(D195,D188,D181,D174,D167)</f>
        <v>0</v>
      </c>
      <c r="E202" s="22">
        <f t="shared" si="7"/>
        <v>0</v>
      </c>
      <c r="F202" s="22">
        <f t="shared" si="7"/>
        <v>0</v>
      </c>
      <c r="G202" s="22">
        <f t="shared" si="7"/>
        <v>0</v>
      </c>
      <c r="H202" s="22">
        <f t="shared" si="7"/>
        <v>0</v>
      </c>
      <c r="I202" s="22">
        <f t="shared" si="7"/>
        <v>0</v>
      </c>
      <c r="J202" s="22">
        <f t="shared" si="7"/>
        <v>0</v>
      </c>
      <c r="K202" s="22">
        <f t="shared" si="7"/>
        <v>0</v>
      </c>
      <c r="L202" s="22">
        <f t="shared" si="7"/>
        <v>0</v>
      </c>
      <c r="M202" s="22">
        <f t="shared" si="7"/>
        <v>0</v>
      </c>
      <c r="N202" s="22">
        <f t="shared" si="7"/>
        <v>0</v>
      </c>
      <c r="O202" s="22">
        <f t="shared" si="7"/>
        <v>0</v>
      </c>
      <c r="P202" s="22">
        <f t="shared" si="7"/>
        <v>0</v>
      </c>
      <c r="Q202" s="22">
        <f t="shared" si="7"/>
        <v>0</v>
      </c>
      <c r="R202" s="22">
        <f t="shared" si="7"/>
        <v>0</v>
      </c>
      <c r="S202" s="22">
        <f t="shared" si="7"/>
        <v>0</v>
      </c>
      <c r="T202" s="22">
        <f t="shared" si="7"/>
        <v>0</v>
      </c>
      <c r="U202" s="22">
        <f t="shared" si="7"/>
        <v>0</v>
      </c>
      <c r="V202" s="22">
        <f t="shared" si="7"/>
        <v>0</v>
      </c>
      <c r="W202" s="22">
        <f t="shared" si="7"/>
        <v>0</v>
      </c>
      <c r="X202" s="22">
        <f t="shared" si="7"/>
        <v>0</v>
      </c>
      <c r="Y202" s="22">
        <f t="shared" si="7"/>
        <v>0</v>
      </c>
      <c r="Z202" s="22">
        <f t="shared" si="7"/>
        <v>0</v>
      </c>
      <c r="AA202" s="22">
        <f t="shared" si="7"/>
        <v>0</v>
      </c>
      <c r="AB202" s="22">
        <f t="shared" si="7"/>
        <v>0</v>
      </c>
      <c r="AC202" s="22">
        <f t="shared" si="7"/>
        <v>0</v>
      </c>
      <c r="AD202" s="22">
        <f t="shared" si="7"/>
        <v>0</v>
      </c>
      <c r="AE202" s="22">
        <f t="shared" si="7"/>
        <v>0</v>
      </c>
      <c r="AF202" s="22">
        <f t="shared" si="7"/>
        <v>0</v>
      </c>
      <c r="AG202" s="22">
        <f t="shared" si="7"/>
        <v>0</v>
      </c>
      <c r="AH202" s="22">
        <f t="shared" si="5"/>
        <v>0</v>
      </c>
      <c r="AI202"/>
      <c r="AJ202" s="23" t="s">
        <v>304</v>
      </c>
    </row>
    <row r="205" spans="2:36" s="1" customFormat="1" ht="20.25" thickBot="1" x14ac:dyDescent="0.35">
      <c r="B205" s="18" t="s">
        <v>299</v>
      </c>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row>
    <row r="206" spans="2:36" s="1" customFormat="1" ht="18" thickTop="1" thickBot="1" x14ac:dyDescent="0.3">
      <c r="B206" s="19" t="s">
        <v>144</v>
      </c>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row>
    <row r="207" spans="2:36" s="1" customFormat="1" ht="16.5" thickTop="1" thickBot="1" x14ac:dyDescent="0.3">
      <c r="B207" s="20" t="s">
        <v>292</v>
      </c>
      <c r="C207" s="20" t="s">
        <v>13</v>
      </c>
      <c r="D207" s="20" t="s">
        <v>17</v>
      </c>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t="s">
        <v>15</v>
      </c>
    </row>
    <row r="208" spans="2:36" x14ac:dyDescent="0.25">
      <c r="D208">
        <v>2025</v>
      </c>
      <c r="E208">
        <v>2026</v>
      </c>
      <c r="F208">
        <v>2027</v>
      </c>
      <c r="G208">
        <v>2028</v>
      </c>
      <c r="H208">
        <v>2029</v>
      </c>
      <c r="I208">
        <v>2030</v>
      </c>
      <c r="J208">
        <v>2031</v>
      </c>
      <c r="K208">
        <v>2032</v>
      </c>
      <c r="L208">
        <v>2033</v>
      </c>
      <c r="M208">
        <v>2034</v>
      </c>
      <c r="N208">
        <v>2035</v>
      </c>
      <c r="O208">
        <v>2036</v>
      </c>
      <c r="P208">
        <v>2037</v>
      </c>
      <c r="Q208">
        <v>2038</v>
      </c>
      <c r="R208">
        <v>2039</v>
      </c>
      <c r="S208">
        <v>2040</v>
      </c>
      <c r="T208">
        <v>2041</v>
      </c>
      <c r="U208">
        <v>2042</v>
      </c>
      <c r="V208">
        <v>2043</v>
      </c>
      <c r="W208">
        <v>2044</v>
      </c>
      <c r="X208">
        <v>2045</v>
      </c>
      <c r="Y208">
        <v>2046</v>
      </c>
      <c r="Z208">
        <v>2047</v>
      </c>
      <c r="AA208">
        <v>2048</v>
      </c>
      <c r="AB208">
        <v>2049</v>
      </c>
      <c r="AC208">
        <v>2050</v>
      </c>
      <c r="AD208">
        <v>2051</v>
      </c>
      <c r="AE208">
        <v>2052</v>
      </c>
      <c r="AF208">
        <v>2053</v>
      </c>
      <c r="AG208">
        <v>2054</v>
      </c>
      <c r="AH208">
        <v>2055</v>
      </c>
    </row>
    <row r="209" spans="2:36" s="1" customFormat="1" x14ac:dyDescent="0.25">
      <c r="B209" t="s">
        <v>141</v>
      </c>
      <c r="C209" t="s">
        <v>109</v>
      </c>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c r="AJ209" s="23" t="s">
        <v>293</v>
      </c>
    </row>
    <row r="210" spans="2:36" s="1" customFormat="1" x14ac:dyDescent="0.25">
      <c r="B210" t="s">
        <v>136</v>
      </c>
      <c r="C210" t="s">
        <v>169</v>
      </c>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c r="AJ210" s="23" t="s">
        <v>293</v>
      </c>
    </row>
    <row r="211" spans="2:36" s="1" customFormat="1" x14ac:dyDescent="0.25">
      <c r="B211" t="s">
        <v>154</v>
      </c>
      <c r="C211" t="s">
        <v>170</v>
      </c>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c r="AJ211" s="23" t="s">
        <v>293</v>
      </c>
    </row>
    <row r="212" spans="2:36" s="1" customFormat="1" x14ac:dyDescent="0.25">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row>
    <row r="213" spans="2:36" s="1" customFormat="1" ht="17.25" thickBot="1" x14ac:dyDescent="0.3">
      <c r="B213" s="19" t="s">
        <v>145</v>
      </c>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row>
    <row r="214" spans="2:36" s="1" customFormat="1" ht="16.5" thickTop="1" thickBot="1" x14ac:dyDescent="0.3">
      <c r="B214" s="20" t="s">
        <v>292</v>
      </c>
      <c r="C214" s="20" t="s">
        <v>13</v>
      </c>
      <c r="D214" s="20" t="s">
        <v>17</v>
      </c>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t="s">
        <v>15</v>
      </c>
    </row>
    <row r="215" spans="2:36" x14ac:dyDescent="0.25">
      <c r="D215">
        <v>2025</v>
      </c>
      <c r="E215">
        <v>2026</v>
      </c>
      <c r="F215">
        <v>2027</v>
      </c>
      <c r="G215">
        <v>2028</v>
      </c>
      <c r="H215">
        <v>2029</v>
      </c>
      <c r="I215">
        <v>2030</v>
      </c>
      <c r="J215">
        <v>2031</v>
      </c>
      <c r="K215">
        <v>2032</v>
      </c>
      <c r="L215">
        <v>2033</v>
      </c>
      <c r="M215">
        <v>2034</v>
      </c>
      <c r="N215">
        <v>2035</v>
      </c>
      <c r="O215">
        <v>2036</v>
      </c>
      <c r="P215">
        <v>2037</v>
      </c>
      <c r="Q215">
        <v>2038</v>
      </c>
      <c r="R215">
        <v>2039</v>
      </c>
      <c r="S215">
        <v>2040</v>
      </c>
      <c r="T215">
        <v>2041</v>
      </c>
      <c r="U215">
        <v>2042</v>
      </c>
      <c r="V215">
        <v>2043</v>
      </c>
      <c r="W215">
        <v>2044</v>
      </c>
      <c r="X215">
        <v>2045</v>
      </c>
      <c r="Y215">
        <v>2046</v>
      </c>
      <c r="Z215">
        <v>2047</v>
      </c>
      <c r="AA215">
        <v>2048</v>
      </c>
      <c r="AB215">
        <v>2049</v>
      </c>
      <c r="AC215">
        <v>2050</v>
      </c>
      <c r="AD215">
        <v>2051</v>
      </c>
      <c r="AE215">
        <v>2052</v>
      </c>
      <c r="AF215">
        <v>2053</v>
      </c>
      <c r="AG215">
        <v>2054</v>
      </c>
      <c r="AH215">
        <v>2055</v>
      </c>
    </row>
    <row r="216" spans="2:36" s="1" customFormat="1" x14ac:dyDescent="0.25">
      <c r="B216" t="s">
        <v>141</v>
      </c>
      <c r="C216" t="s">
        <v>109</v>
      </c>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c r="AJ216" s="23" t="s">
        <v>293</v>
      </c>
    </row>
    <row r="217" spans="2:36" s="1" customFormat="1" x14ac:dyDescent="0.25">
      <c r="B217" t="s">
        <v>136</v>
      </c>
      <c r="C217" t="s">
        <v>169</v>
      </c>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c r="AJ217" s="23" t="s">
        <v>293</v>
      </c>
    </row>
    <row r="218" spans="2:36" s="1" customFormat="1" x14ac:dyDescent="0.25">
      <c r="B218" t="s">
        <v>154</v>
      </c>
      <c r="C218" t="s">
        <v>170</v>
      </c>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c r="AJ218" s="23" t="s">
        <v>293</v>
      </c>
    </row>
    <row r="219" spans="2:36" s="1" customFormat="1" x14ac:dyDescent="0.25">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row>
    <row r="220" spans="2:36" s="1" customFormat="1" ht="17.25" thickBot="1" x14ac:dyDescent="0.3">
      <c r="B220" s="19" t="s">
        <v>146</v>
      </c>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row>
    <row r="221" spans="2:36" s="1" customFormat="1" ht="16.5" thickTop="1" thickBot="1" x14ac:dyDescent="0.3">
      <c r="B221" s="20" t="s">
        <v>292</v>
      </c>
      <c r="C221" s="20" t="s">
        <v>13</v>
      </c>
      <c r="D221" s="20" t="s">
        <v>17</v>
      </c>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t="s">
        <v>15</v>
      </c>
    </row>
    <row r="222" spans="2:36" x14ac:dyDescent="0.25">
      <c r="D222">
        <v>2025</v>
      </c>
      <c r="E222">
        <v>2026</v>
      </c>
      <c r="F222">
        <v>2027</v>
      </c>
      <c r="G222">
        <v>2028</v>
      </c>
      <c r="H222">
        <v>2029</v>
      </c>
      <c r="I222">
        <v>2030</v>
      </c>
      <c r="J222">
        <v>2031</v>
      </c>
      <c r="K222">
        <v>2032</v>
      </c>
      <c r="L222">
        <v>2033</v>
      </c>
      <c r="M222">
        <v>2034</v>
      </c>
      <c r="N222">
        <v>2035</v>
      </c>
      <c r="O222">
        <v>2036</v>
      </c>
      <c r="P222">
        <v>2037</v>
      </c>
      <c r="Q222">
        <v>2038</v>
      </c>
      <c r="R222">
        <v>2039</v>
      </c>
      <c r="S222">
        <v>2040</v>
      </c>
      <c r="T222">
        <v>2041</v>
      </c>
      <c r="U222">
        <v>2042</v>
      </c>
      <c r="V222">
        <v>2043</v>
      </c>
      <c r="W222">
        <v>2044</v>
      </c>
      <c r="X222">
        <v>2045</v>
      </c>
      <c r="Y222">
        <v>2046</v>
      </c>
      <c r="Z222">
        <v>2047</v>
      </c>
      <c r="AA222">
        <v>2048</v>
      </c>
      <c r="AB222">
        <v>2049</v>
      </c>
      <c r="AC222">
        <v>2050</v>
      </c>
      <c r="AD222">
        <v>2051</v>
      </c>
      <c r="AE222">
        <v>2052</v>
      </c>
      <c r="AF222">
        <v>2053</v>
      </c>
      <c r="AG222">
        <v>2054</v>
      </c>
      <c r="AH222">
        <v>2055</v>
      </c>
    </row>
    <row r="223" spans="2:36" s="1" customFormat="1" x14ac:dyDescent="0.25">
      <c r="B223" t="s">
        <v>141</v>
      </c>
      <c r="C223" t="s">
        <v>109</v>
      </c>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c r="AJ223" s="23" t="s">
        <v>293</v>
      </c>
    </row>
    <row r="224" spans="2:36" s="1" customFormat="1" x14ac:dyDescent="0.25">
      <c r="B224" t="s">
        <v>136</v>
      </c>
      <c r="C224" t="s">
        <v>169</v>
      </c>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c r="AJ224" s="23" t="s">
        <v>293</v>
      </c>
    </row>
    <row r="225" spans="2:36" s="1" customFormat="1" x14ac:dyDescent="0.25">
      <c r="B225" t="s">
        <v>154</v>
      </c>
      <c r="C225" t="s">
        <v>170</v>
      </c>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c r="AJ225" s="23" t="s">
        <v>293</v>
      </c>
    </row>
    <row r="226" spans="2:36" s="1" customFormat="1" x14ac:dyDescent="0.25">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row>
    <row r="227" spans="2:36" s="1" customFormat="1" ht="17.25" thickBot="1" x14ac:dyDescent="0.3">
      <c r="B227" s="19" t="s">
        <v>147</v>
      </c>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row>
    <row r="228" spans="2:36" s="1" customFormat="1" ht="16.5" thickTop="1" thickBot="1" x14ac:dyDescent="0.3">
      <c r="B228" s="20" t="s">
        <v>292</v>
      </c>
      <c r="C228" s="20" t="s">
        <v>13</v>
      </c>
      <c r="D228" s="20" t="s">
        <v>17</v>
      </c>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t="s">
        <v>15</v>
      </c>
    </row>
    <row r="229" spans="2:36" x14ac:dyDescent="0.25">
      <c r="D229">
        <v>2025</v>
      </c>
      <c r="E229">
        <v>2026</v>
      </c>
      <c r="F229">
        <v>2027</v>
      </c>
      <c r="G229">
        <v>2028</v>
      </c>
      <c r="H229">
        <v>2029</v>
      </c>
      <c r="I229">
        <v>2030</v>
      </c>
      <c r="J229">
        <v>2031</v>
      </c>
      <c r="K229">
        <v>2032</v>
      </c>
      <c r="L229">
        <v>2033</v>
      </c>
      <c r="M229">
        <v>2034</v>
      </c>
      <c r="N229">
        <v>2035</v>
      </c>
      <c r="O229">
        <v>2036</v>
      </c>
      <c r="P229">
        <v>2037</v>
      </c>
      <c r="Q229">
        <v>2038</v>
      </c>
      <c r="R229">
        <v>2039</v>
      </c>
      <c r="S229">
        <v>2040</v>
      </c>
      <c r="T229">
        <v>2041</v>
      </c>
      <c r="U229">
        <v>2042</v>
      </c>
      <c r="V229">
        <v>2043</v>
      </c>
      <c r="W229">
        <v>2044</v>
      </c>
      <c r="X229">
        <v>2045</v>
      </c>
      <c r="Y229">
        <v>2046</v>
      </c>
      <c r="Z229">
        <v>2047</v>
      </c>
      <c r="AA229">
        <v>2048</v>
      </c>
      <c r="AB229">
        <v>2049</v>
      </c>
      <c r="AC229">
        <v>2050</v>
      </c>
      <c r="AD229">
        <v>2051</v>
      </c>
      <c r="AE229">
        <v>2052</v>
      </c>
      <c r="AF229">
        <v>2053</v>
      </c>
      <c r="AG229">
        <v>2054</v>
      </c>
      <c r="AH229">
        <v>2055</v>
      </c>
    </row>
    <row r="230" spans="2:36" s="1" customFormat="1" x14ac:dyDescent="0.25">
      <c r="B230" t="s">
        <v>141</v>
      </c>
      <c r="C230" t="s">
        <v>109</v>
      </c>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c r="AJ230" s="23" t="s">
        <v>293</v>
      </c>
    </row>
    <row r="231" spans="2:36" s="1" customFormat="1" x14ac:dyDescent="0.25">
      <c r="B231" t="s">
        <v>136</v>
      </c>
      <c r="C231" t="s">
        <v>169</v>
      </c>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c r="AJ231" s="23" t="s">
        <v>293</v>
      </c>
    </row>
    <row r="232" spans="2:36" s="1" customFormat="1" x14ac:dyDescent="0.25">
      <c r="B232" t="s">
        <v>154</v>
      </c>
      <c r="C232" t="s">
        <v>170</v>
      </c>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c r="AJ232" s="23" t="s">
        <v>293</v>
      </c>
    </row>
    <row r="233" spans="2:36" s="1" customFormat="1" x14ac:dyDescent="0.25">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row>
    <row r="234" spans="2:36" s="1" customFormat="1" ht="17.25" thickBot="1" x14ac:dyDescent="0.3">
      <c r="B234" s="19" t="s">
        <v>148</v>
      </c>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row>
    <row r="235" spans="2:36" s="1" customFormat="1" ht="16.5" thickTop="1" thickBot="1" x14ac:dyDescent="0.3">
      <c r="B235" s="20" t="s">
        <v>292</v>
      </c>
      <c r="C235" s="20" t="s">
        <v>13</v>
      </c>
      <c r="D235" s="20" t="s">
        <v>17</v>
      </c>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t="s">
        <v>15</v>
      </c>
    </row>
    <row r="236" spans="2:36" x14ac:dyDescent="0.25">
      <c r="D236">
        <v>2025</v>
      </c>
      <c r="E236">
        <v>2026</v>
      </c>
      <c r="F236">
        <v>2027</v>
      </c>
      <c r="G236">
        <v>2028</v>
      </c>
      <c r="H236">
        <v>2029</v>
      </c>
      <c r="I236">
        <v>2030</v>
      </c>
      <c r="J236">
        <v>2031</v>
      </c>
      <c r="K236">
        <v>2032</v>
      </c>
      <c r="L236">
        <v>2033</v>
      </c>
      <c r="M236">
        <v>2034</v>
      </c>
      <c r="N236">
        <v>2035</v>
      </c>
      <c r="O236">
        <v>2036</v>
      </c>
      <c r="P236">
        <v>2037</v>
      </c>
      <c r="Q236">
        <v>2038</v>
      </c>
      <c r="R236">
        <v>2039</v>
      </c>
      <c r="S236">
        <v>2040</v>
      </c>
      <c r="T236">
        <v>2041</v>
      </c>
      <c r="U236">
        <v>2042</v>
      </c>
      <c r="V236">
        <v>2043</v>
      </c>
      <c r="W236">
        <v>2044</v>
      </c>
      <c r="X236">
        <v>2045</v>
      </c>
      <c r="Y236">
        <v>2046</v>
      </c>
      <c r="Z236">
        <v>2047</v>
      </c>
      <c r="AA236">
        <v>2048</v>
      </c>
      <c r="AB236">
        <v>2049</v>
      </c>
      <c r="AC236">
        <v>2050</v>
      </c>
      <c r="AD236">
        <v>2051</v>
      </c>
      <c r="AE236">
        <v>2052</v>
      </c>
      <c r="AF236">
        <v>2053</v>
      </c>
      <c r="AG236">
        <v>2054</v>
      </c>
      <c r="AH236">
        <v>2055</v>
      </c>
    </row>
    <row r="237" spans="2:36" s="1" customFormat="1" x14ac:dyDescent="0.25">
      <c r="B237" t="s">
        <v>141</v>
      </c>
      <c r="C237" t="s">
        <v>109</v>
      </c>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c r="AJ237" s="23" t="s">
        <v>293</v>
      </c>
    </row>
    <row r="238" spans="2:36" s="1" customFormat="1" x14ac:dyDescent="0.25">
      <c r="B238" t="s">
        <v>136</v>
      </c>
      <c r="C238" t="s">
        <v>169</v>
      </c>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c r="AJ238" s="23" t="s">
        <v>293</v>
      </c>
    </row>
    <row r="239" spans="2:36" s="1" customFormat="1" x14ac:dyDescent="0.25">
      <c r="B239" t="s">
        <v>154</v>
      </c>
      <c r="C239" t="s">
        <v>170</v>
      </c>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c r="AJ239" s="23" t="s">
        <v>293</v>
      </c>
    </row>
    <row r="240" spans="2:36" s="1" customFormat="1" x14ac:dyDescent="0.25">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row>
    <row r="241" spans="2:36" s="1" customFormat="1" ht="17.25" thickBot="1" x14ac:dyDescent="0.3">
      <c r="B241" s="19" t="s">
        <v>224</v>
      </c>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row>
    <row r="242" spans="2:36" s="1" customFormat="1" ht="16.5" thickTop="1" thickBot="1" x14ac:dyDescent="0.3">
      <c r="B242" s="20" t="s">
        <v>292</v>
      </c>
      <c r="C242" s="20" t="s">
        <v>13</v>
      </c>
      <c r="D242" s="20" t="s">
        <v>17</v>
      </c>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t="s">
        <v>15</v>
      </c>
    </row>
    <row r="243" spans="2:36" x14ac:dyDescent="0.25">
      <c r="D243">
        <v>2025</v>
      </c>
      <c r="E243">
        <v>2026</v>
      </c>
      <c r="F243">
        <v>2027</v>
      </c>
      <c r="G243">
        <v>2028</v>
      </c>
      <c r="H243">
        <v>2029</v>
      </c>
      <c r="I243">
        <v>2030</v>
      </c>
      <c r="J243">
        <v>2031</v>
      </c>
      <c r="K243">
        <v>2032</v>
      </c>
      <c r="L243">
        <v>2033</v>
      </c>
      <c r="M243">
        <v>2034</v>
      </c>
      <c r="N243">
        <v>2035</v>
      </c>
      <c r="O243">
        <v>2036</v>
      </c>
      <c r="P243">
        <v>2037</v>
      </c>
      <c r="Q243">
        <v>2038</v>
      </c>
      <c r="R243">
        <v>2039</v>
      </c>
      <c r="S243">
        <v>2040</v>
      </c>
      <c r="T243">
        <v>2041</v>
      </c>
      <c r="U243">
        <v>2042</v>
      </c>
      <c r="V243">
        <v>2043</v>
      </c>
      <c r="W243">
        <v>2044</v>
      </c>
      <c r="X243">
        <v>2045</v>
      </c>
      <c r="Y243">
        <v>2046</v>
      </c>
      <c r="Z243">
        <v>2047</v>
      </c>
      <c r="AA243">
        <v>2048</v>
      </c>
      <c r="AB243">
        <v>2049</v>
      </c>
      <c r="AC243">
        <v>2050</v>
      </c>
      <c r="AD243">
        <v>2051</v>
      </c>
      <c r="AE243">
        <v>2052</v>
      </c>
      <c r="AF243">
        <v>2053</v>
      </c>
      <c r="AG243">
        <v>2054</v>
      </c>
      <c r="AH243">
        <v>2055</v>
      </c>
    </row>
    <row r="244" spans="2:36" s="1" customFormat="1" x14ac:dyDescent="0.25">
      <c r="B244" t="s">
        <v>141</v>
      </c>
      <c r="C244" t="s">
        <v>109</v>
      </c>
      <c r="D244" s="22">
        <f t="shared" ref="D244:AG244" si="8">SUM(D237,D230,D223,D216,D209)</f>
        <v>0</v>
      </c>
      <c r="E244" s="22">
        <f t="shared" si="8"/>
        <v>0</v>
      </c>
      <c r="F244" s="22">
        <f t="shared" si="8"/>
        <v>0</v>
      </c>
      <c r="G244" s="22">
        <f t="shared" si="8"/>
        <v>0</v>
      </c>
      <c r="H244" s="22">
        <f t="shared" si="8"/>
        <v>0</v>
      </c>
      <c r="I244" s="22">
        <f t="shared" si="8"/>
        <v>0</v>
      </c>
      <c r="J244" s="22">
        <f t="shared" si="8"/>
        <v>0</v>
      </c>
      <c r="K244" s="22">
        <f t="shared" si="8"/>
        <v>0</v>
      </c>
      <c r="L244" s="22">
        <f t="shared" si="8"/>
        <v>0</v>
      </c>
      <c r="M244" s="22">
        <f t="shared" si="8"/>
        <v>0</v>
      </c>
      <c r="N244" s="22">
        <f t="shared" si="8"/>
        <v>0</v>
      </c>
      <c r="O244" s="22">
        <f t="shared" si="8"/>
        <v>0</v>
      </c>
      <c r="P244" s="22">
        <f t="shared" si="8"/>
        <v>0</v>
      </c>
      <c r="Q244" s="22">
        <f t="shared" si="8"/>
        <v>0</v>
      </c>
      <c r="R244" s="22">
        <f t="shared" si="8"/>
        <v>0</v>
      </c>
      <c r="S244" s="22">
        <f t="shared" si="8"/>
        <v>0</v>
      </c>
      <c r="T244" s="22">
        <f t="shared" si="8"/>
        <v>0</v>
      </c>
      <c r="U244" s="22">
        <f t="shared" si="8"/>
        <v>0</v>
      </c>
      <c r="V244" s="22">
        <f t="shared" si="8"/>
        <v>0</v>
      </c>
      <c r="W244" s="22">
        <f t="shared" si="8"/>
        <v>0</v>
      </c>
      <c r="X244" s="22">
        <f t="shared" si="8"/>
        <v>0</v>
      </c>
      <c r="Y244" s="22">
        <f t="shared" si="8"/>
        <v>0</v>
      </c>
      <c r="Z244" s="22">
        <f t="shared" si="8"/>
        <v>0</v>
      </c>
      <c r="AA244" s="22">
        <f t="shared" si="8"/>
        <v>0</v>
      </c>
      <c r="AB244" s="22">
        <f t="shared" si="8"/>
        <v>0</v>
      </c>
      <c r="AC244" s="22">
        <f t="shared" si="8"/>
        <v>0</v>
      </c>
      <c r="AD244" s="22">
        <f t="shared" si="8"/>
        <v>0</v>
      </c>
      <c r="AE244" s="22">
        <f t="shared" si="8"/>
        <v>0</v>
      </c>
      <c r="AF244" s="22">
        <f t="shared" si="8"/>
        <v>0</v>
      </c>
      <c r="AG244" s="22">
        <f t="shared" si="8"/>
        <v>0</v>
      </c>
      <c r="AH244" s="22">
        <f t="shared" ref="AH244:AH246" si="9">SUM(AH237,AH230,AH223,AH216,AH209)</f>
        <v>0</v>
      </c>
      <c r="AI244"/>
      <c r="AJ244" s="23" t="s">
        <v>304</v>
      </c>
    </row>
    <row r="245" spans="2:36" s="1" customFormat="1" x14ac:dyDescent="0.25">
      <c r="B245" t="s">
        <v>136</v>
      </c>
      <c r="C245" t="s">
        <v>169</v>
      </c>
      <c r="D245" s="22">
        <f t="shared" ref="D245:AG245" si="10">SUM(D238,D231,D224,D217,D210)</f>
        <v>0</v>
      </c>
      <c r="E245" s="22">
        <f t="shared" si="10"/>
        <v>0</v>
      </c>
      <c r="F245" s="22">
        <f t="shared" si="10"/>
        <v>0</v>
      </c>
      <c r="G245" s="22">
        <f t="shared" si="10"/>
        <v>0</v>
      </c>
      <c r="H245" s="22">
        <f t="shared" si="10"/>
        <v>0</v>
      </c>
      <c r="I245" s="22">
        <f t="shared" si="10"/>
        <v>0</v>
      </c>
      <c r="J245" s="22">
        <f t="shared" si="10"/>
        <v>0</v>
      </c>
      <c r="K245" s="22">
        <f t="shared" si="10"/>
        <v>0</v>
      </c>
      <c r="L245" s="22">
        <f t="shared" si="10"/>
        <v>0</v>
      </c>
      <c r="M245" s="22">
        <f t="shared" si="10"/>
        <v>0</v>
      </c>
      <c r="N245" s="22">
        <f t="shared" si="10"/>
        <v>0</v>
      </c>
      <c r="O245" s="22">
        <f t="shared" si="10"/>
        <v>0</v>
      </c>
      <c r="P245" s="22">
        <f t="shared" si="10"/>
        <v>0</v>
      </c>
      <c r="Q245" s="22">
        <f t="shared" si="10"/>
        <v>0</v>
      </c>
      <c r="R245" s="22">
        <f t="shared" si="10"/>
        <v>0</v>
      </c>
      <c r="S245" s="22">
        <f t="shared" si="10"/>
        <v>0</v>
      </c>
      <c r="T245" s="22">
        <f t="shared" si="10"/>
        <v>0</v>
      </c>
      <c r="U245" s="22">
        <f t="shared" si="10"/>
        <v>0</v>
      </c>
      <c r="V245" s="22">
        <f t="shared" si="10"/>
        <v>0</v>
      </c>
      <c r="W245" s="22">
        <f t="shared" si="10"/>
        <v>0</v>
      </c>
      <c r="X245" s="22">
        <f t="shared" si="10"/>
        <v>0</v>
      </c>
      <c r="Y245" s="22">
        <f t="shared" si="10"/>
        <v>0</v>
      </c>
      <c r="Z245" s="22">
        <f t="shared" si="10"/>
        <v>0</v>
      </c>
      <c r="AA245" s="22">
        <f t="shared" si="10"/>
        <v>0</v>
      </c>
      <c r="AB245" s="22">
        <f t="shared" si="10"/>
        <v>0</v>
      </c>
      <c r="AC245" s="22">
        <f t="shared" si="10"/>
        <v>0</v>
      </c>
      <c r="AD245" s="22">
        <f t="shared" si="10"/>
        <v>0</v>
      </c>
      <c r="AE245" s="22">
        <f t="shared" si="10"/>
        <v>0</v>
      </c>
      <c r="AF245" s="22">
        <f t="shared" si="10"/>
        <v>0</v>
      </c>
      <c r="AG245" s="22">
        <f t="shared" si="10"/>
        <v>0</v>
      </c>
      <c r="AH245" s="22">
        <f t="shared" si="9"/>
        <v>0</v>
      </c>
      <c r="AI245"/>
      <c r="AJ245" s="23" t="s">
        <v>304</v>
      </c>
    </row>
    <row r="246" spans="2:36" s="1" customFormat="1" x14ac:dyDescent="0.25">
      <c r="B246" t="s">
        <v>154</v>
      </c>
      <c r="C246" t="s">
        <v>170</v>
      </c>
      <c r="D246" s="22">
        <f t="shared" ref="D246:AG246" si="11">SUM(D239,D232,D225,D218,D211)</f>
        <v>0</v>
      </c>
      <c r="E246" s="22">
        <f t="shared" si="11"/>
        <v>0</v>
      </c>
      <c r="F246" s="22">
        <f t="shared" si="11"/>
        <v>0</v>
      </c>
      <c r="G246" s="22">
        <f t="shared" si="11"/>
        <v>0</v>
      </c>
      <c r="H246" s="22">
        <f t="shared" si="11"/>
        <v>0</v>
      </c>
      <c r="I246" s="22">
        <f t="shared" si="11"/>
        <v>0</v>
      </c>
      <c r="J246" s="22">
        <f t="shared" si="11"/>
        <v>0</v>
      </c>
      <c r="K246" s="22">
        <f t="shared" si="11"/>
        <v>0</v>
      </c>
      <c r="L246" s="22">
        <f t="shared" si="11"/>
        <v>0</v>
      </c>
      <c r="M246" s="22">
        <f t="shared" si="11"/>
        <v>0</v>
      </c>
      <c r="N246" s="22">
        <f t="shared" si="11"/>
        <v>0</v>
      </c>
      <c r="O246" s="22">
        <f t="shared" si="11"/>
        <v>0</v>
      </c>
      <c r="P246" s="22">
        <f t="shared" si="11"/>
        <v>0</v>
      </c>
      <c r="Q246" s="22">
        <f t="shared" si="11"/>
        <v>0</v>
      </c>
      <c r="R246" s="22">
        <f t="shared" si="11"/>
        <v>0</v>
      </c>
      <c r="S246" s="22">
        <f t="shared" si="11"/>
        <v>0</v>
      </c>
      <c r="T246" s="22">
        <f t="shared" si="11"/>
        <v>0</v>
      </c>
      <c r="U246" s="22">
        <f t="shared" si="11"/>
        <v>0</v>
      </c>
      <c r="V246" s="22">
        <f t="shared" si="11"/>
        <v>0</v>
      </c>
      <c r="W246" s="22">
        <f t="shared" si="11"/>
        <v>0</v>
      </c>
      <c r="X246" s="22">
        <f t="shared" si="11"/>
        <v>0</v>
      </c>
      <c r="Y246" s="22">
        <f t="shared" si="11"/>
        <v>0</v>
      </c>
      <c r="Z246" s="22">
        <f t="shared" si="11"/>
        <v>0</v>
      </c>
      <c r="AA246" s="22">
        <f t="shared" si="11"/>
        <v>0</v>
      </c>
      <c r="AB246" s="22">
        <f t="shared" si="11"/>
        <v>0</v>
      </c>
      <c r="AC246" s="22">
        <f t="shared" si="11"/>
        <v>0</v>
      </c>
      <c r="AD246" s="22">
        <f t="shared" si="11"/>
        <v>0</v>
      </c>
      <c r="AE246" s="22">
        <f t="shared" si="11"/>
        <v>0</v>
      </c>
      <c r="AF246" s="22">
        <f t="shared" si="11"/>
        <v>0</v>
      </c>
      <c r="AG246" s="22">
        <f t="shared" si="11"/>
        <v>0</v>
      </c>
      <c r="AH246" s="22">
        <f t="shared" si="9"/>
        <v>0</v>
      </c>
      <c r="AI246"/>
      <c r="AJ246" s="23" t="s">
        <v>304</v>
      </c>
    </row>
    <row r="249" spans="2:36" s="1" customFormat="1" ht="20.25" thickBot="1" x14ac:dyDescent="0.35">
      <c r="B249" s="18" t="s">
        <v>300</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row>
    <row r="250" spans="2:36" s="1" customFormat="1" ht="18" thickTop="1" thickBot="1" x14ac:dyDescent="0.3">
      <c r="B250" s="19" t="s">
        <v>224</v>
      </c>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row>
    <row r="251" spans="2:36" s="1" customFormat="1" ht="16.5" thickTop="1" thickBot="1" x14ac:dyDescent="0.3">
      <c r="B251" s="20" t="s">
        <v>292</v>
      </c>
      <c r="C251" s="20" t="s">
        <v>13</v>
      </c>
      <c r="D251" s="20" t="s">
        <v>17</v>
      </c>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t="s">
        <v>15</v>
      </c>
    </row>
    <row r="252" spans="2:36" x14ac:dyDescent="0.25">
      <c r="D252">
        <v>2025</v>
      </c>
      <c r="E252">
        <v>2026</v>
      </c>
      <c r="F252">
        <v>2027</v>
      </c>
      <c r="G252">
        <v>2028</v>
      </c>
      <c r="H252">
        <v>2029</v>
      </c>
      <c r="I252">
        <v>2030</v>
      </c>
      <c r="J252">
        <v>2031</v>
      </c>
      <c r="K252">
        <v>2032</v>
      </c>
      <c r="L252">
        <v>2033</v>
      </c>
      <c r="M252">
        <v>2034</v>
      </c>
      <c r="N252">
        <v>2035</v>
      </c>
      <c r="O252">
        <v>2036</v>
      </c>
      <c r="P252">
        <v>2037</v>
      </c>
      <c r="Q252">
        <v>2038</v>
      </c>
      <c r="R252">
        <v>2039</v>
      </c>
      <c r="S252">
        <v>2040</v>
      </c>
      <c r="T252">
        <v>2041</v>
      </c>
      <c r="U252">
        <v>2042</v>
      </c>
      <c r="V252">
        <v>2043</v>
      </c>
      <c r="W252">
        <v>2044</v>
      </c>
      <c r="X252">
        <v>2045</v>
      </c>
      <c r="Y252">
        <v>2046</v>
      </c>
      <c r="Z252">
        <v>2047</v>
      </c>
      <c r="AA252">
        <v>2048</v>
      </c>
      <c r="AB252">
        <v>2049</v>
      </c>
      <c r="AC252">
        <v>2050</v>
      </c>
      <c r="AD252">
        <v>2051</v>
      </c>
      <c r="AE252">
        <v>2052</v>
      </c>
      <c r="AF252">
        <v>2053</v>
      </c>
      <c r="AG252">
        <v>2054</v>
      </c>
      <c r="AH252">
        <v>2055</v>
      </c>
    </row>
    <row r="253" spans="2:36" s="1" customFormat="1" x14ac:dyDescent="0.25">
      <c r="B253" t="s">
        <v>141</v>
      </c>
      <c r="C253" t="s">
        <v>109</v>
      </c>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c r="AJ253" s="23" t="s">
        <v>293</v>
      </c>
    </row>
    <row r="254" spans="2:36" s="1" customFormat="1" x14ac:dyDescent="0.25">
      <c r="B254" t="s">
        <v>136</v>
      </c>
      <c r="C254" t="s">
        <v>169</v>
      </c>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c r="AJ254" s="23" t="s">
        <v>293</v>
      </c>
    </row>
    <row r="255" spans="2:36" s="1" customFormat="1" x14ac:dyDescent="0.25">
      <c r="B255" t="s">
        <v>154</v>
      </c>
      <c r="C255" t="s">
        <v>170</v>
      </c>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c r="AJ255" s="23" t="s">
        <v>293</v>
      </c>
    </row>
    <row r="258" spans="2:36" s="1" customFormat="1" ht="20.25" thickBot="1" x14ac:dyDescent="0.35">
      <c r="B258" s="18" t="s">
        <v>301</v>
      </c>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row>
    <row r="259" spans="2:36" s="1" customFormat="1" ht="18" thickTop="1" thickBot="1" x14ac:dyDescent="0.3">
      <c r="B259" s="19" t="s">
        <v>224</v>
      </c>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row>
    <row r="260" spans="2:36" s="1" customFormat="1" ht="16.5" thickTop="1" thickBot="1" x14ac:dyDescent="0.3">
      <c r="B260" s="20" t="s">
        <v>292</v>
      </c>
      <c r="C260" s="20" t="s">
        <v>13</v>
      </c>
      <c r="D260" s="20" t="s">
        <v>17</v>
      </c>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t="s">
        <v>15</v>
      </c>
    </row>
    <row r="261" spans="2:36" x14ac:dyDescent="0.25">
      <c r="D261">
        <v>2025</v>
      </c>
      <c r="E261">
        <v>2026</v>
      </c>
      <c r="F261">
        <v>2027</v>
      </c>
      <c r="G261">
        <v>2028</v>
      </c>
      <c r="H261">
        <v>2029</v>
      </c>
      <c r="I261">
        <v>2030</v>
      </c>
      <c r="J261">
        <v>2031</v>
      </c>
      <c r="K261">
        <v>2032</v>
      </c>
      <c r="L261">
        <v>2033</v>
      </c>
      <c r="M261">
        <v>2034</v>
      </c>
      <c r="N261">
        <v>2035</v>
      </c>
      <c r="O261">
        <v>2036</v>
      </c>
      <c r="P261">
        <v>2037</v>
      </c>
      <c r="Q261">
        <v>2038</v>
      </c>
      <c r="R261">
        <v>2039</v>
      </c>
      <c r="S261">
        <v>2040</v>
      </c>
      <c r="T261">
        <v>2041</v>
      </c>
      <c r="U261">
        <v>2042</v>
      </c>
      <c r="V261">
        <v>2043</v>
      </c>
      <c r="W261">
        <v>2044</v>
      </c>
      <c r="X261">
        <v>2045</v>
      </c>
      <c r="Y261">
        <v>2046</v>
      </c>
      <c r="Z261">
        <v>2047</v>
      </c>
      <c r="AA261">
        <v>2048</v>
      </c>
      <c r="AB261">
        <v>2049</v>
      </c>
      <c r="AC261">
        <v>2050</v>
      </c>
      <c r="AD261">
        <v>2051</v>
      </c>
      <c r="AE261">
        <v>2052</v>
      </c>
      <c r="AF261">
        <v>2053</v>
      </c>
      <c r="AG261">
        <v>2054</v>
      </c>
      <c r="AH261">
        <v>2055</v>
      </c>
    </row>
    <row r="262" spans="2:36" s="1" customFormat="1" x14ac:dyDescent="0.25">
      <c r="B262" t="s">
        <v>141</v>
      </c>
      <c r="C262" t="s">
        <v>109</v>
      </c>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c r="AJ262" s="23" t="s">
        <v>293</v>
      </c>
    </row>
    <row r="263" spans="2:36" s="1" customFormat="1" x14ac:dyDescent="0.25">
      <c r="B263" t="s">
        <v>136</v>
      </c>
      <c r="C263" t="s">
        <v>169</v>
      </c>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c r="AJ263" s="23" t="s">
        <v>293</v>
      </c>
    </row>
    <row r="264" spans="2:36" s="1" customFormat="1" x14ac:dyDescent="0.25">
      <c r="B264" t="s">
        <v>154</v>
      </c>
      <c r="C264" t="s">
        <v>170</v>
      </c>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c r="AJ264" s="23" t="s">
        <v>293</v>
      </c>
    </row>
    <row r="267" spans="2:36" s="1" customFormat="1" ht="20.25" thickBot="1" x14ac:dyDescent="0.35">
      <c r="B267" s="18" t="s">
        <v>302</v>
      </c>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row>
    <row r="268" spans="2:36" s="1" customFormat="1" ht="18" thickTop="1" thickBot="1" x14ac:dyDescent="0.3">
      <c r="B268" s="19" t="s">
        <v>224</v>
      </c>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row>
    <row r="269" spans="2:36" s="1" customFormat="1" ht="16.5" thickTop="1" thickBot="1" x14ac:dyDescent="0.3">
      <c r="B269" s="20" t="s">
        <v>292</v>
      </c>
      <c r="C269" s="20" t="s">
        <v>13</v>
      </c>
      <c r="D269" s="20" t="s">
        <v>17</v>
      </c>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t="s">
        <v>15</v>
      </c>
    </row>
    <row r="270" spans="2:36" x14ac:dyDescent="0.25">
      <c r="D270">
        <v>2025</v>
      </c>
      <c r="E270">
        <v>2026</v>
      </c>
      <c r="F270">
        <v>2027</v>
      </c>
      <c r="G270">
        <v>2028</v>
      </c>
      <c r="H270">
        <v>2029</v>
      </c>
      <c r="I270">
        <v>2030</v>
      </c>
      <c r="J270">
        <v>2031</v>
      </c>
      <c r="K270">
        <v>2032</v>
      </c>
      <c r="L270">
        <v>2033</v>
      </c>
      <c r="M270">
        <v>2034</v>
      </c>
      <c r="N270">
        <v>2035</v>
      </c>
      <c r="O270">
        <v>2036</v>
      </c>
      <c r="P270">
        <v>2037</v>
      </c>
      <c r="Q270">
        <v>2038</v>
      </c>
      <c r="R270">
        <v>2039</v>
      </c>
      <c r="S270">
        <v>2040</v>
      </c>
      <c r="T270">
        <v>2041</v>
      </c>
      <c r="U270">
        <v>2042</v>
      </c>
      <c r="V270">
        <v>2043</v>
      </c>
      <c r="W270">
        <v>2044</v>
      </c>
      <c r="X270">
        <v>2045</v>
      </c>
      <c r="Y270">
        <v>2046</v>
      </c>
      <c r="Z270">
        <v>2047</v>
      </c>
      <c r="AA270">
        <v>2048</v>
      </c>
      <c r="AB270">
        <v>2049</v>
      </c>
      <c r="AC270">
        <v>2050</v>
      </c>
      <c r="AD270">
        <v>2051</v>
      </c>
      <c r="AE270">
        <v>2052</v>
      </c>
      <c r="AF270">
        <v>2053</v>
      </c>
      <c r="AG270">
        <v>2054</v>
      </c>
      <c r="AH270">
        <v>2055</v>
      </c>
    </row>
    <row r="271" spans="2:36" s="1" customFormat="1" x14ac:dyDescent="0.25">
      <c r="B271" t="s">
        <v>141</v>
      </c>
      <c r="C271" t="s">
        <v>109</v>
      </c>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c r="AJ271" s="23" t="s">
        <v>293</v>
      </c>
    </row>
    <row r="272" spans="2:36" s="1" customFormat="1" x14ac:dyDescent="0.25">
      <c r="B272" t="s">
        <v>136</v>
      </c>
      <c r="C272" t="s">
        <v>169</v>
      </c>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c r="AJ272" s="23" t="s">
        <v>293</v>
      </c>
    </row>
    <row r="273" spans="2:36" s="1" customFormat="1" x14ac:dyDescent="0.25">
      <c r="B273" t="s">
        <v>154</v>
      </c>
      <c r="C273" t="s">
        <v>170</v>
      </c>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c r="AJ273" s="23" t="s">
        <v>293</v>
      </c>
    </row>
  </sheetData>
  <conditionalFormatting sqref="G119:G121">
    <cfRule type="containsText" dxfId="452" priority="112" operator="containsText" text="In progress">
      <formula>NOT(ISERROR(SEARCH("In progress",G119)))</formula>
    </cfRule>
    <cfRule type="containsText" dxfId="451" priority="113" operator="containsText" text="Complete">
      <formula>NOT(ISERROR(SEARCH("Complete",G119)))</formula>
    </cfRule>
    <cfRule type="containsText" dxfId="450" priority="114" operator="containsText" text="Outstanding">
      <formula>NOT(ISERROR(SEARCH("Outstanding",G119)))</formula>
    </cfRule>
  </conditionalFormatting>
  <conditionalFormatting sqref="G126:G128">
    <cfRule type="containsText" dxfId="449" priority="109" operator="containsText" text="In progress">
      <formula>NOT(ISERROR(SEARCH("In progress",G126)))</formula>
    </cfRule>
    <cfRule type="containsText" dxfId="448" priority="110" operator="containsText" text="Complete">
      <formula>NOT(ISERROR(SEARCH("Complete",G126)))</formula>
    </cfRule>
    <cfRule type="containsText" dxfId="447" priority="111" operator="containsText" text="Outstanding">
      <formula>NOT(ISERROR(SEARCH("Outstanding",G126)))</formula>
    </cfRule>
  </conditionalFormatting>
  <conditionalFormatting sqref="G112:G114">
    <cfRule type="containsText" dxfId="446" priority="115" operator="containsText" text="In progress">
      <formula>NOT(ISERROR(SEARCH("In progress",G112)))</formula>
    </cfRule>
    <cfRule type="containsText" dxfId="445" priority="116" operator="containsText" text="Complete">
      <formula>NOT(ISERROR(SEARCH("Complete",G112)))</formula>
    </cfRule>
    <cfRule type="containsText" dxfId="444" priority="117" operator="containsText" text="Outstanding">
      <formula>NOT(ISERROR(SEARCH("Outstanding",G112)))</formula>
    </cfRule>
  </conditionalFormatting>
  <conditionalFormatting sqref="G133:G135">
    <cfRule type="containsText" dxfId="443" priority="106" operator="containsText" text="In progress">
      <formula>NOT(ISERROR(SEARCH("In progress",G133)))</formula>
    </cfRule>
    <cfRule type="containsText" dxfId="442" priority="107" operator="containsText" text="Complete">
      <formula>NOT(ISERROR(SEARCH("Complete",G133)))</formula>
    </cfRule>
    <cfRule type="containsText" dxfId="441" priority="108" operator="containsText" text="Outstanding">
      <formula>NOT(ISERROR(SEARCH("Outstanding",G133)))</formula>
    </cfRule>
  </conditionalFormatting>
  <conditionalFormatting sqref="G140:G142">
    <cfRule type="containsText" dxfId="440" priority="103" operator="containsText" text="In progress">
      <formula>NOT(ISERROR(SEARCH("In progress",G140)))</formula>
    </cfRule>
    <cfRule type="containsText" dxfId="439" priority="104" operator="containsText" text="Complete">
      <formula>NOT(ISERROR(SEARCH("Complete",G140)))</formula>
    </cfRule>
    <cfRule type="containsText" dxfId="438" priority="105" operator="containsText" text="Outstanding">
      <formula>NOT(ISERROR(SEARCH("Outstanding",G140)))</formula>
    </cfRule>
  </conditionalFormatting>
  <conditionalFormatting sqref="G165:G167">
    <cfRule type="containsText" dxfId="437" priority="82" operator="containsText" text="In progress">
      <formula>NOT(ISERROR(SEARCH("In progress",G165)))</formula>
    </cfRule>
    <cfRule type="containsText" dxfId="436" priority="83" operator="containsText" text="Complete">
      <formula>NOT(ISERROR(SEARCH("Complete",G165)))</formula>
    </cfRule>
    <cfRule type="containsText" dxfId="435" priority="84" operator="containsText" text="Outstanding">
      <formula>NOT(ISERROR(SEARCH("Outstanding",G165)))</formula>
    </cfRule>
  </conditionalFormatting>
  <conditionalFormatting sqref="G172:G174">
    <cfRule type="containsText" dxfId="434" priority="79" operator="containsText" text="In progress">
      <formula>NOT(ISERROR(SEARCH("In progress",G172)))</formula>
    </cfRule>
    <cfRule type="containsText" dxfId="433" priority="80" operator="containsText" text="Complete">
      <formula>NOT(ISERROR(SEARCH("Complete",G172)))</formula>
    </cfRule>
    <cfRule type="containsText" dxfId="432" priority="81" operator="containsText" text="Outstanding">
      <formula>NOT(ISERROR(SEARCH("Outstanding",G172)))</formula>
    </cfRule>
  </conditionalFormatting>
  <conditionalFormatting sqref="G179:G181">
    <cfRule type="containsText" dxfId="431" priority="76" operator="containsText" text="In progress">
      <formula>NOT(ISERROR(SEARCH("In progress",G179)))</formula>
    </cfRule>
    <cfRule type="containsText" dxfId="430" priority="77" operator="containsText" text="Complete">
      <formula>NOT(ISERROR(SEARCH("Complete",G179)))</formula>
    </cfRule>
    <cfRule type="containsText" dxfId="429" priority="78" operator="containsText" text="Outstanding">
      <formula>NOT(ISERROR(SEARCH("Outstanding",G179)))</formula>
    </cfRule>
  </conditionalFormatting>
  <conditionalFormatting sqref="G186:G188">
    <cfRule type="containsText" dxfId="428" priority="73" operator="containsText" text="In progress">
      <formula>NOT(ISERROR(SEARCH("In progress",G186)))</formula>
    </cfRule>
    <cfRule type="containsText" dxfId="427" priority="74" operator="containsText" text="Complete">
      <formula>NOT(ISERROR(SEARCH("Complete",G186)))</formula>
    </cfRule>
    <cfRule type="containsText" dxfId="426" priority="75" operator="containsText" text="Outstanding">
      <formula>NOT(ISERROR(SEARCH("Outstanding",G186)))</formula>
    </cfRule>
  </conditionalFormatting>
  <conditionalFormatting sqref="G24:G26">
    <cfRule type="containsText" dxfId="425" priority="145" operator="containsText" text="In progress">
      <formula>NOT(ISERROR(SEARCH("In progress",G24)))</formula>
    </cfRule>
    <cfRule type="containsText" dxfId="424" priority="146" operator="containsText" text="Complete">
      <formula>NOT(ISERROR(SEARCH("Complete",G24)))</formula>
    </cfRule>
    <cfRule type="containsText" dxfId="423" priority="147" operator="containsText" text="Outstanding">
      <formula>NOT(ISERROR(SEARCH("Outstanding",G24)))</formula>
    </cfRule>
  </conditionalFormatting>
  <conditionalFormatting sqref="G31:G33">
    <cfRule type="containsText" dxfId="422" priority="142" operator="containsText" text="In progress">
      <formula>NOT(ISERROR(SEARCH("In progress",G31)))</formula>
    </cfRule>
    <cfRule type="containsText" dxfId="421" priority="143" operator="containsText" text="Complete">
      <formula>NOT(ISERROR(SEARCH("Complete",G31)))</formula>
    </cfRule>
    <cfRule type="containsText" dxfId="420" priority="144" operator="containsText" text="Outstanding">
      <formula>NOT(ISERROR(SEARCH("Outstanding",G31)))</formula>
    </cfRule>
  </conditionalFormatting>
  <conditionalFormatting sqref="G52:G54">
    <cfRule type="containsText" dxfId="419" priority="133" operator="containsText" text="In progress">
      <formula>NOT(ISERROR(SEARCH("In progress",G52)))</formula>
    </cfRule>
    <cfRule type="containsText" dxfId="418" priority="134" operator="containsText" text="Complete">
      <formula>NOT(ISERROR(SEARCH("Complete",G52)))</formula>
    </cfRule>
    <cfRule type="containsText" dxfId="417" priority="135" operator="containsText" text="Outstanding">
      <formula>NOT(ISERROR(SEARCH("Outstanding",G52)))</formula>
    </cfRule>
  </conditionalFormatting>
  <conditionalFormatting sqref="G82:G84">
    <cfRule type="containsText" dxfId="416" priority="124" operator="containsText" text="In progress">
      <formula>NOT(ISERROR(SEARCH("In progress",G82)))</formula>
    </cfRule>
    <cfRule type="containsText" dxfId="415" priority="125" operator="containsText" text="Complete">
      <formula>NOT(ISERROR(SEARCH("Complete",G82)))</formula>
    </cfRule>
    <cfRule type="containsText" dxfId="414" priority="126" operator="containsText" text="Outstanding">
      <formula>NOT(ISERROR(SEARCH("Outstanding",G82)))</formula>
    </cfRule>
  </conditionalFormatting>
  <conditionalFormatting sqref="G223:G225">
    <cfRule type="containsText" dxfId="413" priority="43" operator="containsText" text="In progress">
      <formula>NOT(ISERROR(SEARCH("In progress",G223)))</formula>
    </cfRule>
    <cfRule type="containsText" dxfId="412" priority="44" operator="containsText" text="Complete">
      <formula>NOT(ISERROR(SEARCH("Complete",G223)))</formula>
    </cfRule>
    <cfRule type="containsText" dxfId="411" priority="45" operator="containsText" text="Outstanding">
      <formula>NOT(ISERROR(SEARCH("Outstanding",G223)))</formula>
    </cfRule>
  </conditionalFormatting>
  <conditionalFormatting sqref="G230:G232">
    <cfRule type="containsText" dxfId="410" priority="40" operator="containsText" text="In progress">
      <formula>NOT(ISERROR(SEARCH("In progress",G230)))</formula>
    </cfRule>
    <cfRule type="containsText" dxfId="409" priority="41" operator="containsText" text="Complete">
      <formula>NOT(ISERROR(SEARCH("Complete",G230)))</formula>
    </cfRule>
    <cfRule type="containsText" dxfId="408" priority="42" operator="containsText" text="Outstanding">
      <formula>NOT(ISERROR(SEARCH("Outstanding",G230)))</formula>
    </cfRule>
  </conditionalFormatting>
  <conditionalFormatting sqref="G216:G218">
    <cfRule type="containsText" dxfId="407" priority="46" operator="containsText" text="In progress">
      <formula>NOT(ISERROR(SEARCH("In progress",G216)))</formula>
    </cfRule>
    <cfRule type="containsText" dxfId="406" priority="47" operator="containsText" text="Complete">
      <formula>NOT(ISERROR(SEARCH("Complete",G216)))</formula>
    </cfRule>
    <cfRule type="containsText" dxfId="405" priority="48" operator="containsText" text="Outstanding">
      <formula>NOT(ISERROR(SEARCH("Outstanding",G216)))</formula>
    </cfRule>
  </conditionalFormatting>
  <conditionalFormatting sqref="G237:G239">
    <cfRule type="containsText" dxfId="404" priority="37" operator="containsText" text="In progress">
      <formula>NOT(ISERROR(SEARCH("In progress",G237)))</formula>
    </cfRule>
    <cfRule type="containsText" dxfId="403" priority="38" operator="containsText" text="Complete">
      <formula>NOT(ISERROR(SEARCH("Complete",G237)))</formula>
    </cfRule>
    <cfRule type="containsText" dxfId="402" priority="39" operator="containsText" text="Outstanding">
      <formula>NOT(ISERROR(SEARCH("Outstanding",G237)))</formula>
    </cfRule>
  </conditionalFormatting>
  <conditionalFormatting sqref="G154:G158">
    <cfRule type="containsText" dxfId="401" priority="34" operator="containsText" text="In progress">
      <formula>NOT(ISERROR(SEARCH("In progress",G154)))</formula>
    </cfRule>
    <cfRule type="containsText" dxfId="400" priority="35" operator="containsText" text="Complete">
      <formula>NOT(ISERROR(SEARCH("Complete",G154)))</formula>
    </cfRule>
    <cfRule type="containsText" dxfId="399" priority="36" operator="containsText" text="Outstanding">
      <formula>NOT(ISERROR(SEARCH("Outstanding",G154)))</formula>
    </cfRule>
  </conditionalFormatting>
  <conditionalFormatting sqref="G258">
    <cfRule type="containsText" dxfId="398" priority="10" operator="containsText" text="In progress">
      <formula>NOT(ISERROR(SEARCH("In progress",G258)))</formula>
    </cfRule>
    <cfRule type="containsText" dxfId="397" priority="11" operator="containsText" text="Complete">
      <formula>NOT(ISERROR(SEARCH("Complete",G258)))</formula>
    </cfRule>
    <cfRule type="containsText" dxfId="396" priority="12" operator="containsText" text="Outstanding">
      <formula>NOT(ISERROR(SEARCH("Outstanding",G258)))</formula>
    </cfRule>
  </conditionalFormatting>
  <conditionalFormatting sqref="G269:G273">
    <cfRule type="containsText" dxfId="395" priority="7" operator="containsText" text="In progress">
      <formula>NOT(ISERROR(SEARCH("In progress",G269)))</formula>
    </cfRule>
    <cfRule type="containsText" dxfId="394" priority="8" operator="containsText" text="Complete">
      <formula>NOT(ISERROR(SEARCH("Complete",G269)))</formula>
    </cfRule>
    <cfRule type="containsText" dxfId="393" priority="9" operator="containsText" text="Outstanding">
      <formula>NOT(ISERROR(SEARCH("Outstanding",G269)))</formula>
    </cfRule>
  </conditionalFormatting>
  <conditionalFormatting sqref="G259">
    <cfRule type="containsText" dxfId="392" priority="13" operator="containsText" text="In progress">
      <formula>NOT(ISERROR(SEARCH("In progress",G259)))</formula>
    </cfRule>
    <cfRule type="containsText" dxfId="391" priority="14" operator="containsText" text="Complete">
      <formula>NOT(ISERROR(SEARCH("Complete",G259)))</formula>
    </cfRule>
    <cfRule type="containsText" dxfId="390" priority="15" operator="containsText" text="Outstanding">
      <formula>NOT(ISERROR(SEARCH("Outstanding",G259)))</formula>
    </cfRule>
  </conditionalFormatting>
  <conditionalFormatting sqref="G268">
    <cfRule type="containsText" dxfId="389" priority="4" operator="containsText" text="In progress">
      <formula>NOT(ISERROR(SEARCH("In progress",G268)))</formula>
    </cfRule>
    <cfRule type="containsText" dxfId="388" priority="5" operator="containsText" text="Complete">
      <formula>NOT(ISERROR(SEARCH("Complete",G268)))</formula>
    </cfRule>
    <cfRule type="containsText" dxfId="387" priority="6" operator="containsText" text="Outstanding">
      <formula>NOT(ISERROR(SEARCH("Outstanding",G268)))</formula>
    </cfRule>
  </conditionalFormatting>
  <conditionalFormatting sqref="G267">
    <cfRule type="containsText" dxfId="386" priority="1" operator="containsText" text="In progress">
      <formula>NOT(ISERROR(SEARCH("In progress",G267)))</formula>
    </cfRule>
    <cfRule type="containsText" dxfId="385" priority="2" operator="containsText" text="Complete">
      <formula>NOT(ISERROR(SEARCH("Complete",G267)))</formula>
    </cfRule>
    <cfRule type="containsText" dxfId="384" priority="3" operator="containsText" text="Outstanding">
      <formula>NOT(ISERROR(SEARCH("Outstanding",G267)))</formula>
    </cfRule>
  </conditionalFormatting>
  <conditionalFormatting sqref="G38:G40">
    <cfRule type="containsText" dxfId="383" priority="139" operator="containsText" text="In progress">
      <formula>NOT(ISERROR(SEARCH("In progress",G38)))</formula>
    </cfRule>
    <cfRule type="containsText" dxfId="382" priority="140" operator="containsText" text="Complete">
      <formula>NOT(ISERROR(SEARCH("Complete",G38)))</formula>
    </cfRule>
    <cfRule type="containsText" dxfId="381" priority="141" operator="containsText" text="Outstanding">
      <formula>NOT(ISERROR(SEARCH("Outstanding",G38)))</formula>
    </cfRule>
  </conditionalFormatting>
  <conditionalFormatting sqref="G45:G47">
    <cfRule type="containsText" dxfId="380" priority="136" operator="containsText" text="In progress">
      <formula>NOT(ISERROR(SEARCH("In progress",G45)))</formula>
    </cfRule>
    <cfRule type="containsText" dxfId="379" priority="137" operator="containsText" text="Complete">
      <formula>NOT(ISERROR(SEARCH("Complete",G45)))</formula>
    </cfRule>
    <cfRule type="containsText" dxfId="378" priority="138" operator="containsText" text="Outstanding">
      <formula>NOT(ISERROR(SEARCH("Outstanding",G45)))</formula>
    </cfRule>
  </conditionalFormatting>
  <conditionalFormatting sqref="G68:G70">
    <cfRule type="containsText" dxfId="377" priority="130" operator="containsText" text="In progress">
      <formula>NOT(ISERROR(SEARCH("In progress",G68)))</formula>
    </cfRule>
    <cfRule type="containsText" dxfId="376" priority="131" operator="containsText" text="Complete">
      <formula>NOT(ISERROR(SEARCH("Complete",G68)))</formula>
    </cfRule>
    <cfRule type="containsText" dxfId="375" priority="132" operator="containsText" text="Outstanding">
      <formula>NOT(ISERROR(SEARCH("Outstanding",G68)))</formula>
    </cfRule>
  </conditionalFormatting>
  <conditionalFormatting sqref="G89:G91">
    <cfRule type="containsText" dxfId="374" priority="121" operator="containsText" text="In progress">
      <formula>NOT(ISERROR(SEARCH("In progress",G89)))</formula>
    </cfRule>
    <cfRule type="containsText" dxfId="373" priority="122" operator="containsText" text="Complete">
      <formula>NOT(ISERROR(SEARCH("Complete",G89)))</formula>
    </cfRule>
    <cfRule type="containsText" dxfId="372" priority="123" operator="containsText" text="Outstanding">
      <formula>NOT(ISERROR(SEARCH("Outstanding",G89)))</formula>
    </cfRule>
  </conditionalFormatting>
  <conditionalFormatting sqref="G96:G98">
    <cfRule type="containsText" dxfId="371" priority="118" operator="containsText" text="In progress">
      <formula>NOT(ISERROR(SEARCH("In progress",G96)))</formula>
    </cfRule>
    <cfRule type="containsText" dxfId="370" priority="119" operator="containsText" text="Complete">
      <formula>NOT(ISERROR(SEARCH("Complete",G96)))</formula>
    </cfRule>
    <cfRule type="containsText" dxfId="369" priority="120" operator="containsText" text="Outstanding">
      <formula>NOT(ISERROR(SEARCH("Outstanding",G96)))</formula>
    </cfRule>
  </conditionalFormatting>
  <conditionalFormatting sqref="G13:G14">
    <cfRule type="containsText" dxfId="368" priority="166" operator="containsText" text="In progress">
      <formula>NOT(ISERROR(SEARCH("In progress",G13)))</formula>
    </cfRule>
    <cfRule type="containsText" dxfId="367" priority="167" operator="containsText" text="Complete">
      <formula>NOT(ISERROR(SEARCH("Complete",G13)))</formula>
    </cfRule>
    <cfRule type="containsText" dxfId="366" priority="168" operator="containsText" text="Outstanding">
      <formula>NOT(ISERROR(SEARCH("Outstanding",G13)))</formula>
    </cfRule>
  </conditionalFormatting>
  <conditionalFormatting sqref="G12">
    <cfRule type="containsText" dxfId="365" priority="163" operator="containsText" text="In progress">
      <formula>NOT(ISERROR(SEARCH("In progress",G12)))</formula>
    </cfRule>
    <cfRule type="containsText" dxfId="364" priority="164" operator="containsText" text="Complete">
      <formula>NOT(ISERROR(SEARCH("Complete",G12)))</formula>
    </cfRule>
    <cfRule type="containsText" dxfId="363" priority="165" operator="containsText" text="Outstanding">
      <formula>NOT(ISERROR(SEARCH("Outstanding",G12)))</formula>
    </cfRule>
  </conditionalFormatting>
  <conditionalFormatting sqref="G11">
    <cfRule type="containsText" dxfId="362" priority="160" operator="containsText" text="In progress">
      <formula>NOT(ISERROR(SEARCH("In progress",G11)))</formula>
    </cfRule>
    <cfRule type="containsText" dxfId="361" priority="161" operator="containsText" text="Complete">
      <formula>NOT(ISERROR(SEARCH("Complete",G11)))</formula>
    </cfRule>
    <cfRule type="containsText" dxfId="360" priority="162" operator="containsText" text="Outstanding">
      <formula>NOT(ISERROR(SEARCH("Outstanding",G11)))</formula>
    </cfRule>
  </conditionalFormatting>
  <conditionalFormatting sqref="G161">
    <cfRule type="containsText" dxfId="359" priority="157" operator="containsText" text="In progress">
      <formula>NOT(ISERROR(SEARCH("In progress",G161)))</formula>
    </cfRule>
    <cfRule type="containsText" dxfId="358" priority="158" operator="containsText" text="Complete">
      <formula>NOT(ISERROR(SEARCH("Complete",G161)))</formula>
    </cfRule>
    <cfRule type="containsText" dxfId="357" priority="159" operator="containsText" text="Outstanding">
      <formula>NOT(ISERROR(SEARCH("Outstanding",G161)))</formula>
    </cfRule>
  </conditionalFormatting>
  <conditionalFormatting sqref="G205">
    <cfRule type="containsText" dxfId="356" priority="154" operator="containsText" text="In progress">
      <formula>NOT(ISERROR(SEARCH("In progress",G205)))</formula>
    </cfRule>
    <cfRule type="containsText" dxfId="355" priority="155" operator="containsText" text="Complete">
      <formula>NOT(ISERROR(SEARCH("Complete",G205)))</formula>
    </cfRule>
    <cfRule type="containsText" dxfId="354" priority="156" operator="containsText" text="Outstanding">
      <formula>NOT(ISERROR(SEARCH("Outstanding",G205)))</formula>
    </cfRule>
  </conditionalFormatting>
  <conditionalFormatting sqref="G75:G77">
    <cfRule type="containsText" dxfId="353" priority="127" operator="containsText" text="In progress">
      <formula>NOT(ISERROR(SEARCH("In progress",G75)))</formula>
    </cfRule>
    <cfRule type="containsText" dxfId="352" priority="128" operator="containsText" text="Complete">
      <formula>NOT(ISERROR(SEARCH("Complete",G75)))</formula>
    </cfRule>
    <cfRule type="containsText" dxfId="351" priority="129" operator="containsText" text="Outstanding">
      <formula>NOT(ISERROR(SEARCH("Outstanding",G75)))</formula>
    </cfRule>
  </conditionalFormatting>
  <conditionalFormatting sqref="G193:G195">
    <cfRule type="containsText" dxfId="350" priority="70" operator="containsText" text="In progress">
      <formula>NOT(ISERROR(SEARCH("In progress",G193)))</formula>
    </cfRule>
    <cfRule type="containsText" dxfId="349" priority="71" operator="containsText" text="Complete">
      <formula>NOT(ISERROR(SEARCH("Complete",G193)))</formula>
    </cfRule>
    <cfRule type="containsText" dxfId="348" priority="72" operator="containsText" text="Outstanding">
      <formula>NOT(ISERROR(SEARCH("Outstanding",G193)))</formula>
    </cfRule>
  </conditionalFormatting>
  <conditionalFormatting sqref="G209:G211">
    <cfRule type="containsText" dxfId="347" priority="49" operator="containsText" text="In progress">
      <formula>NOT(ISERROR(SEARCH("In progress",G209)))</formula>
    </cfRule>
    <cfRule type="containsText" dxfId="346" priority="50" operator="containsText" text="Complete">
      <formula>NOT(ISERROR(SEARCH("Complete",G209)))</formula>
    </cfRule>
    <cfRule type="containsText" dxfId="345" priority="51" operator="containsText" text="Outstanding">
      <formula>NOT(ISERROR(SEARCH("Outstanding",G209)))</formula>
    </cfRule>
  </conditionalFormatting>
  <conditionalFormatting sqref="G153">
    <cfRule type="containsText" dxfId="344" priority="31" operator="containsText" text="In progress">
      <formula>NOT(ISERROR(SEARCH("In progress",G153)))</formula>
    </cfRule>
    <cfRule type="containsText" dxfId="343" priority="32" operator="containsText" text="Complete">
      <formula>NOT(ISERROR(SEARCH("Complete",G153)))</formula>
    </cfRule>
    <cfRule type="containsText" dxfId="342" priority="33" operator="containsText" text="Outstanding">
      <formula>NOT(ISERROR(SEARCH("Outstanding",G153)))</formula>
    </cfRule>
  </conditionalFormatting>
  <conditionalFormatting sqref="G152">
    <cfRule type="containsText" dxfId="341" priority="28" operator="containsText" text="In progress">
      <formula>NOT(ISERROR(SEARCH("In progress",G152)))</formula>
    </cfRule>
    <cfRule type="containsText" dxfId="340" priority="29" operator="containsText" text="Complete">
      <formula>NOT(ISERROR(SEARCH("Complete",G152)))</formula>
    </cfRule>
    <cfRule type="containsText" dxfId="339" priority="30" operator="containsText" text="Outstanding">
      <formula>NOT(ISERROR(SEARCH("Outstanding",G152)))</formula>
    </cfRule>
  </conditionalFormatting>
  <conditionalFormatting sqref="G251:G255">
    <cfRule type="containsText" dxfId="338" priority="25" operator="containsText" text="In progress">
      <formula>NOT(ISERROR(SEARCH("In progress",G251)))</formula>
    </cfRule>
    <cfRule type="containsText" dxfId="337" priority="26" operator="containsText" text="Complete">
      <formula>NOT(ISERROR(SEARCH("Complete",G251)))</formula>
    </cfRule>
    <cfRule type="containsText" dxfId="336" priority="27" operator="containsText" text="Outstanding">
      <formula>NOT(ISERROR(SEARCH("Outstanding",G251)))</formula>
    </cfRule>
  </conditionalFormatting>
  <conditionalFormatting sqref="G250">
    <cfRule type="containsText" dxfId="335" priority="22" operator="containsText" text="In progress">
      <formula>NOT(ISERROR(SEARCH("In progress",G250)))</formula>
    </cfRule>
    <cfRule type="containsText" dxfId="334" priority="23" operator="containsText" text="Complete">
      <formula>NOT(ISERROR(SEARCH("Complete",G250)))</formula>
    </cfRule>
    <cfRule type="containsText" dxfId="333" priority="24" operator="containsText" text="Outstanding">
      <formula>NOT(ISERROR(SEARCH("Outstanding",G250)))</formula>
    </cfRule>
  </conditionalFormatting>
  <conditionalFormatting sqref="G249">
    <cfRule type="containsText" dxfId="332" priority="19" operator="containsText" text="In progress">
      <formula>NOT(ISERROR(SEARCH("In progress",G249)))</formula>
    </cfRule>
    <cfRule type="containsText" dxfId="331" priority="20" operator="containsText" text="Complete">
      <formula>NOT(ISERROR(SEARCH("Complete",G249)))</formula>
    </cfRule>
    <cfRule type="containsText" dxfId="330" priority="21" operator="containsText" text="Outstanding">
      <formula>NOT(ISERROR(SEARCH("Outstanding",G249)))</formula>
    </cfRule>
  </conditionalFormatting>
  <conditionalFormatting sqref="G260:G264">
    <cfRule type="containsText" dxfId="329" priority="16" operator="containsText" text="In progress">
      <formula>NOT(ISERROR(SEARCH("In progress",G260)))</formula>
    </cfRule>
    <cfRule type="containsText" dxfId="328" priority="17" operator="containsText" text="Complete">
      <formula>NOT(ISERROR(SEARCH("Complete",G260)))</formula>
    </cfRule>
    <cfRule type="containsText" dxfId="327" priority="18" operator="containsText" text="Outstanding">
      <formula>NOT(ISERROR(SEARCH("Outstanding",G260)))</formula>
    </cfRule>
  </conditionalFormatting>
  <pageMargins left="0.7" right="0.7" top="0.75" bottom="0.75" header="0.3" footer="0.3"/>
  <pageSetup paperSize="256"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containsText" priority="169" operator="containsText" text="In progress" id="{534B6D21-78ED-4A08-9B0E-80483B6F7726}">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170" operator="containsText" text="Complete" id="{80F105E5-C86B-4AAF-A5CD-58EDEE09776B}">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171" operator="containsText" text="Outstanding" id="{CD182E56-0416-4719-B488-056B8933E625}">
            <xm:f>NOT(ISERROR(SEARCH("Outstanding",'https://arup.sharepoint.com/teams/prj-26714700/DataDocumentsLibrary/4-04 Calculations/Mech/[UCB utilities calculation_2019-03-15.xlsx]Utility loads'!#REF!)))</xm:f>
            <x14:dxf>
              <font>
                <color auto="1"/>
              </font>
              <fill>
                <patternFill>
                  <bgColor theme="6"/>
                </patternFill>
              </fill>
            </x14:dxf>
          </x14:cfRule>
          <xm:sqref>G20:G23</xm:sqref>
        </x14:conditionalFormatting>
        <x14:conditionalFormatting xmlns:xm="http://schemas.microsoft.com/office/excel/2006/main">
          <x14:cfRule type="containsText" priority="172" operator="containsText" text="In progress" id="{BB1547BF-0593-4AD3-9422-40BC0665CCAC}">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173" operator="containsText" text="Complete" id="{1E5B7CEC-187C-4F36-98EA-4408C44EA9DC}">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174" operator="containsText" text="Outstanding" id="{12F3405C-81B9-4C34-AA7D-87F2343D6CA7}">
            <xm:f>NOT(ISERROR(SEARCH("Outstanding",'https://arup.sharepoint.com/teams/prj-26714700/DataDocumentsLibrary/4-04 Calculations/Mech/[UCB utilities calculation_2019-03-15.xlsx]Utility loads'!#REF!)))</xm:f>
            <x14:dxf>
              <font>
                <color auto="1"/>
              </font>
              <fill>
                <patternFill>
                  <bgColor theme="6"/>
                </patternFill>
              </fill>
            </x14:dxf>
          </x14:cfRule>
          <xm:sqref>G27:G30</xm:sqref>
        </x14:conditionalFormatting>
        <x14:conditionalFormatting xmlns:xm="http://schemas.microsoft.com/office/excel/2006/main">
          <x14:cfRule type="containsText" priority="175" operator="containsText" text="In progress" id="{84DA259E-7D14-4C13-B1A1-5D41B19B1B1E}">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176" operator="containsText" text="Complete" id="{F645F982-F7A3-4AB6-AD91-8E4FDD0ACDA7}">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177" operator="containsText" text="Outstanding" id="{C298A7AF-545C-4ECD-8C9D-C242AF69077C}">
            <xm:f>NOT(ISERROR(SEARCH("Outstanding",'https://arup.sharepoint.com/teams/prj-26714700/DataDocumentsLibrary/4-04 Calculations/Mech/[UCB utilities calculation_2019-03-15.xlsx]Utility loads'!#REF!)))</xm:f>
            <x14:dxf>
              <font>
                <color auto="1"/>
              </font>
              <fill>
                <patternFill>
                  <bgColor theme="6"/>
                </patternFill>
              </fill>
            </x14:dxf>
          </x14:cfRule>
          <xm:sqref>G34:G37</xm:sqref>
        </x14:conditionalFormatting>
        <x14:conditionalFormatting xmlns:xm="http://schemas.microsoft.com/office/excel/2006/main">
          <x14:cfRule type="containsText" priority="178" operator="containsText" text="In progress" id="{FBCA6016-57B3-4084-ABD9-23572A137149}">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179" operator="containsText" text="Complete" id="{EAC03561-A9A5-45CD-B06B-0EB8A6EF1AC8}">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180" operator="containsText" text="Outstanding" id="{2497D6EC-3CDB-40D3-8630-B094A71C0E21}">
            <xm:f>NOT(ISERROR(SEARCH("Outstanding",'https://arup.sharepoint.com/teams/prj-26714700/DataDocumentsLibrary/4-04 Calculations/Mech/[UCB utilities calculation_2019-03-15.xlsx]Utility loads'!#REF!)))</xm:f>
            <x14:dxf>
              <font>
                <color auto="1"/>
              </font>
              <fill>
                <patternFill>
                  <bgColor theme="6"/>
                </patternFill>
              </fill>
            </x14:dxf>
          </x14:cfRule>
          <xm:sqref>G41:G44</xm:sqref>
        </x14:conditionalFormatting>
        <x14:conditionalFormatting xmlns:xm="http://schemas.microsoft.com/office/excel/2006/main">
          <x14:cfRule type="containsText" priority="181" operator="containsText" text="In progress" id="{10148589-9FA3-4BFA-A03D-491ED09975F0}">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182" operator="containsText" text="Complete" id="{8FB566CC-D9D6-43B8-8F35-3341A0EEC23F}">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183" operator="containsText" text="Outstanding" id="{B97C14FB-6399-452F-B1F9-123B51BFD2E4}">
            <xm:f>NOT(ISERROR(SEARCH("Outstanding",'https://arup.sharepoint.com/teams/prj-26714700/DataDocumentsLibrary/4-04 Calculations/Mech/[UCB utilities calculation_2019-03-15.xlsx]Utility loads'!#REF!)))</xm:f>
            <x14:dxf>
              <font>
                <color auto="1"/>
              </font>
              <fill>
                <patternFill>
                  <bgColor theme="6"/>
                </patternFill>
              </fill>
            </x14:dxf>
          </x14:cfRule>
          <xm:sqref>G48:G51</xm:sqref>
        </x14:conditionalFormatting>
        <x14:conditionalFormatting xmlns:xm="http://schemas.microsoft.com/office/excel/2006/main">
          <x14:cfRule type="containsText" priority="184" operator="containsText" text="In progress" id="{BABD3DB9-57CF-4394-90DB-AA2501A69EA4}">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185" operator="containsText" text="Complete" id="{B8714F4E-529B-489D-8FA3-2C58D949E559}">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186" operator="containsText" text="Outstanding" id="{35339BB8-4C8E-4B73-97B1-735F0FC554AF}">
            <xm:f>NOT(ISERROR(SEARCH("Outstanding",'https://arup.sharepoint.com/teams/prj-26714700/DataDocumentsLibrary/4-04 Calculations/Mech/[UCB utilities calculation_2019-03-15.xlsx]Utility loads'!#REF!)))</xm:f>
            <x14:dxf>
              <font>
                <color auto="1"/>
              </font>
              <fill>
                <patternFill>
                  <bgColor theme="6"/>
                </patternFill>
              </fill>
            </x14:dxf>
          </x14:cfRule>
          <xm:sqref>G55:G58</xm:sqref>
        </x14:conditionalFormatting>
        <x14:conditionalFormatting xmlns:xm="http://schemas.microsoft.com/office/excel/2006/main">
          <x14:cfRule type="containsText" priority="187" operator="containsText" text="In progress" id="{F71CEEFF-F2FC-459F-BA14-A8A32B85675E}">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188" operator="containsText" text="Complete" id="{99BB8CE9-B884-4B44-BA34-35DBB9384CF0}">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189" operator="containsText" text="Outstanding" id="{E17A53CC-8EA1-40FF-86E1-12AC57ACA67B}">
            <xm:f>NOT(ISERROR(SEARCH("Outstanding",'https://arup.sharepoint.com/teams/prj-26714700/DataDocumentsLibrary/4-04 Calculations/Mech/[UCB utilities calculation_2019-03-15.xlsx]Utility loads'!#REF!)))</xm:f>
            <x14:dxf>
              <font>
                <color auto="1"/>
              </font>
              <fill>
                <patternFill>
                  <bgColor theme="6"/>
                </patternFill>
              </fill>
            </x14:dxf>
          </x14:cfRule>
          <xm:sqref>G136:G139</xm:sqref>
        </x14:conditionalFormatting>
        <x14:conditionalFormatting xmlns:xm="http://schemas.microsoft.com/office/excel/2006/main">
          <x14:cfRule type="containsText" priority="190" operator="containsText" text="In progress" id="{EB8E8694-E1DE-4E36-BC8B-45D1E4BCB7E2}">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191" operator="containsText" text="Complete" id="{AABD815D-9115-4515-8B8C-13E6FCFAA4A9}">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192" operator="containsText" text="Outstanding" id="{F2C82540-7A94-4EB3-91DA-05D6BB07941B}">
            <xm:f>NOT(ISERROR(SEARCH("Outstanding",'https://arup.sharepoint.com/teams/prj-26714700/DataDocumentsLibrary/4-04 Calculations/Mech/[UCB utilities calculation_2019-03-15.xlsx]Utility loads'!#REF!)))</xm:f>
            <x14:dxf>
              <font>
                <color auto="1"/>
              </font>
              <fill>
                <patternFill>
                  <bgColor theme="6"/>
                </patternFill>
              </fill>
            </x14:dxf>
          </x14:cfRule>
          <xm:sqref>G129:G132</xm:sqref>
        </x14:conditionalFormatting>
        <x14:conditionalFormatting xmlns:xm="http://schemas.microsoft.com/office/excel/2006/main">
          <x14:cfRule type="containsText" priority="193" operator="containsText" text="In progress" id="{AC480C8F-183F-4791-AF89-B26C1476E984}">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194" operator="containsText" text="Complete" id="{13353066-FC4B-4F95-9F4F-6B73D534D377}">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195" operator="containsText" text="Outstanding" id="{701D6BB8-D4E9-4507-9FC5-71536123F73C}">
            <xm:f>NOT(ISERROR(SEARCH("Outstanding",'https://arup.sharepoint.com/teams/prj-26714700/DataDocumentsLibrary/4-04 Calculations/Mech/[UCB utilities calculation_2019-03-15.xlsx]Utility loads'!#REF!)))</xm:f>
            <x14:dxf>
              <font>
                <color auto="1"/>
              </font>
              <fill>
                <patternFill>
                  <bgColor theme="6"/>
                </patternFill>
              </fill>
            </x14:dxf>
          </x14:cfRule>
          <xm:sqref>G122:G125</xm:sqref>
        </x14:conditionalFormatting>
        <x14:conditionalFormatting xmlns:xm="http://schemas.microsoft.com/office/excel/2006/main">
          <x14:cfRule type="containsText" priority="196" operator="containsText" text="In progress" id="{AA4DCC25-06F5-4EC8-B3CF-14C0B440CAEC}">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197" operator="containsText" text="Complete" id="{E03284AA-DC67-4E30-BB07-09FD58AA4B11}">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198" operator="containsText" text="Outstanding" id="{2DF70801-6890-4EFE-A85B-329364E973FA}">
            <xm:f>NOT(ISERROR(SEARCH("Outstanding",'https://arup.sharepoint.com/teams/prj-26714700/DataDocumentsLibrary/4-04 Calculations/Mech/[UCB utilities calculation_2019-03-15.xlsx]Utility loads'!#REF!)))</xm:f>
            <x14:dxf>
              <font>
                <color auto="1"/>
              </font>
              <fill>
                <patternFill>
                  <bgColor theme="6"/>
                </patternFill>
              </fill>
            </x14:dxf>
          </x14:cfRule>
          <xm:sqref>G115:G118</xm:sqref>
        </x14:conditionalFormatting>
        <x14:conditionalFormatting xmlns:xm="http://schemas.microsoft.com/office/excel/2006/main">
          <x14:cfRule type="containsText" priority="199" operator="containsText" text="In progress" id="{B7738C6E-F6E5-4A1C-B8A1-5C4D60D1F4A2}">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200" operator="containsText" text="Complete" id="{6A196B98-53E4-4900-A61B-7A472DD86996}">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201" operator="containsText" text="Outstanding" id="{295BC7BF-828B-4B08-A260-00A6ED8B9899}">
            <xm:f>NOT(ISERROR(SEARCH("Outstanding",'https://arup.sharepoint.com/teams/prj-26714700/DataDocumentsLibrary/4-04 Calculations/Mech/[UCB utilities calculation_2019-03-15.xlsx]Utility loads'!#REF!)))</xm:f>
            <x14:dxf>
              <font>
                <color auto="1"/>
              </font>
              <fill>
                <patternFill>
                  <bgColor theme="6"/>
                </patternFill>
              </fill>
            </x14:dxf>
          </x14:cfRule>
          <xm:sqref>G108:G111</xm:sqref>
        </x14:conditionalFormatting>
        <x14:conditionalFormatting xmlns:xm="http://schemas.microsoft.com/office/excel/2006/main">
          <x14:cfRule type="containsText" priority="52" operator="containsText" text="In progress" id="{0B0436BB-1785-40A6-A779-7DB15645E62A}">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53" operator="containsText" text="Complete" id="{27CC9B24-D9ED-4B54-84E4-AA2BB73A6BA0}">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54" operator="containsText" text="Outstanding" id="{AEA3EEA1-8C1B-4089-B650-6F0321174D5B}">
            <xm:f>NOT(ISERROR(SEARCH("Outstanding",'https://arup.sharepoint.com/teams/prj-26714700/DataDocumentsLibrary/4-04 Calculations/Mech/[UCB utilities calculation_2019-03-15.xlsx]Utility loads'!#REF!)))</xm:f>
            <x14:dxf>
              <font>
                <color auto="1"/>
              </font>
              <fill>
                <patternFill>
                  <bgColor theme="6"/>
                </patternFill>
              </fill>
            </x14:dxf>
          </x14:cfRule>
          <xm:sqref>G206:G208</xm:sqref>
        </x14:conditionalFormatting>
        <x14:conditionalFormatting xmlns:xm="http://schemas.microsoft.com/office/excel/2006/main">
          <x14:cfRule type="containsText" priority="55" operator="containsText" text="In progress" id="{B2D92064-6CF5-46A9-932B-505226DF4107}">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56" operator="containsText" text="Complete" id="{C96EADCE-0E65-4950-8AA6-D16FDE40B89A}">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57" operator="containsText" text="Outstanding" id="{967CBB2C-1B55-4428-9922-DC2E06BCB6B3}">
            <xm:f>NOT(ISERROR(SEARCH("Outstanding",'https://arup.sharepoint.com/teams/prj-26714700/DataDocumentsLibrary/4-04 Calculations/Mech/[UCB utilities calculation_2019-03-15.xlsx]Utility loads'!#REF!)))</xm:f>
            <x14:dxf>
              <font>
                <color auto="1"/>
              </font>
              <fill>
                <patternFill>
                  <bgColor theme="6"/>
                </patternFill>
              </fill>
            </x14:dxf>
          </x14:cfRule>
          <xm:sqref>G212:G215</xm:sqref>
        </x14:conditionalFormatting>
        <x14:conditionalFormatting xmlns:xm="http://schemas.microsoft.com/office/excel/2006/main">
          <x14:cfRule type="containsText" priority="58" operator="containsText" text="In progress" id="{2160F27C-0E91-49C5-A349-D0C4B1F9940F}">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59" operator="containsText" text="Complete" id="{11984E02-D052-4A7C-B3FE-E54A77C81CA6}">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60" operator="containsText" text="Outstanding" id="{AAD90E84-FACF-4568-B35A-7CAB5CAFC906}">
            <xm:f>NOT(ISERROR(SEARCH("Outstanding",'https://arup.sharepoint.com/teams/prj-26714700/DataDocumentsLibrary/4-04 Calculations/Mech/[UCB utilities calculation_2019-03-15.xlsx]Utility loads'!#REF!)))</xm:f>
            <x14:dxf>
              <font>
                <color auto="1"/>
              </font>
              <fill>
                <patternFill>
                  <bgColor theme="6"/>
                </patternFill>
              </fill>
            </x14:dxf>
          </x14:cfRule>
          <xm:sqref>G219:G222</xm:sqref>
        </x14:conditionalFormatting>
        <x14:conditionalFormatting xmlns:xm="http://schemas.microsoft.com/office/excel/2006/main">
          <x14:cfRule type="containsText" priority="61" operator="containsText" text="In progress" id="{E9C27CC7-91C9-4FC5-B82B-2EF59D9E6E48}">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62" operator="containsText" text="Complete" id="{EF81C585-0709-4E3C-9DDF-D4B428896C1A}">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63" operator="containsText" text="Outstanding" id="{44A0E3FB-6EE8-46DA-90DE-56759ED0630A}">
            <xm:f>NOT(ISERROR(SEARCH("Outstanding",'https://arup.sharepoint.com/teams/prj-26714700/DataDocumentsLibrary/4-04 Calculations/Mech/[UCB utilities calculation_2019-03-15.xlsx]Utility loads'!#REF!)))</xm:f>
            <x14:dxf>
              <font>
                <color auto="1"/>
              </font>
              <fill>
                <patternFill>
                  <bgColor theme="6"/>
                </patternFill>
              </fill>
            </x14:dxf>
          </x14:cfRule>
          <xm:sqref>G226:G229</xm:sqref>
        </x14:conditionalFormatting>
        <x14:conditionalFormatting xmlns:xm="http://schemas.microsoft.com/office/excel/2006/main">
          <x14:cfRule type="containsText" priority="64" operator="containsText" text="In progress" id="{0AB32AB9-4FCC-4E1D-8417-78D9CA30F06B}">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65" operator="containsText" text="Complete" id="{203023A8-7563-4C38-B470-95396D76D390}">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66" operator="containsText" text="Outstanding" id="{D5FE7505-2152-4CA0-A7CA-A10A79EBC6D0}">
            <xm:f>NOT(ISERROR(SEARCH("Outstanding",'https://arup.sharepoint.com/teams/prj-26714700/DataDocumentsLibrary/4-04 Calculations/Mech/[UCB utilities calculation_2019-03-15.xlsx]Utility loads'!#REF!)))</xm:f>
            <x14:dxf>
              <font>
                <color auto="1"/>
              </font>
              <fill>
                <patternFill>
                  <bgColor theme="6"/>
                </patternFill>
              </fill>
            </x14:dxf>
          </x14:cfRule>
          <xm:sqref>G233:G236</xm:sqref>
        </x14:conditionalFormatting>
        <x14:conditionalFormatting xmlns:xm="http://schemas.microsoft.com/office/excel/2006/main">
          <x14:cfRule type="containsText" priority="151" operator="containsText" text="In progress" id="{1F53CE3D-851D-4A5F-9375-4E7DD578B40B}">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152" operator="containsText" text="Complete" id="{EF89CE60-98D2-4E3E-9F26-C677FF7A32B3}">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153" operator="containsText" text="Outstanding" id="{A12C82EA-1958-4A66-8F62-6F5494E3DA54}">
            <xm:f>NOT(ISERROR(SEARCH("Outstanding",'https://arup.sharepoint.com/teams/prj-26714700/DataDocumentsLibrary/4-04 Calculations/Mech/[UCB utilities calculation_2019-03-15.xlsx]Utility loads'!#REF!)))</xm:f>
            <x14:dxf>
              <font>
                <color auto="1"/>
              </font>
              <fill>
                <patternFill>
                  <bgColor theme="6"/>
                </patternFill>
              </fill>
            </x14:dxf>
          </x14:cfRule>
          <xm:sqref>G143:G146</xm:sqref>
        </x14:conditionalFormatting>
        <x14:conditionalFormatting xmlns:xm="http://schemas.microsoft.com/office/excel/2006/main">
          <x14:cfRule type="containsText" priority="148" operator="containsText" text="In progress" id="{E2407D3F-B152-4875-B7C5-737009953B69}">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149" operator="containsText" text="Complete" id="{98ADBEE7-1E96-4473-A7D5-062BFB5B8CEA}">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150" operator="containsText" text="Outstanding" id="{04089993-AE50-44AB-8563-51AEB5917670}">
            <xm:f>NOT(ISERROR(SEARCH("Outstanding",'https://arup.sharepoint.com/teams/prj-26714700/DataDocumentsLibrary/4-04 Calculations/Mech/[UCB utilities calculation_2019-03-15.xlsx]Utility loads'!#REF!)))</xm:f>
            <x14:dxf>
              <font>
                <color auto="1"/>
              </font>
              <fill>
                <patternFill>
                  <bgColor theme="6"/>
                </patternFill>
              </fill>
            </x14:dxf>
          </x14:cfRule>
          <xm:sqref>G150:G151</xm:sqref>
        </x14:conditionalFormatting>
        <x14:conditionalFormatting xmlns:xm="http://schemas.microsoft.com/office/excel/2006/main">
          <x14:cfRule type="containsText" priority="202" operator="containsText" text="In progress" id="{F40D27A2-F2DA-41AD-B643-FBF548BBE403}">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203" operator="containsText" text="Complete" id="{E784B10D-887C-4F40-A5CB-1FD1B0A09542}">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204" operator="containsText" text="Outstanding" id="{83EFC73D-F7CF-437B-BBA0-B6BD73D1E56A}">
            <xm:f>NOT(ISERROR(SEARCH("Outstanding",'https://arup.sharepoint.com/teams/prj-26714700/DataDocumentsLibrary/4-04 Calculations/Mech/[UCB utilities calculation_2019-03-15.xlsx]Utility loads'!#REF!)))</xm:f>
            <x14:dxf>
              <font>
                <color auto="1"/>
              </font>
              <fill>
                <patternFill>
                  <bgColor theme="6"/>
                </patternFill>
              </fill>
            </x14:dxf>
          </x14:cfRule>
          <xm:sqref>G99:G102</xm:sqref>
        </x14:conditionalFormatting>
        <x14:conditionalFormatting xmlns:xm="http://schemas.microsoft.com/office/excel/2006/main">
          <x14:cfRule type="containsText" priority="205" operator="containsText" text="In progress" id="{6AA236FD-2616-42F9-AC82-62545F7C07C1}">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206" operator="containsText" text="Complete" id="{E1AB4D91-5CA8-4483-8598-0C610F439403}">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207" operator="containsText" text="Outstanding" id="{25C6F977-EEA1-4AD6-86C1-28111E95E1FD}">
            <xm:f>NOT(ISERROR(SEARCH("Outstanding",'https://arup.sharepoint.com/teams/prj-26714700/DataDocumentsLibrary/4-04 Calculations/Mech/[UCB utilities calculation_2019-03-15.xlsx]Utility loads'!#REF!)))</xm:f>
            <x14:dxf>
              <font>
                <color auto="1"/>
              </font>
              <fill>
                <patternFill>
                  <bgColor theme="6"/>
                </patternFill>
              </fill>
            </x14:dxf>
          </x14:cfRule>
          <xm:sqref>G92:G95</xm:sqref>
        </x14:conditionalFormatting>
        <x14:conditionalFormatting xmlns:xm="http://schemas.microsoft.com/office/excel/2006/main">
          <x14:cfRule type="containsText" priority="208" operator="containsText" text="In progress" id="{0A401D64-2285-4647-9042-B2E41343F676}">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209" operator="containsText" text="Complete" id="{2DCD84B0-68B8-4B87-AB71-8489BD29B9AC}">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210" operator="containsText" text="Outstanding" id="{76446713-7631-45AE-A0CD-92F7AF07C9DD}">
            <xm:f>NOT(ISERROR(SEARCH("Outstanding",'https://arup.sharepoint.com/teams/prj-26714700/DataDocumentsLibrary/4-04 Calculations/Mech/[UCB utilities calculation_2019-03-15.xlsx]Utility loads'!#REF!)))</xm:f>
            <x14:dxf>
              <font>
                <color auto="1"/>
              </font>
              <fill>
                <patternFill>
                  <bgColor theme="6"/>
                </patternFill>
              </fill>
            </x14:dxf>
          </x14:cfRule>
          <xm:sqref>G85:G88</xm:sqref>
        </x14:conditionalFormatting>
        <x14:conditionalFormatting xmlns:xm="http://schemas.microsoft.com/office/excel/2006/main">
          <x14:cfRule type="containsText" priority="211" operator="containsText" text="In progress" id="{19066AEA-7404-4909-847B-88000DC03B35}">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212" operator="containsText" text="Complete" id="{160C8663-146B-4522-B7EC-727729239E55}">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213" operator="containsText" text="Outstanding" id="{9098547D-2B87-4212-ADBB-8FFA82A2D4C7}">
            <xm:f>NOT(ISERROR(SEARCH("Outstanding",'https://arup.sharepoint.com/teams/prj-26714700/DataDocumentsLibrary/4-04 Calculations/Mech/[UCB utilities calculation_2019-03-15.xlsx]Utility loads'!#REF!)))</xm:f>
            <x14:dxf>
              <font>
                <color auto="1"/>
              </font>
              <fill>
                <patternFill>
                  <bgColor theme="6"/>
                </patternFill>
              </fill>
            </x14:dxf>
          </x14:cfRule>
          <xm:sqref>G78:G81</xm:sqref>
        </x14:conditionalFormatting>
        <x14:conditionalFormatting xmlns:xm="http://schemas.microsoft.com/office/excel/2006/main">
          <x14:cfRule type="containsText" priority="214" operator="containsText" text="In progress" id="{AF21783A-1981-439B-9325-6D7FD4C98C31}">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215" operator="containsText" text="Complete" id="{7F35C002-0AAE-4560-B6ED-19D3389624BA}">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216" operator="containsText" text="Outstanding" id="{EC507ECB-B849-4266-9ED9-3CB87121EF40}">
            <xm:f>NOT(ISERROR(SEARCH("Outstanding",'https://arup.sharepoint.com/teams/prj-26714700/DataDocumentsLibrary/4-04 Calculations/Mech/[UCB utilities calculation_2019-03-15.xlsx]Utility loads'!#REF!)))</xm:f>
            <x14:dxf>
              <font>
                <color auto="1"/>
              </font>
              <fill>
                <patternFill>
                  <bgColor theme="6"/>
                </patternFill>
              </fill>
            </x14:dxf>
          </x14:cfRule>
          <xm:sqref>G71:G74</xm:sqref>
        </x14:conditionalFormatting>
        <x14:conditionalFormatting xmlns:xm="http://schemas.microsoft.com/office/excel/2006/main">
          <x14:cfRule type="containsText" priority="217" operator="containsText" text="In progress" id="{3B6B7E0B-4A91-4812-9DEA-74DC62C3B3BB}">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218" operator="containsText" text="Complete" id="{CC680804-022F-4112-85B2-4E34C0EA612D}">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219" operator="containsText" text="Outstanding" id="{2A609E20-1E40-4721-9277-95E2F17C01CF}">
            <xm:f>NOT(ISERROR(SEARCH("Outstanding",'https://arup.sharepoint.com/teams/prj-26714700/DataDocumentsLibrary/4-04 Calculations/Mech/[UCB utilities calculation_2019-03-15.xlsx]Utility loads'!#REF!)))</xm:f>
            <x14:dxf>
              <font>
                <color auto="1"/>
              </font>
              <fill>
                <patternFill>
                  <bgColor theme="6"/>
                </patternFill>
              </fill>
            </x14:dxf>
          </x14:cfRule>
          <xm:sqref>G64:G67</xm:sqref>
        </x14:conditionalFormatting>
        <x14:conditionalFormatting xmlns:xm="http://schemas.microsoft.com/office/excel/2006/main">
          <x14:cfRule type="containsText" priority="85" operator="containsText" text="In progress" id="{9A1DD9C4-D66F-4948-BA8A-6B34F72843A6}">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86" operator="containsText" text="Complete" id="{E8DF060D-C380-49DF-AF77-01827702BF22}">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87" operator="containsText" text="Outstanding" id="{7FA4D786-36D3-423A-BBFE-FE817F299783}">
            <xm:f>NOT(ISERROR(SEARCH("Outstanding",'https://arup.sharepoint.com/teams/prj-26714700/DataDocumentsLibrary/4-04 Calculations/Mech/[UCB utilities calculation_2019-03-15.xlsx]Utility loads'!#REF!)))</xm:f>
            <x14:dxf>
              <font>
                <color auto="1"/>
              </font>
              <fill>
                <patternFill>
                  <bgColor theme="6"/>
                </patternFill>
              </fill>
            </x14:dxf>
          </x14:cfRule>
          <xm:sqref>G162:G164</xm:sqref>
        </x14:conditionalFormatting>
        <x14:conditionalFormatting xmlns:xm="http://schemas.microsoft.com/office/excel/2006/main">
          <x14:cfRule type="containsText" priority="88" operator="containsText" text="In progress" id="{F84470EB-B36A-4C57-AD64-1575471BB197}">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89" operator="containsText" text="Complete" id="{80B5D58A-5032-4D41-8C10-30F6A1EAF371}">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90" operator="containsText" text="Outstanding" id="{A42103DD-D01B-437B-90B5-AA4ABF902CC7}">
            <xm:f>NOT(ISERROR(SEARCH("Outstanding",'https://arup.sharepoint.com/teams/prj-26714700/DataDocumentsLibrary/4-04 Calculations/Mech/[UCB utilities calculation_2019-03-15.xlsx]Utility loads'!#REF!)))</xm:f>
            <x14:dxf>
              <font>
                <color auto="1"/>
              </font>
              <fill>
                <patternFill>
                  <bgColor theme="6"/>
                </patternFill>
              </fill>
            </x14:dxf>
          </x14:cfRule>
          <xm:sqref>G168:G171</xm:sqref>
        </x14:conditionalFormatting>
        <x14:conditionalFormatting xmlns:xm="http://schemas.microsoft.com/office/excel/2006/main">
          <x14:cfRule type="containsText" priority="91" operator="containsText" text="In progress" id="{A2F137FB-1B5C-4AA5-A635-2B40D0818071}">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92" operator="containsText" text="Complete" id="{6399AAE6-C1CA-42FD-A7DE-222202BE7DC2}">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93" operator="containsText" text="Outstanding" id="{49DB0691-4E57-46DE-B2C8-763B943C0A6D}">
            <xm:f>NOT(ISERROR(SEARCH("Outstanding",'https://arup.sharepoint.com/teams/prj-26714700/DataDocumentsLibrary/4-04 Calculations/Mech/[UCB utilities calculation_2019-03-15.xlsx]Utility loads'!#REF!)))</xm:f>
            <x14:dxf>
              <font>
                <color auto="1"/>
              </font>
              <fill>
                <patternFill>
                  <bgColor theme="6"/>
                </patternFill>
              </fill>
            </x14:dxf>
          </x14:cfRule>
          <xm:sqref>G175:G178</xm:sqref>
        </x14:conditionalFormatting>
        <x14:conditionalFormatting xmlns:xm="http://schemas.microsoft.com/office/excel/2006/main">
          <x14:cfRule type="containsText" priority="94" operator="containsText" text="In progress" id="{E9593BB7-5823-4BE9-B8B4-BDFF06D46975}">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95" operator="containsText" text="Complete" id="{FF5C05DD-6424-47D0-91D9-7539B844B440}">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96" operator="containsText" text="Outstanding" id="{BFFCBD61-75B8-4160-A87D-86BA83C6F3C7}">
            <xm:f>NOT(ISERROR(SEARCH("Outstanding",'https://arup.sharepoint.com/teams/prj-26714700/DataDocumentsLibrary/4-04 Calculations/Mech/[UCB utilities calculation_2019-03-15.xlsx]Utility loads'!#REF!)))</xm:f>
            <x14:dxf>
              <font>
                <color auto="1"/>
              </font>
              <fill>
                <patternFill>
                  <bgColor theme="6"/>
                </patternFill>
              </fill>
            </x14:dxf>
          </x14:cfRule>
          <xm:sqref>G182:G185</xm:sqref>
        </x14:conditionalFormatting>
        <x14:conditionalFormatting xmlns:xm="http://schemas.microsoft.com/office/excel/2006/main">
          <x14:cfRule type="containsText" priority="97" operator="containsText" text="In progress" id="{E310FA87-03E4-490D-B63C-053EDF836B90}">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98" operator="containsText" text="Complete" id="{560260F1-7971-485A-9308-CC9587BE256D}">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99" operator="containsText" text="Outstanding" id="{70B3732E-366E-4BF9-9148-73A4B87DF5D9}">
            <xm:f>NOT(ISERROR(SEARCH("Outstanding",'https://arup.sharepoint.com/teams/prj-26714700/DataDocumentsLibrary/4-04 Calculations/Mech/[UCB utilities calculation_2019-03-15.xlsx]Utility loads'!#REF!)))</xm:f>
            <x14:dxf>
              <font>
                <color auto="1"/>
              </font>
              <fill>
                <patternFill>
                  <bgColor theme="6"/>
                </patternFill>
              </fill>
            </x14:dxf>
          </x14:cfRule>
          <xm:sqref>G189:G192</xm:sqref>
        </x14:conditionalFormatting>
        <x14:conditionalFormatting xmlns:xm="http://schemas.microsoft.com/office/excel/2006/main">
          <x14:cfRule type="containsText" priority="100" operator="containsText" text="In progress" id="{E68DB50F-0F17-4715-AAF0-86A86280D887}">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101" operator="containsText" text="Complete" id="{AB3F42B5-F71E-42AB-A3BF-E4DECC99B3F0}">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102" operator="containsText" text="Outstanding" id="{775519B5-0429-4489-B945-4EB049140F87}">
            <xm:f>NOT(ISERROR(SEARCH("Outstanding",'https://arup.sharepoint.com/teams/prj-26714700/DataDocumentsLibrary/4-04 Calculations/Mech/[UCB utilities calculation_2019-03-15.xlsx]Utility loads'!#REF!)))</xm:f>
            <x14:dxf>
              <font>
                <color auto="1"/>
              </font>
              <fill>
                <patternFill>
                  <bgColor theme="6"/>
                </patternFill>
              </fill>
            </x14:dxf>
          </x14:cfRule>
          <xm:sqref>G196:G199</xm:sqref>
        </x14:conditionalFormatting>
        <x14:conditionalFormatting xmlns:xm="http://schemas.microsoft.com/office/excel/2006/main">
          <x14:cfRule type="containsText" priority="67" operator="containsText" text="In progress" id="{E3A00885-C0FD-491B-942F-DF10F44FB3DE}">
            <xm:f>NOT(ISERROR(SEARCH("In progress",'https://arup.sharepoint.com/teams/prj-26714700/DataDocumentsLibrary/4-04 Calculations/Mech/[UCB utilities calculation_2019-03-15.xlsx]Utility loads'!#REF!)))</xm:f>
            <x14:dxf>
              <font>
                <color auto="1"/>
              </font>
              <fill>
                <patternFill>
                  <bgColor theme="8"/>
                </patternFill>
              </fill>
            </x14:dxf>
          </x14:cfRule>
          <x14:cfRule type="containsText" priority="68" operator="containsText" text="Complete" id="{826887A3-0AD4-4458-9E22-747551ACDFA3}">
            <xm:f>NOT(ISERROR(SEARCH("Complete",'https://arup.sharepoint.com/teams/prj-26714700/DataDocumentsLibrary/4-04 Calculations/Mech/[UCB utilities calculation_2019-03-15.xlsx]Utility loads'!#REF!)))</xm:f>
            <x14:dxf>
              <font>
                <color auto="1"/>
              </font>
              <fill>
                <patternFill>
                  <bgColor theme="9"/>
                </patternFill>
              </fill>
            </x14:dxf>
          </x14:cfRule>
          <x14:cfRule type="containsText" priority="69" operator="containsText" text="Outstanding" id="{0A24826B-B6F8-4CC7-953F-12183D1B783C}">
            <xm:f>NOT(ISERROR(SEARCH("Outstanding",'https://arup.sharepoint.com/teams/prj-26714700/DataDocumentsLibrary/4-04 Calculations/Mech/[UCB utilities calculation_2019-03-15.xlsx]Utility loads'!#REF!)))</xm:f>
            <x14:dxf>
              <font>
                <color auto="1"/>
              </font>
              <fill>
                <patternFill>
                  <bgColor theme="6"/>
                </patternFill>
              </fill>
            </x14:dxf>
          </x14:cfRule>
          <xm:sqref>G240:G243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ata and Document" ma:contentTypeID="0x0101002392094CBAD04C3AB0B65532217FA45A01002C45334909E5A947A6A8F77803323EBB" ma:contentTypeVersion="21" ma:contentTypeDescription="A document that is used on the Arup site" ma:contentTypeScope="" ma:versionID="53f3ade539eaaffb320a8b5a6f93eb07">
  <xsd:schema xmlns:xsd="http://www.w3.org/2001/XMLSchema" xmlns:xs="http://www.w3.org/2001/XMLSchema" xmlns:p="http://schemas.microsoft.com/office/2006/metadata/properties" xmlns:ns1="http://schemas.microsoft.com/sharepoint/v3" xmlns:ns2="06c01af0-c002-478c-bcc9-bf2934c43ae0" xmlns:ns3="106800b4-6023-44af-ac57-49784ebeaf46" targetNamespace="http://schemas.microsoft.com/office/2006/metadata/properties" ma:root="true" ma:fieldsID="fed1e978b91ba965b8ec6cce5f0c0829" ns1:_="" ns2:_="" ns3:_="">
    <xsd:import namespace="http://schemas.microsoft.com/sharepoint/v3"/>
    <xsd:import namespace="06c01af0-c002-478c-bcc9-bf2934c43ae0"/>
    <xsd:import namespace="106800b4-6023-44af-ac57-49784ebeaf46"/>
    <xsd:element name="properties">
      <xsd:complexType>
        <xsd:sequence>
          <xsd:element name="documentManagement">
            <xsd:complexType>
              <xsd:all>
                <xsd:element ref="ns1:Arup_TeamSpaceProjectStage" minOccurs="0"/>
                <xsd:element ref="ns1:Arup_TeamSpaceDocumentStatus" minOccurs="0"/>
                <xsd:element ref="ns1:Arup_TeamSpaceWorkstreamInternal" minOccurs="0"/>
                <xsd:element ref="ns1:Arup_TeamSpaceMustRead" minOccurs="0"/>
                <xsd:element ref="ns1:Arup_TeamSpaceDeliverable" minOccurs="0"/>
                <xsd:element ref="ns1:TeamSpaceRevision" minOccurs="0"/>
                <xsd:element ref="ns2:ja38ea1158ed452e9308a795972805b9" minOccurs="0"/>
                <xsd:element ref="ns2:m720c857f92247b4b2f03df6cb5d2bc9" minOccurs="0"/>
                <xsd:element ref="ns2:o9707bc871d6428696dc7fdce2fc1966" minOccurs="0"/>
                <xsd:element ref="ns2:CO_Description" minOccurs="0"/>
                <xsd:element ref="ns2:nc695c5aeb184e52bf78fb52672e0b9d" minOccurs="0"/>
                <xsd:element ref="ns2:TaxCatchAll" minOccurs="0"/>
                <xsd:element ref="ns2:TaxCatchAllLabel" minOccurs="0"/>
                <xsd:element ref="ns3:MediaServiceMetadata" minOccurs="0"/>
                <xsd:element ref="ns3:MediaServiceFastMetadata" minOccurs="0"/>
                <xsd:element ref="ns3:MediaServiceAutoKeyPoints" minOccurs="0"/>
                <xsd:element ref="ns3:MediaServiceKeyPoints" minOccurs="0"/>
                <xsd:element ref="ns2:SharedWithUsers" minOccurs="0"/>
                <xsd:element ref="ns2:SharedWithDetail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up_TeamSpaceProjectStage" ma:index="2" nillable="true" ma:displayName="Project Stage" ma:format="Dropdown" ma:internalName="Arup_TeamSpaceProjectStage">
      <xsd:simpleType>
        <xsd:restriction base="dms:Choice">
          <xsd:enumeration value="Not Specified"/>
          <xsd:enumeration value="Concept"/>
          <xsd:enumeration value="Scheme"/>
          <xsd:enumeration value="Detailed Design"/>
          <xsd:enumeration value="Tender"/>
          <xsd:enumeration value="Construction"/>
          <xsd:enumeration value="Handover"/>
          <xsd:enumeration value="As-Built"/>
        </xsd:restriction>
      </xsd:simpleType>
    </xsd:element>
    <xsd:element name="Arup_TeamSpaceDocumentStatus" ma:index="3" nillable="true" ma:displayName="Status" ma:format="Dropdown" ma:internalName="Arup_TeamSpaceDocumentStatus">
      <xsd:simpleType>
        <xsd:restriction base="dms:Choice">
          <xsd:enumeration value="Draft"/>
          <xsd:enumeration value="Issued"/>
        </xsd:restriction>
      </xsd:simpleType>
    </xsd:element>
    <xsd:element name="Arup_TeamSpaceWorkstreamInternal" ma:index="4" nillable="true" ma:displayName="Workstream" ma:format="Dropdown" ma:internalName="Arup_TeamSpaceWorkstreamInternal">
      <xsd:simpleType>
        <xsd:restriction base="dms:Choice">
          <xsd:enumeration value="Architecture"/>
          <xsd:enumeration value="Structures"/>
          <xsd:enumeration value="MEP"/>
          <xsd:enumeration value="Rail"/>
          <xsd:enumeration value="Highways and Civils"/>
          <xsd:enumeration value="Commission &amp; Scope"/>
          <xsd:enumeration value="Costs &amp; Fees"/>
          <xsd:enumeration value="Health &amp; Safety"/>
          <xsd:enumeration value="Project Controls"/>
          <xsd:enumeration value="Schedule"/>
          <xsd:enumeration value="Team"/>
          <xsd:enumeration value="Quality Assurance"/>
        </xsd:restriction>
      </xsd:simpleType>
    </xsd:element>
    <xsd:element name="Arup_TeamSpaceMustRead" ma:index="5" nillable="true" ma:displayName="Must Read" ma:default="0" ma:description="Indicates that the current document is important and must be read. This may take up to 15 minutes to appear in the 'Must Read' panel" ma:internalName="Arup_TeamSpaceMustRead">
      <xsd:simpleType>
        <xsd:restriction base="dms:Boolean"/>
      </xsd:simpleType>
    </xsd:element>
    <xsd:element name="Arup_TeamSpaceDeliverable" ma:index="6" nillable="true" ma:displayName="Deliverable" ma:default="0" ma:internalName="Arup_TeamSpaceDeliverable">
      <xsd:simpleType>
        <xsd:restriction base="dms:Boolean"/>
      </xsd:simpleType>
    </xsd:element>
    <xsd:element name="TeamSpaceRevision" ma:index="11" nillable="true" ma:displayName="Revision" ma:description="User-editable version number" ma:internalName="TeamSpaceRevis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6c01af0-c002-478c-bcc9-bf2934c43ae0" elementFormDefault="qualified">
    <xsd:import namespace="http://schemas.microsoft.com/office/2006/documentManagement/types"/>
    <xsd:import namespace="http://schemas.microsoft.com/office/infopath/2007/PartnerControls"/>
    <xsd:element name="ja38ea1158ed452e9308a795972805b9" ma:index="13" nillable="true" ma:taxonomy="true" ma:internalName="ja38ea1158ed452e9308a795972805b9" ma:taxonomyFieldName="CO_Topics" ma:displayName="Topic" ma:fieldId="{3a38ea11-58ed-452e-9308-a795972805b9}" ma:taxonomyMulti="true" ma:sspId="5f907feb-2135-424b-9e5e-2a3ef7dbb37b" ma:termSetId="b1b4d4ab-672b-4339-bde0-57185ea695d6" ma:anchorId="00000000-0000-0000-0000-000000000000" ma:open="true" ma:isKeyword="false">
      <xsd:complexType>
        <xsd:sequence>
          <xsd:element ref="pc:Terms" minOccurs="0" maxOccurs="1"/>
        </xsd:sequence>
      </xsd:complexType>
    </xsd:element>
    <xsd:element name="m720c857f92247b4b2f03df6cb5d2bc9" ma:index="15" nillable="true" ma:taxonomy="true" ma:internalName="m720c857f92247b4b2f03df6cb5d2bc9" ma:taxonomyFieldName="Arup_Tags" ma:displayName="Tags" ma:fieldId="{6720c857-f922-47b4-b2f0-3df6cb5d2bc9}" ma:taxonomyMulti="true" ma:sspId="5f907feb-2135-424b-9e5e-2a3ef7dbb37b" ma:termSetId="15d3c4c0-8500-40a2-ba39-97270ab062f7" ma:anchorId="00000000-0000-0000-0000-000000000000" ma:open="true" ma:isKeyword="false">
      <xsd:complexType>
        <xsd:sequence>
          <xsd:element ref="pc:Terms" minOccurs="0" maxOccurs="1"/>
        </xsd:sequence>
      </xsd:complexType>
    </xsd:element>
    <xsd:element name="o9707bc871d6428696dc7fdce2fc1966" ma:index="17" nillable="true" ma:taxonomy="true" ma:internalName="o9707bc871d6428696dc7fdce2fc1966" ma:taxonomyFieldName="Arup_TypeOfContent" ma:displayName="Content Category" ma:fieldId="{89707bc8-71d6-4286-96dc-7fdce2fc1966}" ma:taxonomyMulti="true" ma:sspId="5f907feb-2135-424b-9e5e-2a3ef7dbb37b" ma:termSetId="f44794f4-b0ed-48b0-a0a4-6f9b75c88e39" ma:anchorId="00000000-0000-0000-0000-000000000000" ma:open="false" ma:isKeyword="false">
      <xsd:complexType>
        <xsd:sequence>
          <xsd:element ref="pc:Terms" minOccurs="0" maxOccurs="1"/>
        </xsd:sequence>
      </xsd:complexType>
    </xsd:element>
    <xsd:element name="CO_Description" ma:index="19" nillable="true" ma:displayName="Description" ma:hidden="true" ma:internalName="CO_Description" ma:readOnly="false">
      <xsd:simpleType>
        <xsd:restriction base="dms:Note"/>
      </xsd:simpleType>
    </xsd:element>
    <xsd:element name="nc695c5aeb184e52bf78fb52672e0b9d" ma:index="21" nillable="true" ma:taxonomy="true" ma:internalName="nc695c5aeb184e52bf78fb52672e0b9d" ma:taxonomyFieldName="CO_Communities" ma:displayName="Community" ma:fieldId="{7c695c5a-eb18-4e52-bf78-fb52672e0b9d}" ma:taxonomyMulti="true" ma:sspId="5f907feb-2135-424b-9e5e-2a3ef7dbb37b" ma:termSetId="16180998-b88e-49f0-9211-b788b3e0ceea" ma:anchorId="00000000-0000-0000-0000-000000000000" ma:open="true" ma:isKeyword="false">
      <xsd:complexType>
        <xsd:sequence>
          <xsd:element ref="pc:Terms" minOccurs="0" maxOccurs="1"/>
        </xsd:sequence>
      </xsd:complexType>
    </xsd:element>
    <xsd:element name="TaxCatchAll" ma:index="22" nillable="true" ma:displayName="Taxonomy Catch All Column" ma:hidden="true" ma:list="{150e0a7d-b27e-40b3-b2f8-c6b77c67a1fe}" ma:internalName="TaxCatchAll" ma:showField="CatchAllData" ma:web="06c01af0-c002-478c-bcc9-bf2934c43ae0">
      <xsd:complexType>
        <xsd:complexContent>
          <xsd:extension base="dms:MultiChoiceLookup">
            <xsd:sequence>
              <xsd:element name="Value" type="dms:Lookup" maxOccurs="unbounded" minOccurs="0" nillable="true"/>
            </xsd:sequence>
          </xsd:extension>
        </xsd:complexContent>
      </xsd:complexType>
    </xsd:element>
    <xsd:element name="TaxCatchAllLabel" ma:index="24" nillable="true" ma:displayName="Taxonomy Catch All Column1" ma:hidden="true" ma:list="{150e0a7d-b27e-40b3-b2f8-c6b77c67a1fe}" ma:internalName="TaxCatchAllLabel" ma:readOnly="true" ma:showField="CatchAllDataLabel" ma:web="06c01af0-c002-478c-bcc9-bf2934c43ae0">
      <xsd:complexType>
        <xsd:complexContent>
          <xsd:extension base="dms:MultiChoiceLookup">
            <xsd:sequence>
              <xsd:element name="Value" type="dms:Lookup" maxOccurs="unbounded" minOccurs="0" nillable="true"/>
            </xsd:sequence>
          </xsd:extension>
        </xsd:complexContent>
      </xsd:complexType>
    </xsd:element>
    <xsd:element name="SharedWithUsers" ma:index="2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06800b4-6023-44af-ac57-49784ebeaf46"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7" nillable="true" ma:displayName="MediaServiceAutoKeyPoints" ma:hidden="true" ma:internalName="MediaServiceAutoKeyPoints" ma:readOnly="true">
      <xsd:simpleType>
        <xsd:restriction base="dms:Note"/>
      </xsd:simpleType>
    </xsd:element>
    <xsd:element name="MediaServiceKeyPoints" ma:index="28" nillable="true" ma:displayName="KeyPoints" ma:internalName="MediaServiceKeyPoints" ma:readOnly="true">
      <xsd:simpleType>
        <xsd:restriction base="dms:Note">
          <xsd:maxLength value="255"/>
        </xsd:restriction>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MediaServiceDateTaken" ma:index="3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rup_TeamSpaceDeliverable xmlns="http://schemas.microsoft.com/sharepoint/v3">false</Arup_TeamSpaceDeliverable>
    <Arup_TeamSpaceMustRead xmlns="http://schemas.microsoft.com/sharepoint/v3">false</Arup_TeamSpaceMustRead>
    <Arup_TeamSpaceDocumentStatus xmlns="http://schemas.microsoft.com/sharepoint/v3" xsi:nil="true"/>
    <Arup_TeamSpaceWorkstreamInternal xmlns="http://schemas.microsoft.com/sharepoint/v3" xsi:nil="true"/>
    <TeamSpaceRevision xmlns="http://schemas.microsoft.com/sharepoint/v3" xsi:nil="true"/>
    <nc695c5aeb184e52bf78fb52672e0b9d xmlns="06c01af0-c002-478c-bcc9-bf2934c43ae0">
      <Terms xmlns="http://schemas.microsoft.com/office/infopath/2007/PartnerControls"/>
    </nc695c5aeb184e52bf78fb52672e0b9d>
    <m720c857f92247b4b2f03df6cb5d2bc9 xmlns="06c01af0-c002-478c-bcc9-bf2934c43ae0">
      <Terms xmlns="http://schemas.microsoft.com/office/infopath/2007/PartnerControls"/>
    </m720c857f92247b4b2f03df6cb5d2bc9>
    <ja38ea1158ed452e9308a795972805b9 xmlns="06c01af0-c002-478c-bcc9-bf2934c43ae0">
      <Terms xmlns="http://schemas.microsoft.com/office/infopath/2007/PartnerControls"/>
    </ja38ea1158ed452e9308a795972805b9>
    <TaxCatchAll xmlns="06c01af0-c002-478c-bcc9-bf2934c43ae0"/>
    <o9707bc871d6428696dc7fdce2fc1966 xmlns="06c01af0-c002-478c-bcc9-bf2934c43ae0">
      <Terms xmlns="http://schemas.microsoft.com/office/infopath/2007/PartnerControls"/>
    </o9707bc871d6428696dc7fdce2fc1966>
    <CO_Description xmlns="06c01af0-c002-478c-bcc9-bf2934c43ae0" xsi:nil="true"/>
    <Arup_TeamSpaceProjectStage xmlns="http://schemas.microsoft.com/sharepoint/v3" xsi:nil="true"/>
  </documentManagement>
</p:properties>
</file>

<file path=customXml/itemProps1.xml><?xml version="1.0" encoding="utf-8"?>
<ds:datastoreItem xmlns:ds="http://schemas.openxmlformats.org/officeDocument/2006/customXml" ds:itemID="{793F1A7E-CBF3-4835-A847-FF6F1D5816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6c01af0-c002-478c-bcc9-bf2934c43ae0"/>
    <ds:schemaRef ds:uri="106800b4-6023-44af-ac57-49784ebeaf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D90B07-3EBF-408D-98F2-5C0A93D67026}">
  <ds:schemaRefs>
    <ds:schemaRef ds:uri="http://schemas.microsoft.com/sharepoint/v3/contenttype/forms"/>
  </ds:schemaRefs>
</ds:datastoreItem>
</file>

<file path=customXml/itemProps3.xml><?xml version="1.0" encoding="utf-8"?>
<ds:datastoreItem xmlns:ds="http://schemas.openxmlformats.org/officeDocument/2006/customXml" ds:itemID="{DD3D3CB6-E924-422A-A264-AFFDF4975006}">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106800b4-6023-44af-ac57-49784ebeaf46"/>
    <ds:schemaRef ds:uri="06c01af0-c002-478c-bcc9-bf2934c43ae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213</vt:i4>
      </vt:variant>
    </vt:vector>
  </HeadingPairs>
  <TitlesOfParts>
    <vt:vector size="223" baseType="lpstr">
      <vt:lpstr>OVERVIEW</vt:lpstr>
      <vt:lpstr>Global Inputs</vt:lpstr>
      <vt:lpstr>Core Inputs</vt:lpstr>
      <vt:lpstr>Phasing</vt:lpstr>
      <vt:lpstr>Enhancement Inputs</vt:lpstr>
      <vt:lpstr>Core Loads</vt:lpstr>
      <vt:lpstr>Loads - enhancements</vt:lpstr>
      <vt:lpstr>Core Commodities Use</vt:lpstr>
      <vt:lpstr>Commodity use- enhancement</vt:lpstr>
      <vt:lpstr>Outputs</vt:lpstr>
      <vt:lpstr>AbsChillerEffExstg</vt:lpstr>
      <vt:lpstr>AbsChillerLoad</vt:lpstr>
      <vt:lpstr>AbsChillerSplit</vt:lpstr>
      <vt:lpstr>BldgHtgEffExstg</vt:lpstr>
      <vt:lpstr>BldgHtgEffNew</vt:lpstr>
      <vt:lpstr>BldgSteamLossExstg</vt:lpstr>
      <vt:lpstr>BldgSteamLossNew</vt:lpstr>
      <vt:lpstr>Btu_per_Fgpm</vt:lpstr>
      <vt:lpstr>Btu_per_kBtu</vt:lpstr>
      <vt:lpstr>Btu_per_therm</vt:lpstr>
      <vt:lpstr>Btu_per_ton</vt:lpstr>
      <vt:lpstr>Btuh_per_W</vt:lpstr>
      <vt:lpstr>Clg_0_CCF_per_ton_campus</vt:lpstr>
      <vt:lpstr>Clg_0_kWh_per_ton_campus</vt:lpstr>
      <vt:lpstr>Clg_0_therm_per_ton_campus</vt:lpstr>
      <vt:lpstr>Clg_10A_CCF_per_ton_campus</vt:lpstr>
      <vt:lpstr>Clg_10A_kWh_per_ton_campus</vt:lpstr>
      <vt:lpstr>Clg_10A_therm_per_ton_campus</vt:lpstr>
      <vt:lpstr>Clg_11C_CCF_per_ton_campus</vt:lpstr>
      <vt:lpstr>Clg_11C_kWh_per_ton_campus</vt:lpstr>
      <vt:lpstr>Clg_12_CCF_per_ton_biosciences</vt:lpstr>
      <vt:lpstr>Clg_12_CCF_per_ton_businessAndLaw</vt:lpstr>
      <vt:lpstr>Clg_12_CCF_per_ton_Engineering</vt:lpstr>
      <vt:lpstr>Clg_12_CCF_per_ton_lowerSproulOffices</vt:lpstr>
      <vt:lpstr>Clg_12_kWh_per_ton_biosciences</vt:lpstr>
      <vt:lpstr>Clg_12_kWh_per_ton_businessAndLaw</vt:lpstr>
      <vt:lpstr>Clg_12_kWh_per_ton_Engineering</vt:lpstr>
      <vt:lpstr>Clg_12_kWh_per_ton_lowerSproulOffices</vt:lpstr>
      <vt:lpstr>Clg_12_therm_per_ton_biosciences</vt:lpstr>
      <vt:lpstr>Clg_12_therm_per_ton_businessAndLaw</vt:lpstr>
      <vt:lpstr>Clg_12_therm_per_ton_Engineering</vt:lpstr>
      <vt:lpstr>Clg_12_therm_per_ton_lowerSproulOffices</vt:lpstr>
      <vt:lpstr>Clg_1C_CCF_per_ton_biosciences</vt:lpstr>
      <vt:lpstr>Clg_1C_CCF_per_ton_businessAndLaw</vt:lpstr>
      <vt:lpstr>Clg_1C_CCF_per_ton_engineering</vt:lpstr>
      <vt:lpstr>Clg_1C_CCF_per_ton_lowerSproulOffices</vt:lpstr>
      <vt:lpstr>Clg_1C_kWh_per_ton_biosciences</vt:lpstr>
      <vt:lpstr>Clg_1C_kWh_per_ton_businessAndLaw</vt:lpstr>
      <vt:lpstr>Clg_1C_kWh_per_ton_engineering</vt:lpstr>
      <vt:lpstr>Clg_1C_kWh_per_ton_lowerSproulOffices</vt:lpstr>
      <vt:lpstr>Clg_2_CCF_per_ton_campus</vt:lpstr>
      <vt:lpstr>Clg_2_kWh_per_ton_campus</vt:lpstr>
      <vt:lpstr>Clg_6_CCF_per_ton_campus</vt:lpstr>
      <vt:lpstr>Clg_6_kWh_per_ton_campus</vt:lpstr>
      <vt:lpstr>Clg_8A_CCF_per_ton_campus</vt:lpstr>
      <vt:lpstr>Clg_8A_kWh_per_ton_campus</vt:lpstr>
      <vt:lpstr>Clg_8B_CCF_per_ton_campus</vt:lpstr>
      <vt:lpstr>Clg_8B_kWh_per_ton_campus</vt:lpstr>
      <vt:lpstr>Clg_exstg_CCF_per_ton_campus</vt:lpstr>
      <vt:lpstr>Clg_exstg_kWh_per_ton_campus</vt:lpstr>
      <vt:lpstr>Clg_exstg_therm_per_ton_campus</vt:lpstr>
      <vt:lpstr>ClgTowerEvapExstg</vt:lpstr>
      <vt:lpstr>ClgTowerEvapNew</vt:lpstr>
      <vt:lpstr>ClgTowerFlowExstg</vt:lpstr>
      <vt:lpstr>ClgTowerFlowNew</vt:lpstr>
      <vt:lpstr>CO2_emissions_elec</vt:lpstr>
      <vt:lpstr>CO2_emissions_gas_tons_per_kBtu</vt:lpstr>
      <vt:lpstr>CO2_emissions_gas_tons_per_therm</vt:lpstr>
      <vt:lpstr>CogenEffExstg</vt:lpstr>
      <vt:lpstr>CogenEffNew</vt:lpstr>
      <vt:lpstr>CogenElecOutputExstg</vt:lpstr>
      <vt:lpstr>CogenElecOutputNew</vt:lpstr>
      <vt:lpstr>CogenSteamOutputLbExstg</vt:lpstr>
      <vt:lpstr>CogenSteamOutputMMBtuExstg</vt:lpstr>
      <vt:lpstr>CogenWaterLossNew</vt:lpstr>
      <vt:lpstr>Collector_Type</vt:lpstr>
      <vt:lpstr>Cost_carbon</vt:lpstr>
      <vt:lpstr>Cost_elec</vt:lpstr>
      <vt:lpstr>Cost_elec_TS_delta</vt:lpstr>
      <vt:lpstr>Cost_gas</vt:lpstr>
      <vt:lpstr>Cost_water</vt:lpstr>
      <vt:lpstr>DistCHWLossNew</vt:lpstr>
      <vt:lpstr>DistHHWLossNew</vt:lpstr>
      <vt:lpstr>DistSteamLossExstg</vt:lpstr>
      <vt:lpstr>DistSteamLossNew</vt:lpstr>
      <vt:lpstr>Elec_0_kWh_per_kWh_campus</vt:lpstr>
      <vt:lpstr>Elec_10A_kWh_per_kWh_campus</vt:lpstr>
      <vt:lpstr>Elec_11C_kWh_per_kWh_campus</vt:lpstr>
      <vt:lpstr>Elec_12_kWh_per_kWh_biosciences</vt:lpstr>
      <vt:lpstr>Elec_12_kWh_per_kWh_businessAndLaw</vt:lpstr>
      <vt:lpstr>Elec_12_kWh_per_kWh_Engineering</vt:lpstr>
      <vt:lpstr>Elec_12_kWh_per_kWh_lowerSproulOffices</vt:lpstr>
      <vt:lpstr>Elec_1C_kWh_per_kWh_biosciences</vt:lpstr>
      <vt:lpstr>Elec_1C_kWh_per_kWh_businessAndLaw</vt:lpstr>
      <vt:lpstr>Elec_1C_kWh_per_kWh_engineering</vt:lpstr>
      <vt:lpstr>Elec_1C_kWh_per_kWh_lowerSproulOffices</vt:lpstr>
      <vt:lpstr>Elec_2_kWh_per_kWh_campus</vt:lpstr>
      <vt:lpstr>Elec_6_kWh_per_kWh_campus</vt:lpstr>
      <vt:lpstr>Elec_8A_kWh_per_kWh_campus</vt:lpstr>
      <vt:lpstr>Elec_8B_kWh_per_kWh_campus</vt:lpstr>
      <vt:lpstr>Elec_exstg_kWh_per_kWh_campus</vt:lpstr>
      <vt:lpstr>ElecBoilerEffNew</vt:lpstr>
      <vt:lpstr>ElecChillerEffExstg</vt:lpstr>
      <vt:lpstr>ElecChillerEffNew</vt:lpstr>
      <vt:lpstr>ElecCO2_tons_per_kBtu</vt:lpstr>
      <vt:lpstr>ElecCO2_tons_per_kWh_2025</vt:lpstr>
      <vt:lpstr>ElecSteamGenEffNew</vt:lpstr>
      <vt:lpstr>Enthalpy</vt:lpstr>
      <vt:lpstr>ft3_per_ccf</vt:lpstr>
      <vt:lpstr>Gal_per_CCF</vt:lpstr>
      <vt:lpstr>GasBoilerEffNew</vt:lpstr>
      <vt:lpstr>GasSteamBoilerEffNew</vt:lpstr>
      <vt:lpstr>GasSteamGenEffNew</vt:lpstr>
      <vt:lpstr>HP_EERnew</vt:lpstr>
      <vt:lpstr>HRCcoolingFraction</vt:lpstr>
      <vt:lpstr>HRCeffNew</vt:lpstr>
      <vt:lpstr>HRCoffsetNew</vt:lpstr>
      <vt:lpstr>Htg_0_CCF_per_MMBtu_campus</vt:lpstr>
      <vt:lpstr>Htg_0_kWh_per_MMBtu_campus</vt:lpstr>
      <vt:lpstr>Htg_0_therm_per_MMBtu_campus</vt:lpstr>
      <vt:lpstr>Htg_10A_CCF_per_MMBtu_campus</vt:lpstr>
      <vt:lpstr>Htg_10A_kWh_per_MMBtu_campus</vt:lpstr>
      <vt:lpstr>Htg_10A_therm_per_MMBtu_campus</vt:lpstr>
      <vt:lpstr>Htg_11C_CCF_per_MMBtu_campus</vt:lpstr>
      <vt:lpstr>Htg_11C_kWh_per_MMBtu_campus</vt:lpstr>
      <vt:lpstr>Htg_11C_therm_per_MMBtu_campus</vt:lpstr>
      <vt:lpstr>Htg_12_CCF_per_MMBtu_biosciences</vt:lpstr>
      <vt:lpstr>Htg_12_CCF_per_MMBtu_businessAndLaw</vt:lpstr>
      <vt:lpstr>Htg_12_CCF_per_MMBtu_Engineering</vt:lpstr>
      <vt:lpstr>Htg_12_CCF_per_MMBtu_lowerSproulOffices</vt:lpstr>
      <vt:lpstr>Htg_12_kWh_per_MMBtu_biosciences</vt:lpstr>
      <vt:lpstr>Htg_12_kWh_per_MMBtu_businessAndLaw</vt:lpstr>
      <vt:lpstr>Htg_12_kWh_per_MMBtu_Engineering</vt:lpstr>
      <vt:lpstr>Htg_12_kWh_per_MMBtu_lowerSproulOffices</vt:lpstr>
      <vt:lpstr>Htg_12_therm_per_MMBtu_biosciences</vt:lpstr>
      <vt:lpstr>Htg_12_therm_per_MMBtu_businessAndLaw</vt:lpstr>
      <vt:lpstr>Htg_12_therm_per_MMBtu_Engineering</vt:lpstr>
      <vt:lpstr>Htg_12_therm_per_MMBtu_lowerSproulOffices</vt:lpstr>
      <vt:lpstr>Htg_1C_CCF_per_MMBtu_biosciences</vt:lpstr>
      <vt:lpstr>Htg_1C_CCF_per_MMBtu_businessAndLaw</vt:lpstr>
      <vt:lpstr>Htg_1C_CCF_per_MMBtu_engineering</vt:lpstr>
      <vt:lpstr>Htg_1C_CCF_per_MMBtu_lowerSproulOffices</vt:lpstr>
      <vt:lpstr>Htg_1C_kWh_per_MMBtu_biosciences</vt:lpstr>
      <vt:lpstr>Htg_1C_kWh_per_MMBtu_businessAndLaw</vt:lpstr>
      <vt:lpstr>Htg_1C_kWh_per_MMBtu_engineering</vt:lpstr>
      <vt:lpstr>Htg_1C_kWh_per_MMBtu_lowerSproulOffices</vt:lpstr>
      <vt:lpstr>Htg_1C_therm_per_MMBtu_biosciences</vt:lpstr>
      <vt:lpstr>Htg_1C_therm_per_MMBtu_businessAndLaw</vt:lpstr>
      <vt:lpstr>Htg_1C_therm_per_MMBtu_engineering</vt:lpstr>
      <vt:lpstr>Htg_1C_therm_per_MMBtu_lowerSproulOffices</vt:lpstr>
      <vt:lpstr>Htg_2_CCF_per_MMBtu_campus</vt:lpstr>
      <vt:lpstr>Htg_2_kWh_per_MMBtu_campus</vt:lpstr>
      <vt:lpstr>Htg_2_therm_per_MMBtu_campus</vt:lpstr>
      <vt:lpstr>Htg_6_CCF_per_MMBtu_campus</vt:lpstr>
      <vt:lpstr>Htg_6_kWh_per_MMBtu_campus</vt:lpstr>
      <vt:lpstr>Htg_6_therm_per_MMBtu_campus</vt:lpstr>
      <vt:lpstr>Htg_8A_CCF_per_MMBtu_campus</vt:lpstr>
      <vt:lpstr>Htg_8A_kWh_per_MMBtu_campus</vt:lpstr>
      <vt:lpstr>Htg_8A_therm_per_MMBtu_campus</vt:lpstr>
      <vt:lpstr>Htg_8B_CCF_per_MMBtu_campus</vt:lpstr>
      <vt:lpstr>Htg_8B_kWh_per_MMBtu_campus</vt:lpstr>
      <vt:lpstr>Htg_8B_therm_per_MMBtu_campus</vt:lpstr>
      <vt:lpstr>Htg_exstg_CCF_per_MMBtu_campus</vt:lpstr>
      <vt:lpstr>Htg_exstg_kWh_per_MMBtu_campus</vt:lpstr>
      <vt:lpstr>Htg_exstg_therm_per_MMBtu_campus</vt:lpstr>
      <vt:lpstr>HtgDeltaTNew</vt:lpstr>
      <vt:lpstr>HtgMakeupNew</vt:lpstr>
      <vt:lpstr>lbs_per_ton</vt:lpstr>
      <vt:lpstr>Min_per_hr</vt:lpstr>
      <vt:lpstr>Process_0_CCF_per_lb_campus</vt:lpstr>
      <vt:lpstr>Process_0_kWh_per_lb_campus</vt:lpstr>
      <vt:lpstr>Process_0_therm_per_lb_campus</vt:lpstr>
      <vt:lpstr>Process_10A_CCF_per_lb_campus</vt:lpstr>
      <vt:lpstr>Process_10A_kWh_per_lb_campus</vt:lpstr>
      <vt:lpstr>Process_10A_therm_per_lb_campus</vt:lpstr>
      <vt:lpstr>Process_11C_CCF_per_lb_campus</vt:lpstr>
      <vt:lpstr>Process_11C_kWh_per_lb_campus</vt:lpstr>
      <vt:lpstr>Process_11C_therm_per_lb_campus</vt:lpstr>
      <vt:lpstr>Process_12_CCF_per_lb_biosciences</vt:lpstr>
      <vt:lpstr>Process_12_CCF_per_lb_businessAndLaw</vt:lpstr>
      <vt:lpstr>Process_12_CCF_per_lb_Engineering</vt:lpstr>
      <vt:lpstr>Process_12_CCF_per_lb_lowerSproulOffices</vt:lpstr>
      <vt:lpstr>Process_12_kWh_per_lb_biosciences</vt:lpstr>
      <vt:lpstr>Process_12_kWh_per_lb_businessAndLaw</vt:lpstr>
      <vt:lpstr>Process_12_kWh_per_lb_Engineering</vt:lpstr>
      <vt:lpstr>Process_12_kWh_per_lb_lowerSproulOffices</vt:lpstr>
      <vt:lpstr>Process_12_therm_per_lb_biosciences</vt:lpstr>
      <vt:lpstr>Process_12_therm_per_lb_businessAndLaw</vt:lpstr>
      <vt:lpstr>Process_12_therm_per_lb_Engineering</vt:lpstr>
      <vt:lpstr>Process_12_therm_per_lb_lowerSproulOffices</vt:lpstr>
      <vt:lpstr>Process_1C_CCF_per_lb_biosciences</vt:lpstr>
      <vt:lpstr>Process_1C_CCF_per_lb_businessAndLaw</vt:lpstr>
      <vt:lpstr>Process_1C_CCF_per_lb_engineering</vt:lpstr>
      <vt:lpstr>Process_1C_CCF_per_lb_lowerSproulOffices</vt:lpstr>
      <vt:lpstr>Process_1C_kWh_per_lb_biosciences</vt:lpstr>
      <vt:lpstr>Process_1C_kWh_per_lb_businessAndLaw</vt:lpstr>
      <vt:lpstr>Process_1C_kWh_per_lb_engineering</vt:lpstr>
      <vt:lpstr>Process_1C_kWh_per_lb_lowerSproulOffices</vt:lpstr>
      <vt:lpstr>Process_1C_therm_per_lb_biosciences</vt:lpstr>
      <vt:lpstr>Process_1C_therm_per_lb_businessAndLaw</vt:lpstr>
      <vt:lpstr>Process_1C_therm_per_lb_engineering</vt:lpstr>
      <vt:lpstr>Process_1C_therm_per_lb_lowerSproulOffices</vt:lpstr>
      <vt:lpstr>Process_2_CCF_per_lb_campus</vt:lpstr>
      <vt:lpstr>Process_2_kWh_per_lb_campus</vt:lpstr>
      <vt:lpstr>Process_2_therm_per_lb_campus</vt:lpstr>
      <vt:lpstr>Process_6_CCF_per_lb_campus</vt:lpstr>
      <vt:lpstr>Process_6_kWh_per_lb_campus</vt:lpstr>
      <vt:lpstr>Process_6_therm_per_lb_campus</vt:lpstr>
      <vt:lpstr>Process_8A_CCF_per_lb_campus</vt:lpstr>
      <vt:lpstr>Process_8A_kWh_per_lb_campus</vt:lpstr>
      <vt:lpstr>Process_8A_therm_per_lb_campus</vt:lpstr>
      <vt:lpstr>Process_8B_CCF_per_lb_campus</vt:lpstr>
      <vt:lpstr>Process_8B_kWh_per_lb_campus</vt:lpstr>
      <vt:lpstr>Process_8B_therm_per_lb_campus</vt:lpstr>
      <vt:lpstr>Process_exstg_CCF_per_lb_campus</vt:lpstr>
      <vt:lpstr>Process_exstg_kWh_per_lb_campus</vt:lpstr>
      <vt:lpstr>Process_exstg_therm_per_lb_campus</vt:lpstr>
      <vt:lpstr>StartYear</vt:lpstr>
      <vt:lpstr>SteamDensity</vt:lpstr>
      <vt:lpstr>SteamWtrLossExstg</vt:lpstr>
      <vt:lpstr>SteamWtrLossNew</vt:lpstr>
      <vt:lpstr>TransfLossExstg</vt:lpstr>
      <vt:lpstr>TransfLossNew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Erica Levine</dc:creator>
  <cp:keywords/>
  <dc:description/>
  <cp:lastModifiedBy>柯成 陈</cp:lastModifiedBy>
  <cp:revision/>
  <dcterms:created xsi:type="dcterms:W3CDTF">2017-12-01T19:28:17Z</dcterms:created>
  <dcterms:modified xsi:type="dcterms:W3CDTF">2021-05-06T08:55:58Z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0x0101002392094CBAD04C3AB0B65532217FA45A01002C45334909E5A947A6A8F77803323EBB</vt:lpwstr>
  </property>
  <property fmtid="{D5CDD505-2E9C-101B-9397-08002B2CF9AE}" pid="3" name="Arup_Tags">
    <vt:lpwstr/>
  </property>
  <property fmtid="{D5CDD505-2E9C-101B-9397-08002B2CF9AE}" pid="4" name="CO_Topics">
    <vt:lpwstr/>
  </property>
  <property fmtid="{D5CDD505-2E9C-101B-9397-08002B2CF9AE}" pid="5" name="Arup_TypeOfContent">
    <vt:lpwstr/>
  </property>
  <property fmtid="{D5CDD505-2E9C-101B-9397-08002B2CF9AE}" pid="6" name="CO_Communities">
    <vt:lpwstr/>
  </property>
  <property fmtid="{D5CDD505-2E9C-101B-9397-08002B2CF9AE}" pid="7" name="MSIP_Label_82fa3fd3-029b-403d-91b4-1dc930cb0e60_Enabled">
    <vt:lpwstr>true</vt:lpwstr>
  </property>
  <property fmtid="{D5CDD505-2E9C-101B-9397-08002B2CF9AE}" pid="8" name="MSIP_Label_82fa3fd3-029b-403d-91b4-1dc930cb0e60_SetDate">
    <vt:lpwstr>2020-06-16T22:49:24Z</vt:lpwstr>
  </property>
  <property fmtid="{D5CDD505-2E9C-101B-9397-08002B2CF9AE}" pid="9" name="MSIP_Label_82fa3fd3-029b-403d-91b4-1dc930cb0e60_Method">
    <vt:lpwstr>Standard</vt:lpwstr>
  </property>
  <property fmtid="{D5CDD505-2E9C-101B-9397-08002B2CF9AE}" pid="10" name="MSIP_Label_82fa3fd3-029b-403d-91b4-1dc930cb0e60_Name">
    <vt:lpwstr>82fa3fd3-029b-403d-91b4-1dc930cb0e60</vt:lpwstr>
  </property>
  <property fmtid="{D5CDD505-2E9C-101B-9397-08002B2CF9AE}" pid="11" name="MSIP_Label_82fa3fd3-029b-403d-91b4-1dc930cb0e60_SiteId">
    <vt:lpwstr>4ae48b41-0137-4599-8661-fc641fe77bea</vt:lpwstr>
  </property>
  <property fmtid="{D5CDD505-2E9C-101B-9397-08002B2CF9AE}" pid="12" name="MSIP_Label_82fa3fd3-029b-403d-91b4-1dc930cb0e60_ActionId">
    <vt:lpwstr>54a80232-2fb3-475c-906a-12d9c98c2364</vt:lpwstr>
  </property>
  <property fmtid="{D5CDD505-2E9C-101B-9397-08002B2CF9AE}" pid="13" name="MSIP_Label_82fa3fd3-029b-403d-91b4-1dc930cb0e60_ContentBits">
    <vt:lpwstr>0</vt:lpwstr>
  </property>
</Properties>
</file>