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autoCompressPictures="0"/>
  <xr:revisionPtr revIDLastSave="0" documentId="13_ncr:1_{9FE3F382-E193-4D9A-A46F-D8E3358C3A9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Model" sheetId="1" r:id="rId1"/>
  </sheets>
  <definedNames>
    <definedName name="_xlnm.Print_Area" localSheetId="0">Model!$A$364:$O$383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4" i="1" l="1"/>
  <c r="H124" i="1"/>
  <c r="G125" i="1"/>
  <c r="H125" i="1"/>
  <c r="G126" i="1"/>
  <c r="H126" i="1"/>
  <c r="G129" i="1"/>
  <c r="H129" i="1"/>
  <c r="H130" i="1"/>
  <c r="G25" i="1"/>
  <c r="H25" i="1"/>
  <c r="H245" i="1"/>
  <c r="E321" i="1"/>
  <c r="I124" i="1"/>
  <c r="I125" i="1"/>
  <c r="I126" i="1"/>
  <c r="I129" i="1"/>
  <c r="I130" i="1"/>
  <c r="I25" i="1"/>
  <c r="I245" i="1"/>
  <c r="F321" i="1"/>
  <c r="J124" i="1"/>
  <c r="J125" i="1"/>
  <c r="J126" i="1"/>
  <c r="J129" i="1"/>
  <c r="J130" i="1"/>
  <c r="J25" i="1"/>
  <c r="J245" i="1"/>
  <c r="G321" i="1"/>
  <c r="K124" i="1"/>
  <c r="K125" i="1"/>
  <c r="K126" i="1"/>
  <c r="K129" i="1"/>
  <c r="K130" i="1"/>
  <c r="K25" i="1"/>
  <c r="K245" i="1"/>
  <c r="H321" i="1"/>
  <c r="G119" i="1"/>
  <c r="H119" i="1"/>
  <c r="H230" i="1"/>
  <c r="H222" i="1"/>
  <c r="H244" i="1"/>
  <c r="E322" i="1"/>
  <c r="I119" i="1"/>
  <c r="I230" i="1"/>
  <c r="I222" i="1"/>
  <c r="I244" i="1"/>
  <c r="F322" i="1"/>
  <c r="J119" i="1"/>
  <c r="J230" i="1"/>
  <c r="J222" i="1"/>
  <c r="J244" i="1"/>
  <c r="G322" i="1"/>
  <c r="K119" i="1"/>
  <c r="K230" i="1"/>
  <c r="K222" i="1"/>
  <c r="K244" i="1"/>
  <c r="H322" i="1"/>
  <c r="G41" i="1"/>
  <c r="H41" i="1"/>
  <c r="E323" i="1"/>
  <c r="I41" i="1"/>
  <c r="F323" i="1"/>
  <c r="J41" i="1"/>
  <c r="G323" i="1"/>
  <c r="K41" i="1"/>
  <c r="H323" i="1"/>
  <c r="F70" i="1"/>
  <c r="G65" i="1"/>
  <c r="G70" i="1"/>
  <c r="G116" i="1"/>
  <c r="H65" i="1"/>
  <c r="H70" i="1"/>
  <c r="H116" i="1"/>
  <c r="G117" i="1"/>
  <c r="H117" i="1"/>
  <c r="G118" i="1"/>
  <c r="H118" i="1"/>
  <c r="H229" i="1"/>
  <c r="H221" i="1"/>
  <c r="H243" i="1"/>
  <c r="E320" i="1"/>
  <c r="I65" i="1"/>
  <c r="I70" i="1"/>
  <c r="I116" i="1"/>
  <c r="I117" i="1"/>
  <c r="I118" i="1"/>
  <c r="I229" i="1"/>
  <c r="I221" i="1"/>
  <c r="I243" i="1"/>
  <c r="F320" i="1"/>
  <c r="J65" i="1"/>
  <c r="J70" i="1"/>
  <c r="J116" i="1"/>
  <c r="J117" i="1"/>
  <c r="J118" i="1"/>
  <c r="J229" i="1"/>
  <c r="J221" i="1"/>
  <c r="J243" i="1"/>
  <c r="G320" i="1"/>
  <c r="K65" i="1"/>
  <c r="K70" i="1"/>
  <c r="K116" i="1"/>
  <c r="K117" i="1"/>
  <c r="K118" i="1"/>
  <c r="K229" i="1"/>
  <c r="K221" i="1"/>
  <c r="K243" i="1"/>
  <c r="H320" i="1"/>
  <c r="G26" i="1"/>
  <c r="H26" i="1"/>
  <c r="H27" i="1"/>
  <c r="F29" i="1"/>
  <c r="G29" i="1"/>
  <c r="H29" i="1"/>
  <c r="H30" i="1"/>
  <c r="H31" i="1"/>
  <c r="H32" i="1"/>
  <c r="H33" i="1"/>
  <c r="H34" i="1"/>
  <c r="H35" i="1"/>
  <c r="H36" i="1"/>
  <c r="H37" i="1"/>
  <c r="H38" i="1"/>
  <c r="H39" i="1"/>
  <c r="E319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F319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G319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H319" i="1"/>
  <c r="H240" i="1"/>
  <c r="E318" i="1"/>
  <c r="I240" i="1"/>
  <c r="F318" i="1"/>
  <c r="J240" i="1"/>
  <c r="G318" i="1"/>
  <c r="K240" i="1"/>
  <c r="H318" i="1"/>
  <c r="C325" i="1"/>
  <c r="G240" i="1"/>
  <c r="D318" i="1"/>
  <c r="D325" i="1"/>
  <c r="E325" i="1"/>
  <c r="E327" i="1"/>
  <c r="E328" i="1"/>
  <c r="E329" i="1"/>
  <c r="E330" i="1"/>
  <c r="E331" i="1"/>
  <c r="E332" i="1"/>
  <c r="E343" i="1"/>
  <c r="G157" i="1"/>
  <c r="G165" i="1"/>
  <c r="B337" i="1"/>
  <c r="E344" i="1"/>
  <c r="F325" i="1"/>
  <c r="F327" i="1"/>
  <c r="F328" i="1"/>
  <c r="F329" i="1"/>
  <c r="F330" i="1"/>
  <c r="F331" i="1"/>
  <c r="F332" i="1"/>
  <c r="F343" i="1"/>
  <c r="F344" i="1"/>
  <c r="G325" i="1"/>
  <c r="G327" i="1"/>
  <c r="G328" i="1"/>
  <c r="G329" i="1"/>
  <c r="G330" i="1"/>
  <c r="G331" i="1"/>
  <c r="G332" i="1"/>
  <c r="G343" i="1"/>
  <c r="G344" i="1"/>
  <c r="B338" i="1"/>
  <c r="G346" i="1"/>
  <c r="G347" i="1"/>
  <c r="G27" i="1"/>
  <c r="G30" i="1"/>
  <c r="G31" i="1"/>
  <c r="G32" i="1"/>
  <c r="G33" i="1"/>
  <c r="G34" i="1"/>
  <c r="G35" i="1"/>
  <c r="G36" i="1"/>
  <c r="G37" i="1"/>
  <c r="G38" i="1"/>
  <c r="G39" i="1"/>
  <c r="D319" i="1"/>
  <c r="D327" i="1"/>
  <c r="G229" i="1"/>
  <c r="G221" i="1"/>
  <c r="G243" i="1"/>
  <c r="D320" i="1"/>
  <c r="D328" i="1"/>
  <c r="G130" i="1"/>
  <c r="G245" i="1"/>
  <c r="D321" i="1"/>
  <c r="D329" i="1"/>
  <c r="G230" i="1"/>
  <c r="G222" i="1"/>
  <c r="G244" i="1"/>
  <c r="D322" i="1"/>
  <c r="D330" i="1"/>
  <c r="D323" i="1"/>
  <c r="D331" i="1"/>
  <c r="D332" i="1"/>
  <c r="D343" i="1"/>
  <c r="D344" i="1"/>
  <c r="B349" i="1"/>
  <c r="B274" i="1"/>
  <c r="B350" i="1"/>
  <c r="B351" i="1"/>
  <c r="C7" i="1"/>
  <c r="F247" i="1"/>
  <c r="G247" i="1"/>
  <c r="G241" i="1"/>
  <c r="G248" i="1"/>
  <c r="G160" i="1"/>
  <c r="G220" i="1"/>
  <c r="G242" i="1"/>
  <c r="G249" i="1"/>
  <c r="G250" i="1"/>
  <c r="G251" i="1"/>
  <c r="G252" i="1"/>
  <c r="G253" i="1"/>
  <c r="D264" i="1"/>
  <c r="G167" i="1"/>
  <c r="G166" i="1"/>
  <c r="G168" i="1"/>
  <c r="G83" i="1"/>
  <c r="G88" i="1"/>
  <c r="G169" i="1"/>
  <c r="G170" i="1"/>
  <c r="G172" i="1"/>
  <c r="G173" i="1"/>
  <c r="G159" i="1"/>
  <c r="G174" i="1"/>
  <c r="B258" i="1"/>
  <c r="D265" i="1"/>
  <c r="H247" i="1"/>
  <c r="H241" i="1"/>
  <c r="H248" i="1"/>
  <c r="H160" i="1"/>
  <c r="H220" i="1"/>
  <c r="H242" i="1"/>
  <c r="H249" i="1"/>
  <c r="H250" i="1"/>
  <c r="H251" i="1"/>
  <c r="H252" i="1"/>
  <c r="H253" i="1"/>
  <c r="E264" i="1"/>
  <c r="E265" i="1"/>
  <c r="I247" i="1"/>
  <c r="I241" i="1"/>
  <c r="I248" i="1"/>
  <c r="I160" i="1"/>
  <c r="I220" i="1"/>
  <c r="I242" i="1"/>
  <c r="I249" i="1"/>
  <c r="I250" i="1"/>
  <c r="I251" i="1"/>
  <c r="I252" i="1"/>
  <c r="I253" i="1"/>
  <c r="F264" i="1"/>
  <c r="F265" i="1"/>
  <c r="J247" i="1"/>
  <c r="J241" i="1"/>
  <c r="J248" i="1"/>
  <c r="J160" i="1"/>
  <c r="J220" i="1"/>
  <c r="J242" i="1"/>
  <c r="J249" i="1"/>
  <c r="J250" i="1"/>
  <c r="J251" i="1"/>
  <c r="J252" i="1"/>
  <c r="J253" i="1"/>
  <c r="G264" i="1"/>
  <c r="G265" i="1"/>
  <c r="K247" i="1"/>
  <c r="K241" i="1"/>
  <c r="K248" i="1"/>
  <c r="K160" i="1"/>
  <c r="K220" i="1"/>
  <c r="K242" i="1"/>
  <c r="K249" i="1"/>
  <c r="K250" i="1"/>
  <c r="K251" i="1"/>
  <c r="K252" i="1"/>
  <c r="K253" i="1"/>
  <c r="H264" i="1"/>
  <c r="H265" i="1"/>
  <c r="B259" i="1"/>
  <c r="H267" i="1"/>
  <c r="H268" i="1"/>
  <c r="B270" i="1"/>
  <c r="F169" i="1"/>
  <c r="B271" i="1"/>
  <c r="B272" i="1"/>
  <c r="B275" i="1"/>
  <c r="C6" i="1"/>
  <c r="C10" i="1"/>
  <c r="C12" i="1"/>
  <c r="G42" i="1"/>
  <c r="G43" i="1"/>
  <c r="D188" i="1"/>
  <c r="G96" i="1"/>
  <c r="G97" i="1"/>
  <c r="G98" i="1"/>
  <c r="F99" i="1"/>
  <c r="G99" i="1"/>
  <c r="G100" i="1"/>
  <c r="G101" i="1"/>
  <c r="D189" i="1"/>
  <c r="D190" i="1"/>
  <c r="D192" i="1"/>
  <c r="B180" i="1"/>
  <c r="D193" i="1"/>
  <c r="H42" i="1"/>
  <c r="H43" i="1"/>
  <c r="E188" i="1"/>
  <c r="H96" i="1"/>
  <c r="H97" i="1"/>
  <c r="H98" i="1"/>
  <c r="H99" i="1"/>
  <c r="H100" i="1"/>
  <c r="H101" i="1"/>
  <c r="E189" i="1"/>
  <c r="E190" i="1"/>
  <c r="E192" i="1"/>
  <c r="E193" i="1"/>
  <c r="I42" i="1"/>
  <c r="I43" i="1"/>
  <c r="F188" i="1"/>
  <c r="I96" i="1"/>
  <c r="I97" i="1"/>
  <c r="I98" i="1"/>
  <c r="I99" i="1"/>
  <c r="I100" i="1"/>
  <c r="I101" i="1"/>
  <c r="F189" i="1"/>
  <c r="F190" i="1"/>
  <c r="F192" i="1"/>
  <c r="F193" i="1"/>
  <c r="J42" i="1"/>
  <c r="J43" i="1"/>
  <c r="G188" i="1"/>
  <c r="J96" i="1"/>
  <c r="J97" i="1"/>
  <c r="J98" i="1"/>
  <c r="J99" i="1"/>
  <c r="J100" i="1"/>
  <c r="J101" i="1"/>
  <c r="G189" i="1"/>
  <c r="G190" i="1"/>
  <c r="G192" i="1"/>
  <c r="G193" i="1"/>
  <c r="K42" i="1"/>
  <c r="K43" i="1"/>
  <c r="H188" i="1"/>
  <c r="K96" i="1"/>
  <c r="K97" i="1"/>
  <c r="K98" i="1"/>
  <c r="K99" i="1"/>
  <c r="K100" i="1"/>
  <c r="K101" i="1"/>
  <c r="H189" i="1"/>
  <c r="H190" i="1"/>
  <c r="H192" i="1"/>
  <c r="H193" i="1"/>
  <c r="I188" i="1"/>
  <c r="I189" i="1"/>
  <c r="I190" i="1"/>
  <c r="I192" i="1"/>
  <c r="I193" i="1"/>
  <c r="I194" i="1"/>
  <c r="I195" i="1"/>
  <c r="B197" i="1"/>
  <c r="C5" i="1"/>
  <c r="C9" i="1"/>
  <c r="C11" i="1"/>
  <c r="F218" i="1"/>
  <c r="F240" i="1"/>
  <c r="E27" i="1"/>
  <c r="E29" i="1"/>
  <c r="E30" i="1"/>
  <c r="E227" i="1"/>
  <c r="E36" i="1"/>
  <c r="E160" i="1"/>
  <c r="E228" i="1"/>
  <c r="E118" i="1"/>
  <c r="E229" i="1"/>
  <c r="E230" i="1"/>
  <c r="E130" i="1"/>
  <c r="E231" i="1"/>
  <c r="E232" i="1"/>
  <c r="F27" i="1"/>
  <c r="F30" i="1"/>
  <c r="F227" i="1"/>
  <c r="F36" i="1"/>
  <c r="F160" i="1"/>
  <c r="F228" i="1"/>
  <c r="F118" i="1"/>
  <c r="F229" i="1"/>
  <c r="F230" i="1"/>
  <c r="F130" i="1"/>
  <c r="F231" i="1"/>
  <c r="F232" i="1"/>
  <c r="G227" i="1"/>
  <c r="G228" i="1"/>
  <c r="G231" i="1"/>
  <c r="G232" i="1"/>
  <c r="H227" i="1"/>
  <c r="H228" i="1"/>
  <c r="H231" i="1"/>
  <c r="H232" i="1"/>
  <c r="I227" i="1"/>
  <c r="I228" i="1"/>
  <c r="I231" i="1"/>
  <c r="I232" i="1"/>
  <c r="J227" i="1"/>
  <c r="J228" i="1"/>
  <c r="J231" i="1"/>
  <c r="J232" i="1"/>
  <c r="K227" i="1"/>
  <c r="K228" i="1"/>
  <c r="K231" i="1"/>
  <c r="K232" i="1"/>
  <c r="E223" i="1"/>
  <c r="F223" i="1"/>
  <c r="G223" i="1"/>
  <c r="H223" i="1"/>
  <c r="I223" i="1"/>
  <c r="J223" i="1"/>
  <c r="K223" i="1"/>
  <c r="E222" i="1"/>
  <c r="F222" i="1"/>
  <c r="E221" i="1"/>
  <c r="F221" i="1"/>
  <c r="G219" i="1"/>
  <c r="H219" i="1"/>
  <c r="I219" i="1"/>
  <c r="J219" i="1"/>
  <c r="K219" i="1"/>
  <c r="G218" i="1"/>
  <c r="H218" i="1"/>
  <c r="I218" i="1"/>
  <c r="J218" i="1"/>
  <c r="K218" i="1"/>
  <c r="D167" i="1"/>
  <c r="D168" i="1"/>
  <c r="D169" i="1"/>
  <c r="D170" i="1"/>
  <c r="D172" i="1"/>
  <c r="D173" i="1"/>
  <c r="D159" i="1"/>
  <c r="D27" i="1"/>
  <c r="D29" i="1"/>
  <c r="D30" i="1"/>
  <c r="D36" i="1"/>
  <c r="D160" i="1"/>
  <c r="D165" i="1"/>
  <c r="D174" i="1"/>
  <c r="E167" i="1"/>
  <c r="E168" i="1"/>
  <c r="E169" i="1"/>
  <c r="E170" i="1"/>
  <c r="E172" i="1"/>
  <c r="E173" i="1"/>
  <c r="E159" i="1"/>
  <c r="E165" i="1"/>
  <c r="E174" i="1"/>
  <c r="F167" i="1"/>
  <c r="F168" i="1"/>
  <c r="F170" i="1"/>
  <c r="F172" i="1"/>
  <c r="F173" i="1"/>
  <c r="F159" i="1"/>
  <c r="F165" i="1"/>
  <c r="F174" i="1"/>
  <c r="H167" i="1"/>
  <c r="H166" i="1"/>
  <c r="H168" i="1"/>
  <c r="H83" i="1"/>
  <c r="H88" i="1"/>
  <c r="H169" i="1"/>
  <c r="H170" i="1"/>
  <c r="H172" i="1"/>
  <c r="H173" i="1"/>
  <c r="H157" i="1"/>
  <c r="H159" i="1"/>
  <c r="H165" i="1"/>
  <c r="H174" i="1"/>
  <c r="I167" i="1"/>
  <c r="I166" i="1"/>
  <c r="I168" i="1"/>
  <c r="I83" i="1"/>
  <c r="I88" i="1"/>
  <c r="I169" i="1"/>
  <c r="I170" i="1"/>
  <c r="I172" i="1"/>
  <c r="I173" i="1"/>
  <c r="I157" i="1"/>
  <c r="I159" i="1"/>
  <c r="I165" i="1"/>
  <c r="I174" i="1"/>
  <c r="J167" i="1"/>
  <c r="J166" i="1"/>
  <c r="J168" i="1"/>
  <c r="J83" i="1"/>
  <c r="J88" i="1"/>
  <c r="J169" i="1"/>
  <c r="J170" i="1"/>
  <c r="J172" i="1"/>
  <c r="J173" i="1"/>
  <c r="J157" i="1"/>
  <c r="J159" i="1"/>
  <c r="J165" i="1"/>
  <c r="J174" i="1"/>
  <c r="K167" i="1"/>
  <c r="K166" i="1"/>
  <c r="K168" i="1"/>
  <c r="K83" i="1"/>
  <c r="K88" i="1"/>
  <c r="K169" i="1"/>
  <c r="K170" i="1"/>
  <c r="K172" i="1"/>
  <c r="K173" i="1"/>
  <c r="K157" i="1"/>
  <c r="K159" i="1"/>
  <c r="K165" i="1"/>
  <c r="K174" i="1"/>
  <c r="L168" i="1"/>
  <c r="D161" i="1"/>
  <c r="E161" i="1"/>
  <c r="F161" i="1"/>
  <c r="G161" i="1"/>
  <c r="H161" i="1"/>
  <c r="I161" i="1"/>
  <c r="J161" i="1"/>
  <c r="K161" i="1"/>
  <c r="C159" i="1"/>
  <c r="G462" i="1"/>
  <c r="G53" i="1"/>
  <c r="G54" i="1"/>
  <c r="G55" i="1"/>
  <c r="G56" i="1"/>
  <c r="G57" i="1"/>
  <c r="G58" i="1"/>
  <c r="G59" i="1"/>
  <c r="G61" i="1"/>
  <c r="G63" i="1"/>
  <c r="G71" i="1"/>
  <c r="G72" i="1"/>
  <c r="G74" i="1"/>
  <c r="F75" i="1"/>
  <c r="G75" i="1"/>
  <c r="G77" i="1"/>
  <c r="G463" i="1"/>
  <c r="G464" i="1"/>
  <c r="G465" i="1"/>
  <c r="G155" i="1"/>
  <c r="H462" i="1"/>
  <c r="H53" i="1"/>
  <c r="H54" i="1"/>
  <c r="H55" i="1"/>
  <c r="H56" i="1"/>
  <c r="H57" i="1"/>
  <c r="H58" i="1"/>
  <c r="H59" i="1"/>
  <c r="H61" i="1"/>
  <c r="H63" i="1"/>
  <c r="H71" i="1"/>
  <c r="H72" i="1"/>
  <c r="H74" i="1"/>
  <c r="H75" i="1"/>
  <c r="H77" i="1"/>
  <c r="H463" i="1"/>
  <c r="H464" i="1"/>
  <c r="H465" i="1"/>
  <c r="H155" i="1"/>
  <c r="I462" i="1"/>
  <c r="I53" i="1"/>
  <c r="I54" i="1"/>
  <c r="I55" i="1"/>
  <c r="I56" i="1"/>
  <c r="I57" i="1"/>
  <c r="I58" i="1"/>
  <c r="I59" i="1"/>
  <c r="I61" i="1"/>
  <c r="I63" i="1"/>
  <c r="I71" i="1"/>
  <c r="I72" i="1"/>
  <c r="I74" i="1"/>
  <c r="I75" i="1"/>
  <c r="I77" i="1"/>
  <c r="I463" i="1"/>
  <c r="I464" i="1"/>
  <c r="I465" i="1"/>
  <c r="I155" i="1"/>
  <c r="J462" i="1"/>
  <c r="J53" i="1"/>
  <c r="J54" i="1"/>
  <c r="J55" i="1"/>
  <c r="J56" i="1"/>
  <c r="J57" i="1"/>
  <c r="J58" i="1"/>
  <c r="J59" i="1"/>
  <c r="J61" i="1"/>
  <c r="J63" i="1"/>
  <c r="J71" i="1"/>
  <c r="J72" i="1"/>
  <c r="J74" i="1"/>
  <c r="J75" i="1"/>
  <c r="J77" i="1"/>
  <c r="J463" i="1"/>
  <c r="J464" i="1"/>
  <c r="J465" i="1"/>
  <c r="J155" i="1"/>
  <c r="K462" i="1"/>
  <c r="K53" i="1"/>
  <c r="K54" i="1"/>
  <c r="K55" i="1"/>
  <c r="K56" i="1"/>
  <c r="K57" i="1"/>
  <c r="K58" i="1"/>
  <c r="K59" i="1"/>
  <c r="K61" i="1"/>
  <c r="K63" i="1"/>
  <c r="K71" i="1"/>
  <c r="K72" i="1"/>
  <c r="K74" i="1"/>
  <c r="K75" i="1"/>
  <c r="K77" i="1"/>
  <c r="K463" i="1"/>
  <c r="K464" i="1"/>
  <c r="K465" i="1"/>
  <c r="K155" i="1"/>
  <c r="G156" i="1"/>
  <c r="H156" i="1"/>
  <c r="I156" i="1"/>
  <c r="J156" i="1"/>
  <c r="K156" i="1"/>
  <c r="G115" i="1"/>
  <c r="G120" i="1"/>
  <c r="G134" i="1"/>
  <c r="G135" i="1"/>
  <c r="G136" i="1"/>
  <c r="G138" i="1"/>
  <c r="G139" i="1"/>
  <c r="G141" i="1"/>
  <c r="G143" i="1"/>
  <c r="G144" i="1"/>
  <c r="G145" i="1"/>
  <c r="H115" i="1"/>
  <c r="H120" i="1"/>
  <c r="H134" i="1"/>
  <c r="H135" i="1"/>
  <c r="H136" i="1"/>
  <c r="H138" i="1"/>
  <c r="H139" i="1"/>
  <c r="H141" i="1"/>
  <c r="H143" i="1"/>
  <c r="H144" i="1"/>
  <c r="H145" i="1"/>
  <c r="I115" i="1"/>
  <c r="I120" i="1"/>
  <c r="I134" i="1"/>
  <c r="I135" i="1"/>
  <c r="I136" i="1"/>
  <c r="I138" i="1"/>
  <c r="I139" i="1"/>
  <c r="I141" i="1"/>
  <c r="I143" i="1"/>
  <c r="I144" i="1"/>
  <c r="I145" i="1"/>
  <c r="J115" i="1"/>
  <c r="J120" i="1"/>
  <c r="J134" i="1"/>
  <c r="J135" i="1"/>
  <c r="J136" i="1"/>
  <c r="J138" i="1"/>
  <c r="J139" i="1"/>
  <c r="J141" i="1"/>
  <c r="J143" i="1"/>
  <c r="J144" i="1"/>
  <c r="J145" i="1"/>
  <c r="K115" i="1"/>
  <c r="K120" i="1"/>
  <c r="K134" i="1"/>
  <c r="K135" i="1"/>
  <c r="K136" i="1"/>
  <c r="K138" i="1"/>
  <c r="K139" i="1"/>
  <c r="K141" i="1"/>
  <c r="K143" i="1"/>
  <c r="K144" i="1"/>
  <c r="K145" i="1"/>
  <c r="N124" i="1"/>
  <c r="O124" i="1"/>
  <c r="P124" i="1"/>
  <c r="N125" i="1"/>
  <c r="O125" i="1"/>
  <c r="P125" i="1"/>
  <c r="N126" i="1"/>
  <c r="O126" i="1"/>
  <c r="P126" i="1"/>
  <c r="N129" i="1"/>
  <c r="O129" i="1"/>
  <c r="P129" i="1"/>
  <c r="N134" i="1"/>
  <c r="O134" i="1"/>
  <c r="P134" i="1"/>
  <c r="N135" i="1"/>
  <c r="O135" i="1"/>
  <c r="P135" i="1"/>
  <c r="N136" i="1"/>
  <c r="O136" i="1"/>
  <c r="P136" i="1"/>
  <c r="N138" i="1"/>
  <c r="O138" i="1"/>
  <c r="P138" i="1"/>
  <c r="D139" i="1"/>
  <c r="C139" i="1"/>
  <c r="N139" i="1"/>
  <c r="E139" i="1"/>
  <c r="O139" i="1"/>
  <c r="F139" i="1"/>
  <c r="P139" i="1"/>
  <c r="N141" i="1"/>
  <c r="O141" i="1"/>
  <c r="P141" i="1"/>
  <c r="Q116" i="1"/>
  <c r="R116" i="1"/>
  <c r="S116" i="1"/>
  <c r="T116" i="1"/>
  <c r="U116" i="1"/>
  <c r="Q115" i="1"/>
  <c r="R115" i="1"/>
  <c r="S115" i="1"/>
  <c r="T115" i="1"/>
  <c r="U115" i="1"/>
  <c r="P119" i="1"/>
  <c r="O119" i="1"/>
  <c r="N119" i="1"/>
  <c r="P118" i="1"/>
  <c r="D118" i="1"/>
  <c r="O118" i="1"/>
  <c r="C118" i="1"/>
  <c r="N118" i="1"/>
  <c r="P117" i="1"/>
  <c r="O117" i="1"/>
  <c r="N117" i="1"/>
  <c r="P116" i="1"/>
  <c r="O116" i="1"/>
  <c r="N116" i="1"/>
  <c r="P115" i="1"/>
  <c r="O115" i="1"/>
  <c r="N115" i="1"/>
  <c r="C55" i="1"/>
  <c r="C59" i="1"/>
  <c r="C63" i="1"/>
  <c r="C70" i="1"/>
  <c r="C72" i="1"/>
  <c r="C75" i="1"/>
  <c r="C77" i="1"/>
  <c r="C85" i="1"/>
  <c r="C86" i="1"/>
  <c r="C89" i="1"/>
  <c r="C91" i="1"/>
  <c r="C93" i="1"/>
  <c r="C99" i="1"/>
  <c r="C101" i="1"/>
  <c r="C103" i="1"/>
  <c r="C104" i="1"/>
  <c r="D55" i="1"/>
  <c r="D59" i="1"/>
  <c r="D63" i="1"/>
  <c r="D70" i="1"/>
  <c r="D72" i="1"/>
  <c r="D75" i="1"/>
  <c r="D77" i="1"/>
  <c r="D85" i="1"/>
  <c r="D86" i="1"/>
  <c r="D89" i="1"/>
  <c r="D91" i="1"/>
  <c r="D93" i="1"/>
  <c r="D99" i="1"/>
  <c r="D101" i="1"/>
  <c r="D103" i="1"/>
  <c r="D104" i="1"/>
  <c r="E55" i="1"/>
  <c r="E59" i="1"/>
  <c r="E63" i="1"/>
  <c r="E70" i="1"/>
  <c r="E72" i="1"/>
  <c r="E75" i="1"/>
  <c r="E77" i="1"/>
  <c r="E85" i="1"/>
  <c r="E86" i="1"/>
  <c r="E89" i="1"/>
  <c r="E91" i="1"/>
  <c r="E93" i="1"/>
  <c r="E99" i="1"/>
  <c r="E101" i="1"/>
  <c r="E103" i="1"/>
  <c r="E104" i="1"/>
  <c r="F55" i="1"/>
  <c r="F59" i="1"/>
  <c r="F63" i="1"/>
  <c r="F72" i="1"/>
  <c r="F77" i="1"/>
  <c r="F85" i="1"/>
  <c r="F86" i="1"/>
  <c r="F89" i="1"/>
  <c r="F91" i="1"/>
  <c r="F93" i="1"/>
  <c r="F101" i="1"/>
  <c r="F103" i="1"/>
  <c r="F104" i="1"/>
  <c r="G84" i="1"/>
  <c r="G85" i="1"/>
  <c r="G81" i="1"/>
  <c r="G86" i="1"/>
  <c r="G89" i="1"/>
  <c r="G90" i="1"/>
  <c r="G91" i="1"/>
  <c r="G93" i="1"/>
  <c r="G103" i="1"/>
  <c r="G104" i="1"/>
  <c r="H84" i="1"/>
  <c r="H85" i="1"/>
  <c r="H81" i="1"/>
  <c r="H86" i="1"/>
  <c r="H89" i="1"/>
  <c r="H90" i="1"/>
  <c r="H91" i="1"/>
  <c r="H93" i="1"/>
  <c r="H103" i="1"/>
  <c r="H104" i="1"/>
  <c r="I84" i="1"/>
  <c r="I85" i="1"/>
  <c r="I81" i="1"/>
  <c r="I86" i="1"/>
  <c r="I89" i="1"/>
  <c r="I90" i="1"/>
  <c r="I91" i="1"/>
  <c r="I93" i="1"/>
  <c r="I103" i="1"/>
  <c r="I104" i="1"/>
  <c r="J84" i="1"/>
  <c r="J85" i="1"/>
  <c r="J81" i="1"/>
  <c r="J86" i="1"/>
  <c r="J89" i="1"/>
  <c r="J90" i="1"/>
  <c r="J91" i="1"/>
  <c r="J93" i="1"/>
  <c r="J103" i="1"/>
  <c r="J104" i="1"/>
  <c r="K84" i="1"/>
  <c r="K85" i="1"/>
  <c r="K81" i="1"/>
  <c r="K86" i="1"/>
  <c r="K89" i="1"/>
  <c r="K90" i="1"/>
  <c r="K91" i="1"/>
  <c r="K93" i="1"/>
  <c r="K103" i="1"/>
  <c r="K104" i="1"/>
  <c r="B55" i="1"/>
  <c r="B59" i="1"/>
  <c r="B63" i="1"/>
  <c r="B70" i="1"/>
  <c r="B72" i="1"/>
  <c r="B75" i="1"/>
  <c r="B77" i="1"/>
  <c r="B85" i="1"/>
  <c r="B86" i="1"/>
  <c r="B89" i="1"/>
  <c r="B91" i="1"/>
  <c r="B93" i="1"/>
  <c r="B99" i="1"/>
  <c r="B101" i="1"/>
  <c r="B103" i="1"/>
  <c r="B104" i="1"/>
  <c r="N83" i="1"/>
  <c r="O83" i="1"/>
  <c r="P83" i="1"/>
  <c r="N84" i="1"/>
  <c r="O84" i="1"/>
  <c r="P84" i="1"/>
  <c r="N85" i="1"/>
  <c r="O85" i="1"/>
  <c r="P85" i="1"/>
  <c r="N88" i="1"/>
  <c r="O88" i="1"/>
  <c r="P88" i="1"/>
  <c r="N89" i="1"/>
  <c r="O89" i="1"/>
  <c r="P89" i="1"/>
  <c r="N90" i="1"/>
  <c r="O90" i="1"/>
  <c r="P90" i="1"/>
  <c r="N91" i="1"/>
  <c r="O91" i="1"/>
  <c r="P91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P81" i="1"/>
  <c r="O81" i="1"/>
  <c r="N81" i="1"/>
  <c r="N74" i="1"/>
  <c r="O74" i="1"/>
  <c r="P74" i="1"/>
  <c r="N75" i="1"/>
  <c r="O75" i="1"/>
  <c r="P75" i="1"/>
  <c r="O71" i="1"/>
  <c r="P71" i="1"/>
  <c r="N54" i="1"/>
  <c r="O54" i="1"/>
  <c r="P54" i="1"/>
  <c r="N56" i="1"/>
  <c r="O56" i="1"/>
  <c r="P56" i="1"/>
  <c r="O53" i="1"/>
  <c r="P53" i="1"/>
  <c r="N71" i="1"/>
  <c r="P65" i="1"/>
  <c r="O65" i="1"/>
  <c r="N65" i="1"/>
  <c r="P61" i="1"/>
  <c r="O61" i="1"/>
  <c r="N61" i="1"/>
  <c r="P58" i="1"/>
  <c r="O58" i="1"/>
  <c r="N58" i="1"/>
  <c r="P57" i="1"/>
  <c r="O57" i="1"/>
  <c r="N57" i="1"/>
  <c r="N53" i="1"/>
  <c r="F38" i="1"/>
  <c r="F39" i="1"/>
  <c r="F42" i="1"/>
  <c r="E38" i="1"/>
  <c r="E39" i="1"/>
  <c r="E42" i="1"/>
  <c r="P42" i="1"/>
  <c r="P43" i="1"/>
  <c r="N31" i="1"/>
  <c r="O31" i="1"/>
  <c r="P31" i="1"/>
  <c r="N32" i="1"/>
  <c r="O32" i="1"/>
  <c r="P32" i="1"/>
  <c r="N33" i="1"/>
  <c r="O33" i="1"/>
  <c r="P33" i="1"/>
  <c r="N34" i="1"/>
  <c r="O34" i="1"/>
  <c r="P34" i="1"/>
  <c r="N37" i="1"/>
  <c r="O37" i="1"/>
  <c r="P37" i="1"/>
  <c r="N41" i="1"/>
  <c r="O41" i="1"/>
  <c r="P41" i="1"/>
  <c r="D38" i="1"/>
  <c r="D39" i="1"/>
  <c r="D42" i="1"/>
  <c r="C27" i="1"/>
  <c r="C29" i="1"/>
  <c r="C30" i="1"/>
  <c r="C36" i="1"/>
  <c r="C38" i="1"/>
  <c r="C39" i="1"/>
  <c r="C42" i="1"/>
  <c r="N42" i="1"/>
  <c r="O42" i="1"/>
  <c r="N43" i="1"/>
  <c r="O43" i="1"/>
  <c r="O29" i="1"/>
  <c r="P29" i="1"/>
  <c r="N29" i="1"/>
  <c r="O26" i="1"/>
  <c r="P26" i="1"/>
  <c r="N26" i="1"/>
  <c r="O25" i="1"/>
  <c r="P25" i="1"/>
  <c r="N25" i="1"/>
  <c r="D389" i="1"/>
  <c r="E389" i="1"/>
  <c r="F389" i="1"/>
  <c r="C389" i="1"/>
  <c r="G389" i="1"/>
  <c r="C167" i="1"/>
  <c r="G372" i="1"/>
  <c r="D375" i="1"/>
  <c r="D379" i="1"/>
  <c r="E375" i="1"/>
  <c r="E379" i="1"/>
  <c r="F375" i="1"/>
  <c r="F379" i="1"/>
  <c r="F380" i="1"/>
  <c r="K380" i="1"/>
  <c r="J380" i="1"/>
  <c r="I380" i="1"/>
  <c r="H380" i="1"/>
  <c r="G380" i="1"/>
  <c r="H372" i="1"/>
  <c r="I372" i="1"/>
  <c r="J372" i="1"/>
  <c r="K372" i="1"/>
  <c r="K381" i="1"/>
  <c r="C375" i="1"/>
  <c r="F376" i="1"/>
  <c r="K376" i="1"/>
  <c r="K377" i="1"/>
  <c r="J376" i="1"/>
  <c r="J377" i="1"/>
  <c r="I376" i="1"/>
  <c r="I377" i="1"/>
  <c r="H376" i="1"/>
  <c r="H377" i="1"/>
  <c r="G376" i="1"/>
  <c r="G377" i="1"/>
  <c r="G381" i="1"/>
  <c r="G382" i="1"/>
  <c r="H381" i="1"/>
  <c r="H382" i="1"/>
  <c r="I381" i="1"/>
  <c r="I382" i="1"/>
  <c r="J381" i="1"/>
  <c r="J382" i="1"/>
  <c r="K382" i="1"/>
  <c r="C414" i="1"/>
  <c r="C413" i="1"/>
  <c r="C416" i="1"/>
  <c r="D414" i="1"/>
  <c r="D413" i="1"/>
  <c r="D416" i="1"/>
  <c r="E414" i="1"/>
  <c r="E413" i="1"/>
  <c r="E416" i="1"/>
  <c r="F414" i="1"/>
  <c r="F413" i="1"/>
  <c r="F416" i="1"/>
  <c r="F417" i="1"/>
  <c r="K417" i="1"/>
  <c r="K413" i="1"/>
  <c r="K418" i="1"/>
  <c r="J417" i="1"/>
  <c r="J413" i="1"/>
  <c r="J418" i="1"/>
  <c r="I417" i="1"/>
  <c r="I413" i="1"/>
  <c r="I418" i="1"/>
  <c r="H417" i="1"/>
  <c r="H413" i="1"/>
  <c r="H418" i="1"/>
  <c r="G417" i="1"/>
  <c r="G413" i="1"/>
  <c r="G418" i="1"/>
  <c r="C402" i="1"/>
  <c r="C401" i="1"/>
  <c r="C404" i="1"/>
  <c r="D402" i="1"/>
  <c r="D401" i="1"/>
  <c r="D404" i="1"/>
  <c r="E402" i="1"/>
  <c r="E401" i="1"/>
  <c r="E404" i="1"/>
  <c r="F402" i="1"/>
  <c r="F401" i="1"/>
  <c r="F404" i="1"/>
  <c r="F405" i="1"/>
  <c r="K405" i="1"/>
  <c r="K401" i="1"/>
  <c r="K406" i="1"/>
  <c r="J405" i="1"/>
  <c r="J401" i="1"/>
  <c r="J406" i="1"/>
  <c r="I405" i="1"/>
  <c r="I401" i="1"/>
  <c r="I406" i="1"/>
  <c r="H405" i="1"/>
  <c r="H401" i="1"/>
  <c r="H406" i="1"/>
  <c r="G405" i="1"/>
  <c r="G401" i="1"/>
  <c r="G406" i="1"/>
  <c r="C390" i="1"/>
  <c r="C392" i="1"/>
  <c r="D390" i="1"/>
  <c r="D392" i="1"/>
  <c r="E390" i="1"/>
  <c r="E392" i="1"/>
  <c r="F390" i="1"/>
  <c r="F392" i="1"/>
  <c r="F393" i="1"/>
  <c r="G393" i="1"/>
  <c r="H393" i="1"/>
  <c r="I393" i="1"/>
  <c r="J393" i="1"/>
  <c r="K393" i="1"/>
  <c r="A414" i="1"/>
  <c r="A402" i="1"/>
  <c r="A390" i="1"/>
  <c r="K389" i="1"/>
  <c r="K394" i="1"/>
  <c r="J389" i="1"/>
  <c r="J394" i="1"/>
  <c r="I389" i="1"/>
  <c r="I394" i="1"/>
  <c r="H389" i="1"/>
  <c r="H394" i="1"/>
  <c r="G394" i="1"/>
  <c r="K414" i="1"/>
  <c r="J414" i="1"/>
  <c r="I414" i="1"/>
  <c r="H414" i="1"/>
  <c r="G414" i="1"/>
  <c r="K402" i="1"/>
  <c r="J402" i="1"/>
  <c r="I402" i="1"/>
  <c r="H402" i="1"/>
  <c r="G402" i="1"/>
  <c r="K390" i="1"/>
  <c r="J390" i="1"/>
  <c r="I390" i="1"/>
  <c r="H390" i="1"/>
  <c r="G390" i="1"/>
  <c r="F381" i="1"/>
  <c r="E381" i="1"/>
  <c r="D381" i="1"/>
  <c r="K375" i="1"/>
  <c r="K379" i="1"/>
  <c r="J375" i="1"/>
  <c r="J379" i="1"/>
  <c r="I375" i="1"/>
  <c r="I379" i="1"/>
  <c r="H375" i="1"/>
  <c r="H379" i="1"/>
  <c r="G375" i="1"/>
  <c r="G379" i="1"/>
  <c r="K486" i="1"/>
  <c r="J486" i="1"/>
  <c r="I486" i="1"/>
  <c r="H486" i="1"/>
  <c r="G486" i="1"/>
  <c r="F486" i="1"/>
  <c r="E486" i="1"/>
  <c r="D486" i="1"/>
  <c r="C486" i="1"/>
  <c r="K485" i="1"/>
  <c r="J485" i="1"/>
  <c r="I485" i="1"/>
  <c r="H485" i="1"/>
  <c r="G485" i="1"/>
  <c r="F485" i="1"/>
  <c r="E485" i="1"/>
  <c r="D485" i="1"/>
  <c r="C485" i="1"/>
  <c r="K484" i="1"/>
  <c r="J484" i="1"/>
  <c r="I484" i="1"/>
  <c r="H484" i="1"/>
  <c r="G484" i="1"/>
  <c r="F484" i="1"/>
  <c r="E484" i="1"/>
  <c r="D484" i="1"/>
  <c r="C484" i="1"/>
  <c r="K481" i="1"/>
  <c r="J481" i="1"/>
  <c r="I481" i="1"/>
  <c r="H481" i="1"/>
  <c r="G481" i="1"/>
  <c r="F481" i="1"/>
  <c r="E481" i="1"/>
  <c r="D481" i="1"/>
  <c r="C481" i="1"/>
  <c r="K478" i="1"/>
  <c r="J478" i="1"/>
  <c r="I478" i="1"/>
  <c r="H478" i="1"/>
  <c r="G478" i="1"/>
  <c r="F478" i="1"/>
  <c r="E478" i="1"/>
  <c r="D478" i="1"/>
  <c r="C478" i="1"/>
  <c r="K477" i="1"/>
  <c r="J477" i="1"/>
  <c r="I477" i="1"/>
  <c r="H477" i="1"/>
  <c r="G477" i="1"/>
  <c r="F477" i="1"/>
  <c r="E477" i="1"/>
  <c r="D477" i="1"/>
  <c r="C477" i="1"/>
  <c r="K476" i="1"/>
  <c r="J476" i="1"/>
  <c r="I476" i="1"/>
  <c r="H476" i="1"/>
  <c r="G476" i="1"/>
  <c r="F476" i="1"/>
  <c r="E476" i="1"/>
  <c r="D476" i="1"/>
  <c r="C476" i="1"/>
  <c r="K468" i="1"/>
  <c r="K469" i="1"/>
  <c r="K470" i="1"/>
  <c r="K471" i="1"/>
  <c r="K472" i="1"/>
  <c r="K473" i="1"/>
  <c r="J468" i="1"/>
  <c r="J469" i="1"/>
  <c r="J470" i="1"/>
  <c r="J471" i="1"/>
  <c r="J472" i="1"/>
  <c r="J473" i="1"/>
  <c r="I468" i="1"/>
  <c r="I469" i="1"/>
  <c r="I470" i="1"/>
  <c r="I471" i="1"/>
  <c r="I472" i="1"/>
  <c r="I473" i="1"/>
  <c r="H468" i="1"/>
  <c r="H469" i="1"/>
  <c r="H470" i="1"/>
  <c r="H471" i="1"/>
  <c r="H472" i="1"/>
  <c r="H473" i="1"/>
  <c r="G468" i="1"/>
  <c r="G469" i="1"/>
  <c r="G470" i="1"/>
  <c r="G471" i="1"/>
  <c r="G472" i="1"/>
  <c r="G473" i="1"/>
  <c r="F468" i="1"/>
  <c r="F469" i="1"/>
  <c r="F470" i="1"/>
  <c r="F471" i="1"/>
  <c r="F472" i="1"/>
  <c r="F473" i="1"/>
  <c r="E468" i="1"/>
  <c r="E469" i="1"/>
  <c r="E470" i="1"/>
  <c r="E471" i="1"/>
  <c r="E472" i="1"/>
  <c r="E473" i="1"/>
  <c r="D468" i="1"/>
  <c r="D469" i="1"/>
  <c r="D470" i="1"/>
  <c r="D471" i="1"/>
  <c r="D472" i="1"/>
  <c r="D473" i="1"/>
  <c r="C468" i="1"/>
  <c r="C469" i="1"/>
  <c r="C470" i="1"/>
  <c r="C471" i="1"/>
  <c r="C472" i="1"/>
  <c r="C473" i="1"/>
  <c r="L461" i="1"/>
  <c r="L467" i="1"/>
  <c r="L466" i="1"/>
  <c r="F462" i="1"/>
  <c r="F463" i="1"/>
  <c r="F464" i="1"/>
  <c r="F465" i="1"/>
  <c r="E462" i="1"/>
  <c r="E463" i="1"/>
  <c r="E464" i="1"/>
  <c r="E465" i="1"/>
  <c r="D462" i="1"/>
  <c r="D463" i="1"/>
  <c r="D464" i="1"/>
  <c r="D465" i="1"/>
  <c r="C462" i="1"/>
  <c r="C463" i="1"/>
  <c r="C464" i="1"/>
  <c r="C465" i="1"/>
  <c r="L460" i="1"/>
  <c r="K458" i="1"/>
  <c r="J458" i="1"/>
  <c r="I458" i="1"/>
  <c r="H458" i="1"/>
  <c r="G458" i="1"/>
  <c r="F458" i="1"/>
  <c r="E458" i="1"/>
  <c r="D458" i="1"/>
  <c r="C458" i="1"/>
  <c r="K457" i="1"/>
  <c r="J457" i="1"/>
  <c r="I457" i="1"/>
  <c r="H457" i="1"/>
  <c r="G457" i="1"/>
  <c r="F457" i="1"/>
  <c r="E457" i="1"/>
  <c r="D457" i="1"/>
  <c r="C457" i="1"/>
  <c r="K456" i="1"/>
  <c r="J456" i="1"/>
  <c r="I456" i="1"/>
  <c r="H456" i="1"/>
  <c r="G456" i="1"/>
  <c r="F456" i="1"/>
  <c r="E456" i="1"/>
  <c r="D456" i="1"/>
  <c r="C456" i="1"/>
  <c r="K455" i="1"/>
  <c r="J455" i="1"/>
  <c r="I455" i="1"/>
  <c r="H455" i="1"/>
  <c r="G455" i="1"/>
  <c r="F455" i="1"/>
  <c r="E455" i="1"/>
  <c r="D455" i="1"/>
  <c r="C455" i="1"/>
  <c r="K454" i="1"/>
  <c r="J454" i="1"/>
  <c r="I454" i="1"/>
  <c r="H454" i="1"/>
  <c r="G454" i="1"/>
  <c r="F454" i="1"/>
  <c r="E454" i="1"/>
  <c r="D454" i="1"/>
  <c r="C454" i="1"/>
  <c r="K453" i="1"/>
  <c r="J453" i="1"/>
  <c r="I453" i="1"/>
  <c r="H453" i="1"/>
  <c r="G453" i="1"/>
  <c r="F453" i="1"/>
  <c r="E453" i="1"/>
  <c r="D453" i="1"/>
  <c r="C453" i="1"/>
  <c r="K450" i="1"/>
  <c r="J450" i="1"/>
  <c r="I450" i="1"/>
  <c r="H450" i="1"/>
  <c r="G450" i="1"/>
  <c r="F450" i="1"/>
  <c r="E450" i="1"/>
  <c r="D450" i="1"/>
  <c r="C450" i="1"/>
  <c r="K449" i="1"/>
  <c r="J449" i="1"/>
  <c r="I449" i="1"/>
  <c r="H449" i="1"/>
  <c r="G449" i="1"/>
  <c r="F449" i="1"/>
  <c r="E449" i="1"/>
  <c r="D449" i="1"/>
  <c r="C449" i="1"/>
  <c r="K448" i="1"/>
  <c r="J448" i="1"/>
  <c r="I448" i="1"/>
  <c r="H448" i="1"/>
  <c r="G448" i="1"/>
  <c r="F448" i="1"/>
  <c r="E448" i="1"/>
  <c r="D448" i="1"/>
  <c r="C448" i="1"/>
  <c r="L443" i="1"/>
  <c r="K444" i="1"/>
  <c r="K445" i="1"/>
  <c r="J444" i="1"/>
  <c r="J445" i="1"/>
  <c r="I444" i="1"/>
  <c r="I445" i="1"/>
  <c r="H444" i="1"/>
  <c r="H445" i="1"/>
  <c r="G444" i="1"/>
  <c r="G445" i="1"/>
  <c r="F444" i="1"/>
  <c r="F445" i="1"/>
  <c r="E444" i="1"/>
  <c r="E445" i="1"/>
  <c r="D444" i="1"/>
  <c r="D445" i="1"/>
  <c r="C444" i="1"/>
  <c r="C445" i="1"/>
  <c r="L441" i="1"/>
  <c r="K442" i="1"/>
  <c r="K443" i="1"/>
  <c r="J442" i="1"/>
  <c r="J443" i="1"/>
  <c r="I442" i="1"/>
  <c r="I443" i="1"/>
  <c r="H442" i="1"/>
  <c r="H443" i="1"/>
  <c r="G442" i="1"/>
  <c r="G443" i="1"/>
  <c r="F442" i="1"/>
  <c r="F443" i="1"/>
  <c r="E442" i="1"/>
  <c r="E443" i="1"/>
  <c r="D442" i="1"/>
  <c r="D443" i="1"/>
  <c r="C442" i="1"/>
  <c r="C443" i="1"/>
  <c r="L439" i="1"/>
  <c r="K440" i="1"/>
  <c r="K441" i="1"/>
  <c r="J440" i="1"/>
  <c r="J441" i="1"/>
  <c r="I440" i="1"/>
  <c r="I441" i="1"/>
  <c r="H440" i="1"/>
  <c r="H441" i="1"/>
  <c r="G440" i="1"/>
  <c r="G441" i="1"/>
  <c r="F440" i="1"/>
  <c r="F441" i="1"/>
  <c r="E440" i="1"/>
  <c r="E441" i="1"/>
  <c r="D440" i="1"/>
  <c r="D441" i="1"/>
  <c r="C440" i="1"/>
  <c r="C441" i="1"/>
  <c r="K439" i="1"/>
  <c r="J439" i="1"/>
  <c r="I439" i="1"/>
  <c r="H439" i="1"/>
  <c r="G439" i="1"/>
  <c r="F439" i="1"/>
  <c r="E439" i="1"/>
  <c r="D439" i="1"/>
  <c r="C439" i="1"/>
  <c r="K438" i="1"/>
  <c r="J438" i="1"/>
  <c r="I438" i="1"/>
  <c r="H438" i="1"/>
  <c r="G438" i="1"/>
  <c r="F438" i="1"/>
  <c r="E438" i="1"/>
  <c r="D438" i="1"/>
  <c r="C438" i="1"/>
  <c r="K437" i="1"/>
  <c r="J437" i="1"/>
  <c r="I437" i="1"/>
  <c r="H437" i="1"/>
  <c r="G437" i="1"/>
  <c r="F437" i="1"/>
  <c r="E437" i="1"/>
  <c r="D437" i="1"/>
  <c r="C437" i="1"/>
  <c r="K416" i="1"/>
  <c r="J416" i="1"/>
  <c r="I416" i="1"/>
  <c r="H416" i="1"/>
  <c r="G416" i="1"/>
  <c r="K404" i="1"/>
  <c r="J404" i="1"/>
  <c r="I404" i="1"/>
  <c r="H404" i="1"/>
  <c r="G404" i="1"/>
  <c r="D227" i="1"/>
  <c r="C227" i="1"/>
  <c r="K392" i="1"/>
  <c r="J392" i="1"/>
  <c r="I392" i="1"/>
  <c r="H392" i="1"/>
  <c r="G392" i="1"/>
  <c r="F303" i="1"/>
  <c r="C327" i="1"/>
  <c r="F304" i="1"/>
  <c r="C328" i="1"/>
  <c r="F305" i="1"/>
  <c r="C329" i="1"/>
  <c r="F306" i="1"/>
  <c r="C330" i="1"/>
  <c r="C323" i="1"/>
  <c r="C331" i="1"/>
  <c r="C332" i="1"/>
  <c r="C343" i="1"/>
  <c r="F298" i="1"/>
  <c r="C322" i="1"/>
  <c r="F297" i="1"/>
  <c r="C321" i="1"/>
  <c r="F296" i="1"/>
  <c r="C320" i="1"/>
  <c r="F295" i="1"/>
  <c r="C319" i="1"/>
  <c r="C318" i="1"/>
  <c r="F307" i="1"/>
  <c r="F308" i="1"/>
  <c r="F309" i="1"/>
  <c r="F310" i="1"/>
  <c r="E303" i="1"/>
  <c r="E304" i="1"/>
  <c r="E305" i="1"/>
  <c r="E306" i="1"/>
  <c r="E307" i="1"/>
  <c r="E308" i="1"/>
  <c r="E309" i="1"/>
  <c r="E310" i="1"/>
  <c r="D303" i="1"/>
  <c r="D304" i="1"/>
  <c r="D130" i="1"/>
  <c r="D305" i="1"/>
  <c r="D306" i="1"/>
  <c r="D307" i="1"/>
  <c r="D308" i="1"/>
  <c r="D309" i="1"/>
  <c r="D310" i="1"/>
  <c r="C303" i="1"/>
  <c r="C304" i="1"/>
  <c r="C130" i="1"/>
  <c r="C305" i="1"/>
  <c r="C306" i="1"/>
  <c r="C307" i="1"/>
  <c r="C308" i="1"/>
  <c r="C309" i="1"/>
  <c r="C310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F253" i="1"/>
  <c r="C264" i="1"/>
  <c r="F252" i="1"/>
  <c r="F251" i="1"/>
  <c r="F250" i="1"/>
  <c r="F249" i="1"/>
  <c r="F248" i="1"/>
  <c r="F245" i="1"/>
  <c r="F244" i="1"/>
  <c r="F243" i="1"/>
  <c r="F220" i="1"/>
  <c r="F242" i="1"/>
  <c r="F219" i="1"/>
  <c r="F241" i="1"/>
  <c r="D228" i="1"/>
  <c r="D229" i="1"/>
  <c r="D230" i="1"/>
  <c r="D231" i="1"/>
  <c r="D232" i="1"/>
  <c r="C160" i="1"/>
  <c r="C228" i="1"/>
  <c r="C229" i="1"/>
  <c r="C230" i="1"/>
  <c r="C231" i="1"/>
  <c r="C232" i="1"/>
  <c r="D223" i="1"/>
  <c r="C223" i="1"/>
  <c r="D222" i="1"/>
  <c r="C222" i="1"/>
  <c r="D221" i="1"/>
  <c r="C221" i="1"/>
  <c r="E220" i="1"/>
  <c r="D220" i="1"/>
  <c r="C220" i="1"/>
  <c r="E219" i="1"/>
  <c r="D219" i="1"/>
  <c r="C219" i="1"/>
  <c r="E218" i="1"/>
  <c r="D218" i="1"/>
  <c r="C192" i="1"/>
  <c r="F154" i="1"/>
  <c r="C188" i="1"/>
  <c r="F155" i="1"/>
  <c r="C189" i="1"/>
  <c r="C190" i="1"/>
  <c r="B181" i="1"/>
  <c r="C168" i="1"/>
  <c r="C169" i="1"/>
  <c r="C170" i="1"/>
  <c r="C172" i="1"/>
  <c r="C173" i="1"/>
  <c r="C165" i="1"/>
  <c r="C174" i="1"/>
  <c r="C161" i="1"/>
  <c r="F156" i="1"/>
  <c r="E154" i="1"/>
  <c r="E155" i="1"/>
  <c r="E156" i="1"/>
  <c r="D154" i="1"/>
  <c r="D155" i="1"/>
  <c r="D156" i="1"/>
  <c r="C154" i="1"/>
  <c r="C155" i="1"/>
  <c r="C156" i="1"/>
  <c r="F120" i="1"/>
  <c r="F143" i="1"/>
  <c r="F144" i="1"/>
  <c r="F145" i="1"/>
  <c r="E120" i="1"/>
  <c r="E143" i="1"/>
  <c r="E144" i="1"/>
  <c r="E145" i="1"/>
  <c r="D120" i="1"/>
  <c r="D143" i="1"/>
  <c r="D144" i="1"/>
  <c r="D145" i="1"/>
  <c r="C120" i="1"/>
  <c r="C143" i="1"/>
  <c r="C144" i="1"/>
  <c r="C145" i="1"/>
  <c r="Q42" i="1"/>
  <c r="C281" i="1"/>
  <c r="B182" i="1"/>
  <c r="R42" i="1"/>
  <c r="S42" i="1"/>
  <c r="T42" i="1"/>
  <c r="U42" i="1"/>
  <c r="C357" i="1"/>
  <c r="C2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89" authorId="0" shapeId="0" xr:uid="{00000000-0006-0000-0000-000001000000}">
      <text>
        <r>
          <rPr>
            <sz val="10"/>
            <color rgb="FF000000"/>
            <rFont val="Arial"/>
            <family val="2"/>
          </rPr>
          <t>p.bolster:
Also included Minority interest here rather than in Sh. Eq.</t>
        </r>
      </text>
    </comment>
    <comment ref="F89" authorId="0" shapeId="0" xr:uid="{00000000-0006-0000-0000-000002000000}">
      <text>
        <r>
          <rPr>
            <sz val="10"/>
            <color rgb="FF000000"/>
            <rFont val="Arial"/>
            <family val="2"/>
          </rPr>
          <t>p.bolster:
Also included Minority interest here rather than in Sh. Eq.</t>
        </r>
      </text>
    </comment>
    <comment ref="A169" authorId="0" shapeId="0" xr:uid="{00000000-0006-0000-0000-000003000000}">
      <text>
        <r>
          <rPr>
            <sz val="10"/>
            <color rgb="FF000000"/>
            <rFont val="Arial"/>
            <family val="2"/>
          </rPr>
          <t>We are using the book value of debt as a proxy for the market value of debt.</t>
        </r>
      </text>
    </comment>
    <comment ref="A227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EBIT defined as operating income + equity income net
</t>
        </r>
      </text>
    </comment>
    <comment ref="A23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Net cash used in investing activities
</t>
        </r>
      </text>
    </comment>
    <comment ref="A248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EBIT defined as operating income + equity income net
</t>
        </r>
      </text>
    </comment>
    <comment ref="A252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Net cash used in investing activities
</t>
        </r>
      </text>
    </comment>
    <comment ref="A323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If this is zero, we are assuming the company does not change its absolute level of debt in the future
</t>
        </r>
      </text>
    </comment>
    <comment ref="A448" authorId="0" shapeId="0" xr:uid="{00000000-0006-0000-0000-000009000000}">
      <text>
        <r>
          <rPr>
            <sz val="10"/>
            <color rgb="FF000000"/>
            <rFont val="Arial"/>
            <family val="2"/>
          </rPr>
          <t>Paul Bolster:
Based on Average Total Assets</t>
        </r>
      </text>
    </comment>
    <comment ref="A463" authorId="0" shapeId="0" xr:uid="{00000000-0006-0000-0000-00000A000000}">
      <text>
        <r>
          <rPr>
            <sz val="10"/>
            <color rgb="FF000000"/>
            <rFont val="Arial"/>
            <family val="2"/>
          </rPr>
          <t>Paul Bolster:
Based on FY ending Total Assets</t>
        </r>
      </text>
    </comment>
    <comment ref="A473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Note that the ROE result here does not fit with the calculation above due to the income statement line items between Operating Income and EBT (e.g., other income; gains on issuance of stock by equity investees).
</t>
        </r>
      </text>
    </comment>
  </commentList>
</comments>
</file>

<file path=xl/sharedStrings.xml><?xml version="1.0" encoding="utf-8"?>
<sst xmlns="http://schemas.openxmlformats.org/spreadsheetml/2006/main" count="467" uniqueCount="269">
  <si>
    <t>Summary of Valuation Results</t>
  </si>
  <si>
    <t>Method 1: Dividend Discount Model</t>
  </si>
  <si>
    <t>(p/e)/growth</t>
  </si>
  <si>
    <t>Method 2: Operating Free Cash Flow</t>
  </si>
  <si>
    <t>Method 3: Free Cash Flow to Equity</t>
  </si>
  <si>
    <t>pe*earnings</t>
  </si>
  <si>
    <t>Average</t>
  </si>
  <si>
    <t>Average w/o DDM</t>
  </si>
  <si>
    <t>Consolidated Statements of Income</t>
  </si>
  <si>
    <t>Year ended August 31</t>
  </si>
  <si>
    <t>(In millions except per share data)</t>
  </si>
  <si>
    <t>12 Months</t>
  </si>
  <si>
    <t>Forecast</t>
  </si>
  <si>
    <t>Net operating revenues</t>
  </si>
  <si>
    <t>Cost of goods sold</t>
  </si>
  <si>
    <t>Gross profit</t>
  </si>
  <si>
    <t>Interest expense</t>
  </si>
  <si>
    <t>EBT before cumulative effect of accounting change</t>
  </si>
  <si>
    <t>Income taxes</t>
  </si>
  <si>
    <t>Net income before cumulative effect of accounting change</t>
  </si>
  <si>
    <t>Net income after cumulative effect of accounting change and other adjustments</t>
  </si>
  <si>
    <t>Average shares outstanding</t>
  </si>
  <si>
    <t>Net income per share</t>
  </si>
  <si>
    <t>Dividends paid per share</t>
  </si>
  <si>
    <t xml:space="preserve">Consolidated Balance Sheets </t>
  </si>
  <si>
    <t>ASSETS</t>
  </si>
  <si>
    <t>Cash &amp; cash equivalents</t>
  </si>
  <si>
    <t>ST investments and Marketable securities</t>
  </si>
  <si>
    <t>Total cash &amp; mktable sec</t>
  </si>
  <si>
    <t>Accounts receivable</t>
  </si>
  <si>
    <t>Inventories</t>
  </si>
  <si>
    <t>Total current assets</t>
  </si>
  <si>
    <t>Total Long Term Investments</t>
  </si>
  <si>
    <t>Total invest. &amp; other assets</t>
  </si>
  <si>
    <t>Property, plant &amp; equipment</t>
  </si>
  <si>
    <t>Land</t>
  </si>
  <si>
    <t>Buildings and improvements</t>
  </si>
  <si>
    <t>Machinery and equipment</t>
  </si>
  <si>
    <t>Containers</t>
  </si>
  <si>
    <t>Total Gross PP&amp;E</t>
  </si>
  <si>
    <t>Less allowances for depreciation</t>
  </si>
  <si>
    <t>Net PP&amp;E</t>
  </si>
  <si>
    <t>Goodwill &amp; Trademarks</t>
  </si>
  <si>
    <t>Total assets</t>
  </si>
  <si>
    <t>Liabilities</t>
  </si>
  <si>
    <t>A/P and accrued expenses</t>
  </si>
  <si>
    <t>Current portion of long-term debt</t>
  </si>
  <si>
    <t>Deferred Revenue</t>
  </si>
  <si>
    <t>Other current liabilities</t>
  </si>
  <si>
    <t>Total current liabilities</t>
  </si>
  <si>
    <t>Long-term debt</t>
  </si>
  <si>
    <t xml:space="preserve">Other liabilities </t>
  </si>
  <si>
    <t>Total long-term liabilities</t>
  </si>
  <si>
    <t>Total liabilities</t>
  </si>
  <si>
    <t>Shareholders' equity</t>
  </si>
  <si>
    <t xml:space="preserve">Common stock, $0.005 par value </t>
  </si>
  <si>
    <t>Capital surplus</t>
  </si>
  <si>
    <t>Less treasury stock</t>
  </si>
  <si>
    <t>Total liab. &amp; shareholders' equity</t>
  </si>
  <si>
    <t>Consolidated Statements of Cash Flows</t>
  </si>
  <si>
    <t>Operating Activities</t>
  </si>
  <si>
    <t>Net Income</t>
  </si>
  <si>
    <t>Depreciation and amortization</t>
  </si>
  <si>
    <t>Stock based compensation expense</t>
  </si>
  <si>
    <t>Net change in operating assets and liabilities</t>
  </si>
  <si>
    <t>Net cash provided by operating activities</t>
  </si>
  <si>
    <t>Investing Activities</t>
  </si>
  <si>
    <t>Acquisitions &amp;invest.</t>
  </si>
  <si>
    <t>Purchases of property, plant and equipment</t>
  </si>
  <si>
    <t>Other investing activities</t>
  </si>
  <si>
    <t>Net cash used in investing activities</t>
  </si>
  <si>
    <t>Financing Activities</t>
  </si>
  <si>
    <t>Issuance/Repurchase of Stock</t>
  </si>
  <si>
    <t>Purchases of stock for treasury</t>
  </si>
  <si>
    <t>Net cash used in financing activities</t>
  </si>
  <si>
    <t xml:space="preserve">Effect of exchange rate changes on cash </t>
  </si>
  <si>
    <t>Net increase during the year</t>
  </si>
  <si>
    <t>Balance at beginning of year</t>
  </si>
  <si>
    <t>Balance at end of year</t>
  </si>
  <si>
    <t>WACC Calculation</t>
  </si>
  <si>
    <t>Retention Rate</t>
  </si>
  <si>
    <t>ROE</t>
  </si>
  <si>
    <t>Implied Growth Rate</t>
  </si>
  <si>
    <t>Risk Free Rate (10 Yr Treasury)</t>
  </si>
  <si>
    <t>Cost of Debt (Pre-Tax)</t>
  </si>
  <si>
    <t>Effective Tax Rate</t>
  </si>
  <si>
    <t>Cost of Debt (After-Tax)</t>
  </si>
  <si>
    <t>Beta</t>
  </si>
  <si>
    <t>Market Risk Premium</t>
  </si>
  <si>
    <t>Cost of Equity per CAPM</t>
  </si>
  <si>
    <t>Price per Common Share (as of Period End)</t>
  </si>
  <si>
    <t>Common Shares Outstanding</t>
  </si>
  <si>
    <t>Market Value of Equity</t>
  </si>
  <si>
    <t>Market Value of Debt</t>
  </si>
  <si>
    <t>Market Value of Firm</t>
  </si>
  <si>
    <t>Weight of Equity</t>
  </si>
  <si>
    <t>Weight of Debt</t>
  </si>
  <si>
    <t>WACC</t>
  </si>
  <si>
    <t>DIVIDEND DISCOUNT MODEL</t>
  </si>
  <si>
    <t>Cost of Equity</t>
  </si>
  <si>
    <t>Cost of Debt</t>
  </si>
  <si>
    <t>Terminal Value Growth Rate</t>
  </si>
  <si>
    <t>avg analysis project 4.35</t>
  </si>
  <si>
    <t>Year:</t>
  </si>
  <si>
    <t>Growth Rate</t>
  </si>
  <si>
    <t>Dividends per Share</t>
  </si>
  <si>
    <t>PV of Dividends</t>
  </si>
  <si>
    <t>Terminal Value</t>
  </si>
  <si>
    <t>PV of Terminal Value</t>
  </si>
  <si>
    <t>Stock Value per Share</t>
  </si>
  <si>
    <t>Sensitivity Analysis</t>
  </si>
  <si>
    <t>Operating Free Cash Flow Calculation</t>
  </si>
  <si>
    <t>Historical Data Required</t>
  </si>
  <si>
    <t>for Assumptions</t>
  </si>
  <si>
    <t>Sales Growth (Year-over-Year)</t>
  </si>
  <si>
    <t>EBIT Margin</t>
  </si>
  <si>
    <t>Tax Rate</t>
  </si>
  <si>
    <t>Non-Cash Expense as % of Sales</t>
  </si>
  <si>
    <t>Increase in W/C as % of Sales</t>
  </si>
  <si>
    <t>Capex/Sales</t>
  </si>
  <si>
    <t>Historical OFCF Calculation</t>
  </si>
  <si>
    <t xml:space="preserve">EBIT </t>
  </si>
  <si>
    <t>(-) Taxes</t>
  </si>
  <si>
    <t>(+) Net noncash charges</t>
  </si>
  <si>
    <t>(-) Investment in working capital</t>
  </si>
  <si>
    <t>(-) Investment in fixed capital</t>
  </si>
  <si>
    <t>Total Operating Free Cash Flow</t>
  </si>
  <si>
    <t>Projected OFCF</t>
  </si>
  <si>
    <t>Assumptions Used</t>
  </si>
  <si>
    <t>Historical</t>
  </si>
  <si>
    <t>Projected</t>
  </si>
  <si>
    <t>Sales (note: not used in OFCF calculation)</t>
  </si>
  <si>
    <t>Firm Value Calculation</t>
  </si>
  <si>
    <t>Operating Free Cashflow</t>
  </si>
  <si>
    <t>PV of OFCF</t>
  </si>
  <si>
    <t>Firm Value</t>
  </si>
  <si>
    <t>(=) Equity Value</t>
  </si>
  <si>
    <t>Number of Shares outstanding as of 08/31/2015</t>
  </si>
  <si>
    <t>Value per share</t>
  </si>
  <si>
    <t>Free Cash Flow to Equity Calculation</t>
  </si>
  <si>
    <t>Net Income Margin</t>
  </si>
  <si>
    <t>Noncash Charges as % of Sales</t>
  </si>
  <si>
    <t>Capex as % of Sales</t>
  </si>
  <si>
    <t>Change in Working Capital as % of Sales</t>
  </si>
  <si>
    <t>Net Debt (Repayment) or Issue</t>
  </si>
  <si>
    <t>see below</t>
  </si>
  <si>
    <t>Historical FCFE Calculation</t>
  </si>
  <si>
    <t>(+) Net Noncash Charges</t>
  </si>
  <si>
    <t>(-) Capital Expenditures</t>
  </si>
  <si>
    <t>(-) Change in Working Capital</t>
  </si>
  <si>
    <t>(-) Principal Debt Repayments</t>
  </si>
  <si>
    <t>(+) Net debt issues</t>
  </si>
  <si>
    <t>Sub-Total</t>
  </si>
  <si>
    <t>Total Free Cash Flow to Equity</t>
  </si>
  <si>
    <t>Projected FCFE</t>
  </si>
  <si>
    <t>Sales</t>
  </si>
  <si>
    <t>Equity Value Calculation</t>
  </si>
  <si>
    <t>Free Cashflow to Equity</t>
  </si>
  <si>
    <t>PV of FCFE</t>
  </si>
  <si>
    <t>Equity Value</t>
  </si>
  <si>
    <t>Number of Shares O/S as of 12/31</t>
  </si>
  <si>
    <t>Price per Share</t>
  </si>
  <si>
    <t>Industry</t>
  </si>
  <si>
    <t>P/E Ratio Calculation</t>
  </si>
  <si>
    <t>Market Price per Share (end of period)</t>
  </si>
  <si>
    <t>EPS</t>
  </si>
  <si>
    <t>P/E</t>
  </si>
  <si>
    <t>Price to Book Value Calculation</t>
  </si>
  <si>
    <t>Book Value of Equity</t>
  </si>
  <si>
    <t>(/) Number of Shares Outstanding (end of period)</t>
  </si>
  <si>
    <t>(=) Book Value per Share</t>
  </si>
  <si>
    <t>P/BV</t>
  </si>
  <si>
    <t xml:space="preserve">Cash Flow </t>
  </si>
  <si>
    <t>(=) Cash Flow per Share</t>
  </si>
  <si>
    <t>P/CF</t>
  </si>
  <si>
    <t>Price to Sales Calculation</t>
  </si>
  <si>
    <t>Total Sales</t>
  </si>
  <si>
    <t>(=) Sales per Share</t>
  </si>
  <si>
    <t>P/S</t>
  </si>
  <si>
    <t>Ratio Analysis</t>
  </si>
  <si>
    <t>Internal Liquidity Ratios</t>
  </si>
  <si>
    <t>Current Ratio</t>
  </si>
  <si>
    <t>Quick Ratio</t>
  </si>
  <si>
    <t>Cash Ratio</t>
  </si>
  <si>
    <t>Receivables Turnover</t>
  </si>
  <si>
    <t>Average Receivable Collection Period</t>
  </si>
  <si>
    <t>Inventory Turnover</t>
  </si>
  <si>
    <t>Average Inventory Processing Period</t>
  </si>
  <si>
    <t>Payables Turnover Ratio</t>
  </si>
  <si>
    <t>Payables Payment Period</t>
  </si>
  <si>
    <t>Operating Efficiency Ratios</t>
  </si>
  <si>
    <t>Total Asset Turnover</t>
  </si>
  <si>
    <t>Net Fixed Asset Turnover</t>
  </si>
  <si>
    <t>ROA</t>
  </si>
  <si>
    <t>Equity Turnover</t>
  </si>
  <si>
    <t>Operating Profitability Ratios</t>
  </si>
  <si>
    <t>Gross Profit Margin</t>
  </si>
  <si>
    <t>Operating Profit Margin</t>
  </si>
  <si>
    <t>Net Profit Margin</t>
  </si>
  <si>
    <t>Return on Total Capital</t>
  </si>
  <si>
    <t>Return on Total Equity</t>
  </si>
  <si>
    <t>Return on Owner's Equity</t>
  </si>
  <si>
    <t>The Dupont Model</t>
  </si>
  <si>
    <t>Equity Multiplier</t>
  </si>
  <si>
    <t>The Dupont Model (extended)</t>
  </si>
  <si>
    <t>Interest Expense Rate</t>
  </si>
  <si>
    <t>Financial Leverage Multiplier</t>
  </si>
  <si>
    <t>Tax Retention Rate</t>
  </si>
  <si>
    <t>Financial Risk</t>
  </si>
  <si>
    <t>Debt/Equity Ratio</t>
  </si>
  <si>
    <t>Long-Term Debt/Total Capital Ratio</t>
  </si>
  <si>
    <t>Total Interest-Bearing Debt/Total Capital</t>
  </si>
  <si>
    <t>Earnings Flow Ratio</t>
  </si>
  <si>
    <t>Interest Coverage (EBIT/Interest)</t>
  </si>
  <si>
    <t>Cash Flow Ratios</t>
  </si>
  <si>
    <t>Cash Flow Coverage of Fixed Financial Costs</t>
  </si>
  <si>
    <t>Cash Flow/LT Debt</t>
  </si>
  <si>
    <t>Cash Flow/Total Debt Ratio</t>
  </si>
  <si>
    <t>Example</t>
  </si>
  <si>
    <t>Relative Value Method Calculations</t>
  </si>
  <si>
    <t>Ave P/SF times Forecast for TP</t>
  </si>
  <si>
    <t>20x</t>
  </si>
  <si>
    <t>Target Price Using P/BV</t>
  </si>
  <si>
    <t>Target Price Using P/CF</t>
  </si>
  <si>
    <t>Target Price Using P/S</t>
  </si>
  <si>
    <t>Historical Average P/E</t>
  </si>
  <si>
    <t>Historical Average P/BV</t>
  </si>
  <si>
    <t>Historical Average P/CF</t>
  </si>
  <si>
    <t>Historical Average P/S</t>
  </si>
  <si>
    <t>1.20x</t>
  </si>
  <si>
    <t>Price to Cash Flow Calculation</t>
  </si>
  <si>
    <t>Historical Average PEG Ratio</t>
  </si>
  <si>
    <t>Projected PE Using PEG Ratio of 1</t>
  </si>
  <si>
    <t>Target Price Using Historical P/E</t>
  </si>
  <si>
    <t>Target Price Using Projected P/E</t>
  </si>
  <si>
    <t>PEG Ratio (PEG is P/E to Growth)</t>
  </si>
  <si>
    <t>Year ended January 31</t>
  </si>
  <si>
    <t xml:space="preserve">Operating expenses </t>
  </si>
  <si>
    <t>Other operating income</t>
  </si>
  <si>
    <t>Abnormal losses</t>
  </si>
  <si>
    <t>Foreign exchange gain/loss</t>
  </si>
  <si>
    <t>Other non-operating income (loss)</t>
  </si>
  <si>
    <t>Other ST assets</t>
  </si>
  <si>
    <t>Long Term Receivables</t>
  </si>
  <si>
    <t>ST lease liabilities</t>
  </si>
  <si>
    <t xml:space="preserve">  </t>
  </si>
  <si>
    <t>Eli Lilly Inc.</t>
  </si>
  <si>
    <t>Interest income</t>
  </si>
  <si>
    <t>Other LT aasets</t>
  </si>
  <si>
    <t>Deferred Tax Liabilities</t>
  </si>
  <si>
    <t xml:space="preserve">Retained Earnings </t>
  </si>
  <si>
    <t>Other Equity &amp; NCI</t>
  </si>
  <si>
    <t>Other Non - cash Adjutsments</t>
  </si>
  <si>
    <t>Net Change in LT investments</t>
  </si>
  <si>
    <t>Acq of fixed and intangible assets</t>
  </si>
  <si>
    <t>Disp of fixed and intangible assets</t>
  </si>
  <si>
    <t>ssh</t>
  </si>
  <si>
    <t>Key Assumptions</t>
  </si>
  <si>
    <t>Operating income/ EBITDA</t>
  </si>
  <si>
    <t>Balance Check</t>
  </si>
  <si>
    <t>Dividends Paid</t>
  </si>
  <si>
    <t>Cash from (Repayment) of Debt</t>
  </si>
  <si>
    <t>Other financing activities</t>
  </si>
  <si>
    <t>Market Price on Jun 21, 2023:</t>
  </si>
  <si>
    <t>Upside Potential</t>
  </si>
  <si>
    <t>Credit Spread over Treasuries for LLY Debt</t>
  </si>
  <si>
    <t>(-) Market Value of Debt at 06/21/2023</t>
  </si>
  <si>
    <t>Upside Potential w/o DDM</t>
  </si>
  <si>
    <t>LLY COMPANY VALUATION: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</si>
</sst>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_);\(&quot;$&quot;#,##0\)"/>
    <numFmt numFmtId="165" formatCode="&quot;$&quot;#,##0.00_);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(* #,##0_);_(* \(#,##0\);_(* &quot;-&quot;??_);_(@_)"/>
    <numFmt numFmtId="170" formatCode="&quot;$&quot;#,##0"/>
    <numFmt numFmtId="171" formatCode="_(* #,##0.00000_);_(* \(#,##0.00000\);_(* &quot;-&quot;_);_(@_)"/>
    <numFmt numFmtId="172" formatCode="0.0%"/>
    <numFmt numFmtId="173" formatCode="0.000"/>
    <numFmt numFmtId="174" formatCode="&quot;$&quot;#,##0.00"/>
    <numFmt numFmtId="175" formatCode="0.00\x"/>
    <numFmt numFmtId="176" formatCode="_(* #,##0.0_);_(* \(#,##0.0\);_(* &quot;-&quot;??_);_(@_)"/>
    <numFmt numFmtId="177" formatCode="_([$$-409]* #,##0.00_);_([$$-409]* \(#,##0.00\);_([$$-409]* &quot;-&quot;??_);_(@_)"/>
  </numFmts>
  <fonts count="44" x14ac:knownFonts="1">
    <font>
      <sz val="10"/>
      <color rgb="FF000000"/>
      <name val="Arial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9900FF"/>
      <name val="Times New Roman"/>
      <family val="1"/>
    </font>
    <font>
      <b/>
      <i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u/>
      <sz val="10"/>
      <name val="Times New Roman"/>
      <family val="1"/>
    </font>
    <font>
      <u/>
      <sz val="1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11"/>
      <name val="Times New Roman"/>
      <family val="1"/>
    </font>
    <font>
      <sz val="10"/>
      <name val="Arial"/>
      <family val="2"/>
    </font>
    <font>
      <u/>
      <sz val="10"/>
      <name val="Times New Roman"/>
      <family val="1"/>
    </font>
    <font>
      <sz val="10"/>
      <color rgb="FF0000FF"/>
      <name val="Times New Roman"/>
      <family val="1"/>
    </font>
    <font>
      <sz val="10"/>
      <color rgb="FF000000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10"/>
      <color rgb="FF000000"/>
      <name val="Times New Roman"/>
      <family val="1"/>
    </font>
    <font>
      <sz val="10"/>
      <color rgb="FFFFFFFF"/>
      <name val="Times New Roman"/>
      <family val="1"/>
    </font>
    <font>
      <u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i/>
      <sz val="10"/>
      <color rgb="FF000000"/>
      <name val="Times New Roman"/>
      <family val="1"/>
    </font>
    <font>
      <i/>
      <sz val="10"/>
      <color rgb="FFC00000"/>
      <name val="Times New Roman"/>
      <family val="1"/>
    </font>
    <font>
      <b/>
      <sz val="10"/>
      <color rgb="FFC00000"/>
      <name val="Times New Roman"/>
      <family val="1"/>
    </font>
    <font>
      <b/>
      <i/>
      <sz val="10"/>
      <color rgb="FFC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name val="Times New Roman"/>
      <family val="1"/>
    </font>
    <font>
      <sz val="10"/>
      <color theme="1"/>
      <name val="Times New Roman"/>
      <family val="1"/>
    </font>
    <font>
      <sz val="10"/>
      <color rgb="FF490BC5"/>
      <name val="Times New Roman"/>
      <family val="1"/>
    </font>
    <font>
      <u val="singleAccounting"/>
      <sz val="10"/>
      <name val="Times New Roman"/>
      <family val="1"/>
    </font>
    <font>
      <b/>
      <sz val="10"/>
      <color rgb="FF490BC5"/>
      <name val="Times New Roman"/>
      <family val="1"/>
    </font>
    <font>
      <u val="singleAccounting"/>
      <sz val="10"/>
      <color rgb="FF000000"/>
      <name val="Times New Roman"/>
      <family val="1"/>
    </font>
    <font>
      <i/>
      <sz val="10"/>
      <color theme="0"/>
      <name val="Times New Roman"/>
      <family val="1"/>
    </font>
    <font>
      <sz val="10"/>
      <color rgb="FFFF0000"/>
      <name val="Arial"/>
      <family val="2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rgb="FFF8FED2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6" tint="0.59999389629810485"/>
        <bgColor rgb="FF00FFFF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rgb="FF00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8" fontId="31" fillId="0" borderId="0" applyFont="0" applyFill="0" applyBorder="0" applyAlignment="0" applyProtection="0"/>
    <xf numFmtId="167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88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1" fillId="2" borderId="4" xfId="0" applyFont="1" applyFill="1" applyBorder="1"/>
    <xf numFmtId="0" fontId="2" fillId="2" borderId="5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7" fontId="3" fillId="0" borderId="0" xfId="0" applyNumberFormat="1" applyFont="1"/>
    <xf numFmtId="0" fontId="3" fillId="3" borderId="0" xfId="0" applyFont="1" applyFill="1"/>
    <xf numFmtId="165" fontId="3" fillId="3" borderId="0" xfId="0" applyNumberFormat="1" applyFont="1" applyFill="1"/>
    <xf numFmtId="0" fontId="2" fillId="3" borderId="0" xfId="0" applyFont="1" applyFill="1"/>
    <xf numFmtId="165" fontId="2" fillId="3" borderId="0" xfId="0" applyNumberFormat="1" applyFont="1" applyFill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9" fontId="2" fillId="0" borderId="0" xfId="0" applyNumberFormat="1" applyFont="1"/>
    <xf numFmtId="0" fontId="2" fillId="0" borderId="0" xfId="0" applyFont="1" applyAlignment="1">
      <alignment horizontal="left"/>
    </xf>
    <xf numFmtId="169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/>
    <xf numFmtId="166" fontId="11" fillId="0" borderId="0" xfId="0" applyNumberFormat="1" applyFont="1"/>
    <xf numFmtId="164" fontId="2" fillId="0" borderId="0" xfId="0" applyNumberFormat="1" applyFont="1"/>
    <xf numFmtId="0" fontId="3" fillId="4" borderId="0" xfId="0" applyFont="1" applyFill="1"/>
    <xf numFmtId="166" fontId="2" fillId="0" borderId="0" xfId="0" applyNumberFormat="1" applyFont="1"/>
    <xf numFmtId="170" fontId="3" fillId="0" borderId="0" xfId="0" applyNumberFormat="1" applyFont="1"/>
    <xf numFmtId="170" fontId="2" fillId="0" borderId="0" xfId="0" applyNumberFormat="1" applyFont="1"/>
    <xf numFmtId="170" fontId="2" fillId="0" borderId="7" xfId="0" applyNumberFormat="1" applyFont="1" applyBorder="1"/>
    <xf numFmtId="171" fontId="13" fillId="0" borderId="0" xfId="0" applyNumberFormat="1" applyFont="1" applyAlignment="1">
      <alignment horizontal="right"/>
    </xf>
    <xf numFmtId="0" fontId="1" fillId="0" borderId="0" xfId="0" applyFont="1"/>
    <xf numFmtId="0" fontId="15" fillId="0" borderId="0" xfId="0" applyFont="1"/>
    <xf numFmtId="10" fontId="3" fillId="0" borderId="0" xfId="0" applyNumberFormat="1" applyFont="1"/>
    <xf numFmtId="172" fontId="3" fillId="0" borderId="0" xfId="0" applyNumberFormat="1" applyFont="1"/>
    <xf numFmtId="0" fontId="16" fillId="0" borderId="0" xfId="0" applyFont="1"/>
    <xf numFmtId="172" fontId="3" fillId="0" borderId="5" xfId="0" applyNumberFormat="1" applyFont="1" applyBorder="1"/>
    <xf numFmtId="9" fontId="3" fillId="0" borderId="0" xfId="0" applyNumberFormat="1" applyFont="1"/>
    <xf numFmtId="10" fontId="17" fillId="0" borderId="0" xfId="0" applyNumberFormat="1" applyFont="1"/>
    <xf numFmtId="10" fontId="18" fillId="4" borderId="5" xfId="0" applyNumberFormat="1" applyFont="1" applyFill="1" applyBorder="1"/>
    <xf numFmtId="173" fontId="18" fillId="0" borderId="0" xfId="0" applyNumberFormat="1" applyFont="1"/>
    <xf numFmtId="10" fontId="3" fillId="0" borderId="5" xfId="0" applyNumberFormat="1" applyFont="1" applyBorder="1"/>
    <xf numFmtId="174" fontId="18" fillId="0" borderId="0" xfId="0" applyNumberFormat="1" applyFont="1"/>
    <xf numFmtId="164" fontId="3" fillId="0" borderId="5" xfId="0" applyNumberFormat="1" applyFont="1" applyBorder="1"/>
    <xf numFmtId="10" fontId="17" fillId="3" borderId="0" xfId="0" applyNumberFormat="1" applyFont="1" applyFill="1"/>
    <xf numFmtId="172" fontId="17" fillId="4" borderId="0" xfId="0" applyNumberFormat="1" applyFont="1" applyFill="1"/>
    <xf numFmtId="0" fontId="3" fillId="0" borderId="0" xfId="0" applyFont="1" applyAlignment="1">
      <alignment horizontal="right"/>
    </xf>
    <xf numFmtId="0" fontId="19" fillId="0" borderId="0" xfId="0" applyFont="1"/>
    <xf numFmtId="165" fontId="19" fillId="0" borderId="0" xfId="0" applyNumberFormat="1" applyFont="1"/>
    <xf numFmtId="0" fontId="19" fillId="4" borderId="0" xfId="0" applyFont="1" applyFill="1"/>
    <xf numFmtId="165" fontId="2" fillId="0" borderId="0" xfId="0" applyNumberFormat="1" applyFont="1"/>
    <xf numFmtId="0" fontId="18" fillId="0" borderId="0" xfId="0" applyFont="1"/>
    <xf numFmtId="0" fontId="21" fillId="0" borderId="0" xfId="0" applyFont="1"/>
    <xf numFmtId="0" fontId="3" fillId="0" borderId="0" xfId="0" applyFont="1" applyAlignment="1">
      <alignment vertical="center"/>
    </xf>
    <xf numFmtId="165" fontId="22" fillId="0" borderId="0" xfId="0" applyNumberFormat="1" applyFont="1" applyAlignment="1">
      <alignment vertical="center"/>
    </xf>
    <xf numFmtId="172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172" fontId="3" fillId="0" borderId="0" xfId="0" applyNumberFormat="1" applyFont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9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5" fontId="3" fillId="4" borderId="6" xfId="0" applyNumberFormat="1" applyFont="1" applyFill="1" applyBorder="1" applyAlignment="1">
      <alignment horizontal="center"/>
    </xf>
    <xf numFmtId="166" fontId="18" fillId="0" borderId="0" xfId="0" applyNumberFormat="1" applyFont="1"/>
    <xf numFmtId="170" fontId="2" fillId="0" borderId="0" xfId="0" applyNumberFormat="1" applyFont="1" applyAlignment="1">
      <alignment horizontal="right"/>
    </xf>
    <xf numFmtId="170" fontId="3" fillId="0" borderId="0" xfId="0" applyNumberFormat="1" applyFont="1" applyAlignment="1">
      <alignment horizontal="right"/>
    </xf>
    <xf numFmtId="14" fontId="2" fillId="0" borderId="0" xfId="0" applyNumberFormat="1" applyFont="1"/>
    <xf numFmtId="169" fontId="19" fillId="0" borderId="0" xfId="0" applyNumberFormat="1" applyFont="1"/>
    <xf numFmtId="164" fontId="19" fillId="0" borderId="0" xfId="0" applyNumberFormat="1" applyFont="1"/>
    <xf numFmtId="170" fontId="6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23" fillId="0" borderId="0" xfId="0" applyFont="1" applyAlignment="1">
      <alignment horizontal="left"/>
    </xf>
    <xf numFmtId="170" fontId="24" fillId="0" borderId="0" xfId="0" applyNumberFormat="1" applyFont="1"/>
    <xf numFmtId="10" fontId="17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0" fontId="19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75" fontId="2" fillId="0" borderId="0" xfId="0" applyNumberFormat="1" applyFont="1"/>
    <xf numFmtId="175" fontId="6" fillId="0" borderId="0" xfId="0" applyNumberFormat="1" applyFont="1"/>
    <xf numFmtId="170" fontId="25" fillId="0" borderId="0" xfId="0" applyNumberFormat="1" applyFont="1"/>
    <xf numFmtId="169" fontId="26" fillId="0" borderId="0" xfId="0" applyNumberFormat="1" applyFont="1"/>
    <xf numFmtId="174" fontId="3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/>
    <xf numFmtId="175" fontId="3" fillId="0" borderId="0" xfId="0" applyNumberFormat="1" applyFont="1"/>
    <xf numFmtId="175" fontId="22" fillId="0" borderId="0" xfId="0" applyNumberFormat="1" applyFont="1"/>
    <xf numFmtId="175" fontId="27" fillId="0" borderId="0" xfId="0" applyNumberFormat="1" applyFont="1" applyAlignment="1">
      <alignment horizontal="right"/>
    </xf>
    <xf numFmtId="175" fontId="22" fillId="4" borderId="0" xfId="0" applyNumberFormat="1" applyFont="1" applyFill="1"/>
    <xf numFmtId="175" fontId="27" fillId="4" borderId="0" xfId="0" applyNumberFormat="1" applyFont="1" applyFill="1"/>
    <xf numFmtId="175" fontId="27" fillId="0" borderId="0" xfId="0" applyNumberFormat="1" applyFont="1"/>
    <xf numFmtId="176" fontId="3" fillId="0" borderId="0" xfId="0" applyNumberFormat="1" applyFont="1"/>
    <xf numFmtId="176" fontId="19" fillId="0" borderId="0" xfId="0" applyNumberFormat="1" applyFont="1"/>
    <xf numFmtId="175" fontId="19" fillId="0" borderId="0" xfId="0" applyNumberFormat="1" applyFont="1"/>
    <xf numFmtId="176" fontId="22" fillId="4" borderId="0" xfId="0" applyNumberFormat="1" applyFont="1" applyFill="1"/>
    <xf numFmtId="175" fontId="19" fillId="3" borderId="0" xfId="0" applyNumberFormat="1" applyFont="1" applyFill="1"/>
    <xf numFmtId="175" fontId="19" fillId="4" borderId="0" xfId="0" applyNumberFormat="1" applyFont="1" applyFill="1"/>
    <xf numFmtId="10" fontId="19" fillId="4" borderId="0" xfId="0" applyNumberFormat="1" applyFont="1" applyFill="1"/>
    <xf numFmtId="172" fontId="19" fillId="0" borderId="0" xfId="0" applyNumberFormat="1" applyFont="1"/>
    <xf numFmtId="10" fontId="28" fillId="0" borderId="0" xfId="0" applyNumberFormat="1" applyFont="1"/>
    <xf numFmtId="172" fontId="28" fillId="4" borderId="0" xfId="0" applyNumberFormat="1" applyFont="1" applyFill="1"/>
    <xf numFmtId="0" fontId="6" fillId="0" borderId="0" xfId="0" applyFont="1" applyAlignment="1">
      <alignment horizontal="left"/>
    </xf>
    <xf numFmtId="0" fontId="28" fillId="4" borderId="0" xfId="0" applyFont="1" applyFill="1"/>
    <xf numFmtId="172" fontId="28" fillId="0" borderId="0" xfId="0" applyNumberFormat="1" applyFont="1"/>
    <xf numFmtId="175" fontId="28" fillId="0" borderId="0" xfId="0" applyNumberFormat="1" applyFont="1"/>
    <xf numFmtId="175" fontId="28" fillId="3" borderId="0" xfId="0" applyNumberFormat="1" applyFont="1" applyFill="1"/>
    <xf numFmtId="172" fontId="2" fillId="0" borderId="0" xfId="0" applyNumberFormat="1" applyFont="1"/>
    <xf numFmtId="10" fontId="29" fillId="4" borderId="0" xfId="0" applyNumberFormat="1" applyFont="1" applyFill="1"/>
    <xf numFmtId="172" fontId="22" fillId="4" borderId="0" xfId="0" applyNumberFormat="1" applyFont="1" applyFill="1"/>
    <xf numFmtId="172" fontId="30" fillId="4" borderId="0" xfId="0" applyNumberFormat="1" applyFont="1" applyFill="1"/>
    <xf numFmtId="172" fontId="22" fillId="0" borderId="0" xfId="0" applyNumberFormat="1" applyFont="1"/>
    <xf numFmtId="0" fontId="22" fillId="0" borderId="0" xfId="0" applyFont="1"/>
    <xf numFmtId="175" fontId="28" fillId="4" borderId="0" xfId="0" applyNumberFormat="1" applyFont="1" applyFill="1"/>
    <xf numFmtId="0" fontId="22" fillId="4" borderId="0" xfId="0" applyFont="1" applyFill="1"/>
    <xf numFmtId="168" fontId="2" fillId="0" borderId="0" xfId="1" applyFont="1"/>
    <xf numFmtId="2" fontId="2" fillId="0" borderId="0" xfId="0" applyNumberFormat="1" applyFont="1"/>
    <xf numFmtId="168" fontId="2" fillId="5" borderId="0" xfId="1" applyFont="1" applyFill="1"/>
    <xf numFmtId="170" fontId="3" fillId="5" borderId="0" xfId="0" applyNumberFormat="1" applyFont="1" applyFill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1" fillId="2" borderId="10" xfId="0" applyFont="1" applyFill="1" applyBorder="1"/>
    <xf numFmtId="9" fontId="3" fillId="0" borderId="0" xfId="3" applyFont="1"/>
    <xf numFmtId="9" fontId="0" fillId="0" borderId="0" xfId="3" applyFont="1"/>
    <xf numFmtId="177" fontId="7" fillId="4" borderId="0" xfId="0" applyNumberFormat="1" applyFont="1" applyFill="1" applyAlignment="1">
      <alignment horizontal="right"/>
    </xf>
    <xf numFmtId="177" fontId="2" fillId="0" borderId="0" xfId="0" applyNumberFormat="1" applyFont="1"/>
    <xf numFmtId="177" fontId="3" fillId="0" borderId="0" xfId="0" applyNumberFormat="1" applyFont="1"/>
    <xf numFmtId="177" fontId="9" fillId="4" borderId="0" xfId="0" applyNumberFormat="1" applyFont="1" applyFill="1" applyAlignment="1">
      <alignment horizontal="right"/>
    </xf>
    <xf numFmtId="167" fontId="3" fillId="0" borderId="0" xfId="2" applyFont="1"/>
    <xf numFmtId="167" fontId="8" fillId="4" borderId="0" xfId="2" applyFont="1" applyFill="1" applyAlignment="1">
      <alignment horizontal="right"/>
    </xf>
    <xf numFmtId="0" fontId="3" fillId="6" borderId="0" xfId="0" applyFont="1" applyFill="1"/>
    <xf numFmtId="0" fontId="2" fillId="2" borderId="11" xfId="0" applyFont="1" applyFill="1" applyBorder="1"/>
    <xf numFmtId="0" fontId="1" fillId="2" borderId="13" xfId="0" applyFont="1" applyFill="1" applyBorder="1"/>
    <xf numFmtId="0" fontId="2" fillId="2" borderId="14" xfId="0" applyFont="1" applyFill="1" applyBorder="1"/>
    <xf numFmtId="14" fontId="2" fillId="6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177" fontId="2" fillId="6" borderId="0" xfId="0" applyNumberFormat="1" applyFont="1" applyFill="1"/>
    <xf numFmtId="177" fontId="3" fillId="6" borderId="0" xfId="0" applyNumberFormat="1" applyFont="1" applyFill="1"/>
    <xf numFmtId="169" fontId="2" fillId="6" borderId="0" xfId="0" applyNumberFormat="1" applyFont="1" applyFill="1"/>
    <xf numFmtId="169" fontId="3" fillId="6" borderId="0" xfId="0" applyNumberFormat="1" applyFont="1" applyFill="1"/>
    <xf numFmtId="167" fontId="3" fillId="6" borderId="0" xfId="2" applyFont="1" applyFill="1"/>
    <xf numFmtId="0" fontId="34" fillId="0" borderId="0" xfId="0" applyFont="1"/>
    <xf numFmtId="10" fontId="34" fillId="0" borderId="0" xfId="0" applyNumberFormat="1" applyFont="1"/>
    <xf numFmtId="177" fontId="8" fillId="0" borderId="0" xfId="0" applyNumberFormat="1" applyFont="1" applyAlignment="1">
      <alignment horizontal="right"/>
    </xf>
    <xf numFmtId="9" fontId="0" fillId="0" borderId="0" xfId="3" applyFont="1" applyFill="1"/>
    <xf numFmtId="172" fontId="35" fillId="0" borderId="0" xfId="0" applyNumberFormat="1" applyFont="1"/>
    <xf numFmtId="9" fontId="3" fillId="0" borderId="0" xfId="3" applyFont="1" applyFill="1"/>
    <xf numFmtId="166" fontId="3" fillId="6" borderId="0" xfId="0" applyNumberFormat="1" applyFont="1" applyFill="1"/>
    <xf numFmtId="166" fontId="3" fillId="8" borderId="0" xfId="0" applyNumberFormat="1" applyFont="1" applyFill="1"/>
    <xf numFmtId="168" fontId="12" fillId="8" borderId="0" xfId="0" applyNumberFormat="1" applyFont="1" applyFill="1"/>
    <xf numFmtId="0" fontId="3" fillId="8" borderId="0" xfId="0" applyFont="1" applyFill="1"/>
    <xf numFmtId="170" fontId="3" fillId="6" borderId="0" xfId="0" applyNumberFormat="1" applyFont="1" applyFill="1"/>
    <xf numFmtId="170" fontId="2" fillId="6" borderId="0" xfId="0" applyNumberFormat="1" applyFont="1" applyFill="1"/>
    <xf numFmtId="166" fontId="2" fillId="6" borderId="0" xfId="0" applyNumberFormat="1" applyFont="1" applyFill="1"/>
    <xf numFmtId="3" fontId="12" fillId="6" borderId="0" xfId="0" applyNumberFormat="1" applyFont="1" applyFill="1"/>
    <xf numFmtId="169" fontId="1" fillId="6" borderId="0" xfId="0" applyNumberFormat="1" applyFont="1" applyFill="1"/>
    <xf numFmtId="3" fontId="14" fillId="6" borderId="0" xfId="0" applyNumberFormat="1" applyFont="1" applyFill="1"/>
    <xf numFmtId="3" fontId="1" fillId="6" borderId="0" xfId="0" applyNumberFormat="1" applyFont="1" applyFill="1"/>
    <xf numFmtId="166" fontId="36" fillId="0" borderId="0" xfId="0" applyNumberFormat="1" applyFont="1"/>
    <xf numFmtId="166" fontId="36" fillId="6" borderId="0" xfId="0" applyNumberFormat="1" applyFont="1" applyFill="1"/>
    <xf numFmtId="0" fontId="35" fillId="0" borderId="0" xfId="0" applyFont="1"/>
    <xf numFmtId="172" fontId="35" fillId="9" borderId="0" xfId="0" applyNumberFormat="1" applyFont="1" applyFill="1"/>
    <xf numFmtId="10" fontId="35" fillId="9" borderId="0" xfId="0" applyNumberFormat="1" applyFont="1" applyFill="1"/>
    <xf numFmtId="172" fontId="35" fillId="9" borderId="0" xfId="3" applyNumberFormat="1" applyFont="1" applyFill="1"/>
    <xf numFmtId="9" fontId="35" fillId="9" borderId="0" xfId="0" applyNumberFormat="1" applyFont="1" applyFill="1"/>
    <xf numFmtId="167" fontId="10" fillId="0" borderId="0" xfId="2" applyFont="1"/>
    <xf numFmtId="167" fontId="11" fillId="6" borderId="0" xfId="2" applyFont="1" applyFill="1" applyBorder="1"/>
    <xf numFmtId="167" fontId="2" fillId="0" borderId="0" xfId="2" applyFont="1"/>
    <xf numFmtId="167" fontId="2" fillId="6" borderId="0" xfId="2" applyFont="1" applyFill="1"/>
    <xf numFmtId="167" fontId="36" fillId="0" borderId="0" xfId="2" applyFont="1"/>
    <xf numFmtId="167" fontId="36" fillId="6" borderId="0" xfId="2" applyFont="1" applyFill="1"/>
    <xf numFmtId="167" fontId="2" fillId="0" borderId="7" xfId="2" applyFont="1" applyBorder="1"/>
    <xf numFmtId="167" fontId="2" fillId="6" borderId="7" xfId="2" applyFont="1" applyFill="1" applyBorder="1"/>
    <xf numFmtId="0" fontId="35" fillId="6" borderId="0" xfId="0" applyFont="1" applyFill="1"/>
    <xf numFmtId="169" fontId="35" fillId="6" borderId="0" xfId="0" applyNumberFormat="1" applyFont="1" applyFill="1"/>
    <xf numFmtId="166" fontId="35" fillId="6" borderId="0" xfId="0" applyNumberFormat="1" applyFont="1" applyFill="1"/>
    <xf numFmtId="170" fontId="37" fillId="6" borderId="0" xfId="0" applyNumberFormat="1" applyFont="1" applyFill="1"/>
    <xf numFmtId="170" fontId="37" fillId="0" borderId="0" xfId="0" applyNumberFormat="1" applyFont="1"/>
    <xf numFmtId="167" fontId="36" fillId="0" borderId="0" xfId="2" applyFont="1" applyAlignment="1">
      <alignment horizontal="right"/>
    </xf>
    <xf numFmtId="177" fontId="36" fillId="0" borderId="0" xfId="0" applyNumberFormat="1" applyFont="1"/>
    <xf numFmtId="177" fontId="36" fillId="6" borderId="0" xfId="0" applyNumberFormat="1" applyFont="1" applyFill="1"/>
    <xf numFmtId="177" fontId="38" fillId="0" borderId="0" xfId="0" applyNumberFormat="1" applyFont="1" applyAlignment="1">
      <alignment horizontal="right"/>
    </xf>
    <xf numFmtId="177" fontId="38" fillId="4" borderId="0" xfId="0" applyNumberFormat="1" applyFont="1" applyFill="1" applyAlignment="1">
      <alignment horizontal="right"/>
    </xf>
    <xf numFmtId="167" fontId="36" fillId="8" borderId="0" xfId="2" applyFont="1" applyFill="1"/>
    <xf numFmtId="177" fontId="2" fillId="0" borderId="17" xfId="0" applyNumberFormat="1" applyFont="1" applyBorder="1"/>
    <xf numFmtId="177" fontId="2" fillId="6" borderId="17" xfId="0" applyNumberFormat="1" applyFont="1" applyFill="1" applyBorder="1"/>
    <xf numFmtId="166" fontId="3" fillId="4" borderId="11" xfId="0" applyNumberFormat="1" applyFont="1" applyFill="1" applyBorder="1"/>
    <xf numFmtId="166" fontId="3" fillId="8" borderId="11" xfId="0" applyNumberFormat="1" applyFont="1" applyFill="1" applyBorder="1"/>
    <xf numFmtId="3" fontId="1" fillId="8" borderId="11" xfId="0" applyNumberFormat="1" applyFont="1" applyFill="1" applyBorder="1"/>
    <xf numFmtId="0" fontId="3" fillId="8" borderId="11" xfId="0" applyFont="1" applyFill="1" applyBorder="1"/>
    <xf numFmtId="170" fontId="2" fillId="0" borderId="17" xfId="0" applyNumberFormat="1" applyFont="1" applyBorder="1"/>
    <xf numFmtId="170" fontId="2" fillId="6" borderId="17" xfId="0" applyNumberFormat="1" applyFont="1" applyFill="1" applyBorder="1"/>
    <xf numFmtId="10" fontId="3" fillId="0" borderId="0" xfId="3" applyNumberFormat="1" applyFont="1"/>
    <xf numFmtId="0" fontId="39" fillId="0" borderId="0" xfId="0" applyFont="1"/>
    <xf numFmtId="170" fontId="39" fillId="0" borderId="0" xfId="0" applyNumberFormat="1" applyFont="1"/>
    <xf numFmtId="0" fontId="40" fillId="0" borderId="0" xfId="0" applyFont="1"/>
    <xf numFmtId="177" fontId="0" fillId="0" borderId="0" xfId="0" applyNumberFormat="1"/>
    <xf numFmtId="10" fontId="35" fillId="9" borderId="0" xfId="3" applyNumberFormat="1" applyFont="1" applyFill="1"/>
    <xf numFmtId="166" fontId="3" fillId="10" borderId="0" xfId="0" applyNumberFormat="1" applyFont="1" applyFill="1"/>
    <xf numFmtId="166" fontId="3" fillId="11" borderId="0" xfId="0" applyNumberFormat="1" applyFont="1" applyFill="1"/>
    <xf numFmtId="0" fontId="34" fillId="0" borderId="0" xfId="0" applyFont="1" applyAlignment="1">
      <alignment horizontal="left"/>
    </xf>
    <xf numFmtId="170" fontId="41" fillId="0" borderId="0" xfId="0" applyNumberFormat="1" applyFont="1"/>
    <xf numFmtId="166" fontId="34" fillId="0" borderId="0" xfId="0" applyNumberFormat="1" applyFont="1"/>
    <xf numFmtId="9" fontId="35" fillId="9" borderId="0" xfId="3" applyFont="1" applyFill="1"/>
    <xf numFmtId="168" fontId="34" fillId="10" borderId="0" xfId="0" applyNumberFormat="1" applyFont="1" applyFill="1"/>
    <xf numFmtId="0" fontId="34" fillId="12" borderId="0" xfId="0" applyFont="1" applyFill="1" applyAlignment="1">
      <alignment horizontal="left"/>
    </xf>
    <xf numFmtId="0" fontId="41" fillId="0" borderId="0" xfId="0" applyFont="1"/>
    <xf numFmtId="0" fontId="41" fillId="3" borderId="0" xfId="0" applyFont="1" applyFill="1" applyAlignment="1">
      <alignment horizontal="left"/>
    </xf>
    <xf numFmtId="170" fontId="41" fillId="3" borderId="0" xfId="0" applyNumberFormat="1" applyFont="1" applyFill="1"/>
    <xf numFmtId="0" fontId="41" fillId="7" borderId="0" xfId="0" applyFont="1" applyFill="1" applyAlignment="1">
      <alignment horizontal="left"/>
    </xf>
    <xf numFmtId="170" fontId="41" fillId="7" borderId="0" xfId="0" applyNumberFormat="1" applyFont="1" applyFill="1"/>
    <xf numFmtId="166" fontId="41" fillId="7" borderId="16" xfId="0" applyNumberFormat="1" applyFont="1" applyFill="1" applyBorder="1"/>
    <xf numFmtId="0" fontId="42" fillId="0" borderId="0" xfId="0" applyFont="1"/>
    <xf numFmtId="167" fontId="42" fillId="0" borderId="0" xfId="0" applyNumberFormat="1" applyFont="1"/>
    <xf numFmtId="0" fontId="43" fillId="0" borderId="0" xfId="0" applyFont="1"/>
    <xf numFmtId="0" fontId="41" fillId="13" borderId="0" xfId="0" applyFont="1" applyFill="1" applyAlignment="1">
      <alignment horizontal="left"/>
    </xf>
    <xf numFmtId="170" fontId="41" fillId="13" borderId="0" xfId="0" applyNumberFormat="1" applyFont="1" applyFill="1"/>
    <xf numFmtId="166" fontId="34" fillId="6" borderId="0" xfId="0" applyNumberFormat="1" applyFont="1" applyFill="1"/>
    <xf numFmtId="166" fontId="41" fillId="13" borderId="16" xfId="0" applyNumberFormat="1" applyFont="1" applyFill="1" applyBorder="1"/>
    <xf numFmtId="170" fontId="41" fillId="6" borderId="0" xfId="0" applyNumberFormat="1" applyFont="1" applyFill="1"/>
    <xf numFmtId="0" fontId="34" fillId="6" borderId="0" xfId="0" applyFont="1" applyFill="1"/>
    <xf numFmtId="10" fontId="34" fillId="6" borderId="0" xfId="0" applyNumberFormat="1" applyFont="1" applyFill="1"/>
    <xf numFmtId="164" fontId="34" fillId="0" borderId="0" xfId="0" applyNumberFormat="1" applyFont="1"/>
    <xf numFmtId="164" fontId="34" fillId="6" borderId="0" xfId="0" applyNumberFormat="1" applyFont="1" applyFill="1"/>
    <xf numFmtId="166" fontId="41" fillId="3" borderId="16" xfId="0" applyNumberFormat="1" applyFont="1" applyFill="1" applyBorder="1"/>
    <xf numFmtId="165" fontId="5" fillId="0" borderId="0" xfId="0" applyNumberFormat="1" applyFont="1"/>
    <xf numFmtId="172" fontId="35" fillId="6" borderId="0" xfId="0" applyNumberFormat="1" applyFont="1" applyFill="1"/>
    <xf numFmtId="10" fontId="35" fillId="6" borderId="0" xfId="0" applyNumberFormat="1" applyFont="1" applyFill="1"/>
    <xf numFmtId="10" fontId="35" fillId="8" borderId="5" xfId="0" applyNumberFormat="1" applyFont="1" applyFill="1" applyBorder="1"/>
    <xf numFmtId="173" fontId="35" fillId="6" borderId="0" xfId="0" applyNumberFormat="1" applyFont="1" applyFill="1"/>
    <xf numFmtId="10" fontId="35" fillId="6" borderId="5" xfId="0" applyNumberFormat="1" applyFont="1" applyFill="1" applyBorder="1"/>
    <xf numFmtId="174" fontId="35" fillId="6" borderId="0" xfId="0" applyNumberFormat="1" applyFont="1" applyFill="1"/>
    <xf numFmtId="164" fontId="35" fillId="6" borderId="0" xfId="0" applyNumberFormat="1" applyFont="1" applyFill="1"/>
    <xf numFmtId="0" fontId="10" fillId="4" borderId="0" xfId="0" applyFont="1" applyFill="1"/>
    <xf numFmtId="164" fontId="35" fillId="6" borderId="5" xfId="0" applyNumberFormat="1" applyFont="1" applyFill="1" applyBorder="1"/>
    <xf numFmtId="172" fontId="35" fillId="6" borderId="5" xfId="0" applyNumberFormat="1" applyFont="1" applyFill="1" applyBorder="1"/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 vertical="center"/>
    </xf>
    <xf numFmtId="170" fontId="37" fillId="6" borderId="0" xfId="0" applyNumberFormat="1" applyFont="1" applyFill="1" applyAlignment="1">
      <alignment horizontal="right"/>
    </xf>
    <xf numFmtId="10" fontId="35" fillId="10" borderId="0" xfId="0" applyNumberFormat="1" applyFont="1" applyFill="1"/>
    <xf numFmtId="170" fontId="35" fillId="6" borderId="0" xfId="0" applyNumberFormat="1" applyFont="1" applyFill="1"/>
    <xf numFmtId="14" fontId="41" fillId="6" borderId="0" xfId="0" applyNumberFormat="1" applyFont="1" applyFill="1" applyAlignment="1">
      <alignment horizontal="right"/>
    </xf>
    <xf numFmtId="170" fontId="41" fillId="6" borderId="0" xfId="0" applyNumberFormat="1" applyFont="1" applyFill="1" applyAlignment="1">
      <alignment horizontal="right"/>
    </xf>
    <xf numFmtId="170" fontId="35" fillId="0" borderId="0" xfId="0" applyNumberFormat="1" applyFont="1"/>
    <xf numFmtId="10" fontId="2" fillId="0" borderId="16" xfId="0" applyNumberFormat="1" applyFont="1" applyBorder="1"/>
    <xf numFmtId="10" fontId="37" fillId="6" borderId="16" xfId="0" applyNumberFormat="1" applyFont="1" applyFill="1" applyBorder="1"/>
    <xf numFmtId="170" fontId="41" fillId="0" borderId="16" xfId="0" applyNumberFormat="1" applyFont="1" applyBorder="1"/>
    <xf numFmtId="170" fontId="41" fillId="6" borderId="16" xfId="0" applyNumberFormat="1" applyFont="1" applyFill="1" applyBorder="1"/>
    <xf numFmtId="170" fontId="2" fillId="0" borderId="16" xfId="0" applyNumberFormat="1" applyFont="1" applyBorder="1"/>
    <xf numFmtId="170" fontId="37" fillId="6" borderId="16" xfId="0" applyNumberFormat="1" applyFont="1" applyFill="1" applyBorder="1"/>
    <xf numFmtId="164" fontId="2" fillId="0" borderId="16" xfId="0" applyNumberFormat="1" applyFont="1" applyBorder="1"/>
    <xf numFmtId="164" fontId="37" fillId="6" borderId="16" xfId="0" applyNumberFormat="1" applyFont="1" applyFill="1" applyBorder="1"/>
    <xf numFmtId="0" fontId="33" fillId="2" borderId="10" xfId="0" applyFont="1" applyFill="1" applyBorder="1" applyAlignment="1">
      <alignment horizontal="left" vertical="center"/>
    </xf>
    <xf numFmtId="0" fontId="33" fillId="2" borderId="11" xfId="0" applyFont="1" applyFill="1" applyBorder="1" applyAlignment="1">
      <alignment horizontal="left" vertical="center"/>
    </xf>
    <xf numFmtId="0" fontId="33" fillId="2" borderId="12" xfId="0" applyFont="1" applyFill="1" applyBorder="1" applyAlignment="1">
      <alignment horizontal="left" vertical="center"/>
    </xf>
    <xf numFmtId="0" fontId="33" fillId="2" borderId="13" xfId="0" applyFont="1" applyFill="1" applyBorder="1" applyAlignment="1">
      <alignment horizontal="left" vertical="center"/>
    </xf>
    <xf numFmtId="0" fontId="33" fillId="2" borderId="14" xfId="0" applyFont="1" applyFill="1" applyBorder="1" applyAlignment="1">
      <alignment horizontal="left" vertical="center"/>
    </xf>
    <xf numFmtId="0" fontId="33" fillId="2" borderId="15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0" fillId="0" borderId="0" xfId="0"/>
    <xf numFmtId="0" fontId="2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4"/>
  <colors>
    <mruColors>
      <color rgb="FF490BC5"/>
      <color rgb="FF66FF66"/>
      <color rgb="FFF8FED2"/>
      <color rgb="FFF5FEBE"/>
      <color rgb="FFFF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195</xdr:row>
      <xdr:rowOff>95250</xdr:rowOff>
    </xdr:from>
    <xdr:to>
      <xdr:col>1</xdr:col>
      <xdr:colOff>704850</xdr:colOff>
      <xdr:row>197</xdr:row>
      <xdr:rowOff>38100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17237" y="3665700"/>
          <a:ext cx="3057525" cy="2286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/>
          <a:headEnd type="none" w="med" len="med"/>
          <a:tailEnd type="none" w="med" len="med"/>
        </a:ln>
      </xdr:spPr>
      <xdr:txBody>
        <a:bodyPr lIns="91425" tIns="91425" rIns="91425" bIns="91425" anchor="ctr" anchorCtr="0">
          <a:noAutofit/>
        </a:bodyPr>
        <a:lstStyle/>
        <a:p>
          <a:pPr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0</xdr:col>
      <xdr:colOff>0</xdr:colOff>
      <xdr:row>0</xdr:row>
      <xdr:rowOff>0</xdr:rowOff>
    </xdr:from>
    <xdr:to>
      <xdr:col>12</xdr:col>
      <xdr:colOff>584200</xdr:colOff>
      <xdr:row>83</xdr:row>
      <xdr:rowOff>50800</xdr:rowOff>
    </xdr:to>
    <xdr:sp macro="" textlink="">
      <xdr:nvSpPr>
        <xdr:cNvPr id="1035" name="Rectangl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171450</xdr:colOff>
      <xdr:row>57</xdr:row>
      <xdr:rowOff>76200</xdr:rowOff>
    </xdr:to>
    <xdr:sp macro="" textlink="">
      <xdr:nvSpPr>
        <xdr:cNvPr id="3" name="Rectangle 1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171450</xdr:colOff>
      <xdr:row>57</xdr:row>
      <xdr:rowOff>76200</xdr:rowOff>
    </xdr:to>
    <xdr:sp macro="" textlink="">
      <xdr:nvSpPr>
        <xdr:cNvPr id="4" name="Rectangle 1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171450</xdr:colOff>
      <xdr:row>57</xdr:row>
      <xdr:rowOff>76200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171450</xdr:colOff>
      <xdr:row>57</xdr:row>
      <xdr:rowOff>76200</xdr:rowOff>
    </xdr:to>
    <xdr:sp macro="" textlink="">
      <xdr:nvSpPr>
        <xdr:cNvPr id="6" name="AutoShape 11">
          <a:extLst>
            <a:ext uri="{FF2B5EF4-FFF2-40B4-BE49-F238E27FC236}">
              <a16:creationId xmlns:a16="http://schemas.microsoft.com/office/drawing/2014/main" id="{943E78E0-5213-437E-BBAB-B9BE5BD2EA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82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701040</xdr:colOff>
      <xdr:row>57</xdr:row>
      <xdr:rowOff>114300</xdr:rowOff>
    </xdr:to>
    <xdr:sp macro="" textlink="">
      <xdr:nvSpPr>
        <xdr:cNvPr id="7" name="AutoShape 11">
          <a:extLst>
            <a:ext uri="{FF2B5EF4-FFF2-40B4-BE49-F238E27FC236}">
              <a16:creationId xmlns:a16="http://schemas.microsoft.com/office/drawing/2014/main" id="{AFE8A8C5-450F-4459-AEB1-FBBB8BAC0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7344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552450</xdr:colOff>
      <xdr:row>57</xdr:row>
      <xdr:rowOff>101600</xdr:rowOff>
    </xdr:to>
    <xdr:sp macro="" textlink="">
      <xdr:nvSpPr>
        <xdr:cNvPr id="8" name="AutoShape 11">
          <a:extLst>
            <a:ext uri="{FF2B5EF4-FFF2-40B4-BE49-F238E27FC236}">
              <a16:creationId xmlns:a16="http://schemas.microsoft.com/office/drawing/2014/main" id="{C8C3159C-8E6F-792F-D84D-034086036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470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18"/>
  <sheetViews>
    <sheetView showGridLines="0" tabSelected="1" topLeftCell="A361" zoomScale="115" zoomScaleNormal="115" workbookViewId="0">
      <selection activeCell="O383" sqref="O383"/>
    </sheetView>
  </sheetViews>
  <sheetFormatPr defaultColWidth="17.453125" defaultRowHeight="15" customHeight="1" x14ac:dyDescent="0.25"/>
  <cols>
    <col min="1" max="1" width="29.54296875" customWidth="1"/>
    <col min="2" max="2" width="11.1796875" bestFit="1" customWidth="1"/>
    <col min="3" max="11" width="13.26953125" customWidth="1"/>
    <col min="12" max="12" width="1" customWidth="1"/>
    <col min="13" max="21" width="10.1796875" bestFit="1" customWidth="1"/>
    <col min="22" max="26" width="8.81640625" customWidth="1"/>
  </cols>
  <sheetData>
    <row r="1" spans="1:26" ht="12.75" customHeight="1" x14ac:dyDescent="0.3">
      <c r="A1" s="1" t="s">
        <v>246</v>
      </c>
      <c r="B1" s="2"/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3">
      <c r="A2" s="6" t="s">
        <v>0</v>
      </c>
      <c r="B2" s="7"/>
      <c r="C2" s="8"/>
      <c r="D2" s="8"/>
      <c r="E2" s="8"/>
      <c r="F2" s="8"/>
      <c r="G2" s="8"/>
      <c r="H2" s="8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" customHeight="1" x14ac:dyDescent="0.3">
      <c r="A3" s="10">
        <v>45098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" customHeight="1" x14ac:dyDescent="0.3">
      <c r="A5" s="11" t="s">
        <v>1</v>
      </c>
      <c r="B5" s="11"/>
      <c r="C5" s="12">
        <f>B197</f>
        <v>104.96374202119745</v>
      </c>
      <c r="D5" s="5"/>
      <c r="E5" s="5"/>
      <c r="F5" s="5"/>
      <c r="G5" s="5" t="s">
        <v>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.25" customHeight="1" x14ac:dyDescent="0.3">
      <c r="A6" s="11" t="s">
        <v>3</v>
      </c>
      <c r="B6" s="11"/>
      <c r="C6" s="12">
        <f>B275</f>
        <v>281.25255784204313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 x14ac:dyDescent="0.3">
      <c r="A7" s="11" t="s">
        <v>4</v>
      </c>
      <c r="B7" s="11"/>
      <c r="C7" s="12">
        <f>B351</f>
        <v>216.57872261477743</v>
      </c>
      <c r="D7" s="5"/>
      <c r="E7" s="5"/>
      <c r="F7" s="5"/>
      <c r="G7" s="5" t="s">
        <v>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0.5" customHeight="1" x14ac:dyDescent="0.3">
      <c r="A8" s="11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13" t="s">
        <v>6</v>
      </c>
      <c r="B9" s="13"/>
      <c r="C9" s="14">
        <f>AVERAGE(C5:C7)</f>
        <v>200.93167415933934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" customHeight="1" x14ac:dyDescent="0.3">
      <c r="A10" s="5" t="s">
        <v>7</v>
      </c>
      <c r="B10" s="5"/>
      <c r="C10" s="15">
        <f>AVERAGE(C6:C7)</f>
        <v>248.91564022841027</v>
      </c>
      <c r="D10" s="5"/>
      <c r="E10" s="5"/>
      <c r="F10" s="5"/>
      <c r="G10" s="1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" customHeight="1" x14ac:dyDescent="0.3">
      <c r="A11" s="5" t="s">
        <v>264</v>
      </c>
      <c r="B11" s="5"/>
      <c r="C11" s="214">
        <f>(C9/C13)-1</f>
        <v>-0.55644222039880942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" customHeight="1" x14ac:dyDescent="0.3">
      <c r="A12" s="5" t="s">
        <v>267</v>
      </c>
      <c r="B12" s="5"/>
      <c r="C12" s="214">
        <f>(C10/C13)-1</f>
        <v>-0.45051735048916053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" customHeight="1" x14ac:dyDescent="0.35">
      <c r="A13" s="17" t="s">
        <v>263</v>
      </c>
      <c r="B13" s="17"/>
      <c r="C13" s="247">
        <v>453</v>
      </c>
      <c r="D13" s="5"/>
      <c r="E13" s="287"/>
      <c r="F13" s="281"/>
      <c r="G13" s="281"/>
      <c r="H13" s="281"/>
      <c r="I13" s="28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3">
      <c r="A18" s="143" t="s">
        <v>246</v>
      </c>
      <c r="B18" s="153"/>
      <c r="C18" s="139"/>
      <c r="D18" s="139"/>
      <c r="E18" s="139"/>
      <c r="F18" s="139"/>
      <c r="G18" s="139"/>
      <c r="H18" s="139"/>
      <c r="I18" s="139"/>
      <c r="J18" s="139"/>
      <c r="K18" s="140"/>
      <c r="L18" s="5"/>
      <c r="M18" s="274" t="s">
        <v>129</v>
      </c>
      <c r="N18" s="275"/>
      <c r="O18" s="275"/>
      <c r="P18" s="276"/>
      <c r="Q18" s="274" t="s">
        <v>257</v>
      </c>
      <c r="R18" s="275"/>
      <c r="S18" s="275"/>
      <c r="T18" s="275"/>
      <c r="U18" s="276"/>
      <c r="W18" s="5"/>
      <c r="X18" s="5"/>
      <c r="Y18" s="5"/>
      <c r="Z18" s="5"/>
    </row>
    <row r="19" spans="1:26" ht="12.75" customHeight="1" x14ac:dyDescent="0.3">
      <c r="A19" s="154" t="s">
        <v>8</v>
      </c>
      <c r="B19" s="155"/>
      <c r="C19" s="141"/>
      <c r="D19" s="141"/>
      <c r="E19" s="141"/>
      <c r="F19" s="141"/>
      <c r="G19" s="141"/>
      <c r="H19" s="141"/>
      <c r="I19" s="141"/>
      <c r="J19" s="141"/>
      <c r="K19" s="142"/>
      <c r="L19" s="5"/>
      <c r="M19" s="277"/>
      <c r="N19" s="278"/>
      <c r="O19" s="278"/>
      <c r="P19" s="279"/>
      <c r="Q19" s="277"/>
      <c r="R19" s="278"/>
      <c r="S19" s="278"/>
      <c r="T19" s="278"/>
      <c r="U19" s="279"/>
      <c r="W19" s="5"/>
      <c r="X19" s="5"/>
      <c r="Y19" s="5"/>
      <c r="Z19" s="5"/>
    </row>
    <row r="20" spans="1:26" ht="12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" customHeight="1" x14ac:dyDescent="0.3">
      <c r="A21" s="18" t="s">
        <v>236</v>
      </c>
      <c r="B21" s="18"/>
      <c r="C21" s="19">
        <v>43830</v>
      </c>
      <c r="D21" s="19">
        <v>44196</v>
      </c>
      <c r="E21" s="19">
        <v>44561</v>
      </c>
      <c r="F21" s="19">
        <v>44926</v>
      </c>
      <c r="G21" s="156">
        <v>45291</v>
      </c>
      <c r="H21" s="156">
        <v>45657</v>
      </c>
      <c r="I21" s="156">
        <v>46022</v>
      </c>
      <c r="J21" s="156">
        <v>46387</v>
      </c>
      <c r="K21" s="156">
        <v>46752</v>
      </c>
      <c r="L21" s="5"/>
      <c r="M21" s="19">
        <v>43830</v>
      </c>
      <c r="N21" s="19">
        <v>44196</v>
      </c>
      <c r="O21" s="19">
        <v>44561</v>
      </c>
      <c r="P21" s="19">
        <v>44926</v>
      </c>
      <c r="Q21" s="19">
        <v>45291</v>
      </c>
      <c r="R21" s="19">
        <v>45657</v>
      </c>
      <c r="S21" s="19">
        <v>46022</v>
      </c>
      <c r="T21" s="19">
        <v>46387</v>
      </c>
      <c r="U21" s="19">
        <v>46752</v>
      </c>
      <c r="W21" s="5"/>
      <c r="X21" s="5"/>
      <c r="Y21" s="5"/>
      <c r="Z21" s="5"/>
    </row>
    <row r="22" spans="1:26" ht="12" customHeight="1" x14ac:dyDescent="0.3">
      <c r="A22" s="5" t="s">
        <v>10</v>
      </c>
      <c r="B22" s="5"/>
      <c r="C22" s="20" t="s">
        <v>11</v>
      </c>
      <c r="D22" s="20" t="s">
        <v>11</v>
      </c>
      <c r="E22" s="20" t="s">
        <v>11</v>
      </c>
      <c r="F22" s="20" t="s">
        <v>11</v>
      </c>
      <c r="G22" s="157" t="s">
        <v>12</v>
      </c>
      <c r="H22" s="157" t="s">
        <v>12</v>
      </c>
      <c r="I22" s="157" t="s">
        <v>12</v>
      </c>
      <c r="J22" s="157" t="s">
        <v>12</v>
      </c>
      <c r="K22" s="157" t="s">
        <v>12</v>
      </c>
      <c r="L22" s="5"/>
      <c r="M22" s="20" t="s">
        <v>11</v>
      </c>
      <c r="N22" s="20" t="s">
        <v>11</v>
      </c>
      <c r="O22" s="20" t="s">
        <v>11</v>
      </c>
      <c r="P22" s="20" t="s">
        <v>11</v>
      </c>
      <c r="Q22" s="20" t="s">
        <v>12</v>
      </c>
      <c r="R22" s="20" t="s">
        <v>12</v>
      </c>
      <c r="S22" s="20" t="s">
        <v>12</v>
      </c>
      <c r="T22" s="20" t="s">
        <v>12</v>
      </c>
      <c r="U22" s="20" t="s">
        <v>12</v>
      </c>
      <c r="W22" s="5"/>
      <c r="X22" s="5"/>
      <c r="Y22" s="5"/>
      <c r="Z22" s="5"/>
    </row>
    <row r="23" spans="1:26" ht="12" customHeight="1" x14ac:dyDescent="0.3">
      <c r="A23" s="5"/>
      <c r="B23" s="5"/>
      <c r="C23" s="20"/>
      <c r="D23" s="20"/>
      <c r="E23" s="20"/>
      <c r="F23" s="20"/>
      <c r="G23" s="157"/>
      <c r="H23" s="157"/>
      <c r="I23" s="157"/>
      <c r="J23" s="152"/>
      <c r="K23" s="152"/>
      <c r="L23" s="5"/>
      <c r="M23" s="5"/>
      <c r="N23" s="5"/>
      <c r="O23" s="5"/>
      <c r="P23" s="5"/>
      <c r="Q23" s="5"/>
      <c r="R23" s="5"/>
      <c r="S23" s="5"/>
      <c r="T23" s="5"/>
      <c r="U23" s="5"/>
      <c r="W23" s="5"/>
      <c r="X23" s="5"/>
      <c r="Y23" s="5"/>
      <c r="Z23" s="5"/>
    </row>
    <row r="24" spans="1:26" ht="12" customHeight="1" x14ac:dyDescent="0.3">
      <c r="A24" s="5"/>
      <c r="B24" s="5"/>
      <c r="C24" s="5"/>
      <c r="D24" s="5"/>
      <c r="E24" s="5"/>
      <c r="F24" s="5"/>
      <c r="G24" s="152"/>
      <c r="H24" s="152"/>
      <c r="I24" s="152"/>
      <c r="J24" s="152"/>
      <c r="K24" s="152"/>
      <c r="L24" s="5"/>
      <c r="M24" s="5"/>
      <c r="N24" s="5"/>
      <c r="O24" s="5"/>
      <c r="P24" s="5"/>
      <c r="Q24" s="5"/>
      <c r="R24" s="5"/>
      <c r="S24" s="5"/>
      <c r="T24" s="5"/>
      <c r="U24" s="5"/>
      <c r="W24" s="5"/>
      <c r="X24" s="5"/>
      <c r="Y24" s="5"/>
      <c r="Z24" s="5"/>
    </row>
    <row r="25" spans="1:26" ht="12" customHeight="1" x14ac:dyDescent="0.3">
      <c r="A25" s="18" t="s">
        <v>13</v>
      </c>
      <c r="B25" s="18"/>
      <c r="C25" s="146">
        <v>22319.5</v>
      </c>
      <c r="D25" s="146">
        <v>24539.8</v>
      </c>
      <c r="E25" s="146">
        <v>28318.400000000001</v>
      </c>
      <c r="F25" s="146">
        <v>28541.4</v>
      </c>
      <c r="G25" s="158">
        <f t="shared" ref="G25:K26" si="0">F25*(1+Q25)</f>
        <v>31680.954000000005</v>
      </c>
      <c r="H25" s="158">
        <f t="shared" si="0"/>
        <v>35482.668480000008</v>
      </c>
      <c r="I25" s="158">
        <f t="shared" si="0"/>
        <v>40095.415382400002</v>
      </c>
      <c r="J25" s="158">
        <f t="shared" si="0"/>
        <v>45307.819382112</v>
      </c>
      <c r="K25" s="158">
        <f t="shared" si="0"/>
        <v>50744.757707965444</v>
      </c>
      <c r="L25" s="5"/>
      <c r="N25" s="145">
        <f>(D25/C25)-1</f>
        <v>9.9478034902215517E-2</v>
      </c>
      <c r="O25" s="145">
        <f t="shared" ref="O25:P26" si="1">(E25/D25)-1</f>
        <v>0.15397843503207054</v>
      </c>
      <c r="P25" s="145">
        <f t="shared" si="1"/>
        <v>7.8747386858013524E-3</v>
      </c>
      <c r="Q25" s="183">
        <v>0.11</v>
      </c>
      <c r="R25" s="183">
        <v>0.12</v>
      </c>
      <c r="S25" s="183">
        <v>0.13</v>
      </c>
      <c r="T25" s="183">
        <v>0.13</v>
      </c>
      <c r="U25" s="183">
        <v>0.12</v>
      </c>
      <c r="W25" s="5"/>
      <c r="X25" s="5"/>
      <c r="Y25" s="5"/>
      <c r="Z25" s="5"/>
    </row>
    <row r="26" spans="1:26" ht="12" customHeight="1" x14ac:dyDescent="0.45">
      <c r="A26" s="21" t="s">
        <v>14</v>
      </c>
      <c r="B26" s="21"/>
      <c r="C26" s="203">
        <v>4721.2</v>
      </c>
      <c r="D26" s="203">
        <v>5483.3</v>
      </c>
      <c r="E26" s="203">
        <v>7018.9</v>
      </c>
      <c r="F26" s="203">
        <v>6629.8</v>
      </c>
      <c r="G26" s="202">
        <f t="shared" si="0"/>
        <v>6894.9920000000002</v>
      </c>
      <c r="H26" s="202">
        <f t="shared" si="0"/>
        <v>7239.7416000000003</v>
      </c>
      <c r="I26" s="202">
        <f t="shared" si="0"/>
        <v>7674.1260960000009</v>
      </c>
      <c r="J26" s="202">
        <f t="shared" si="0"/>
        <v>8057.8324008000009</v>
      </c>
      <c r="K26" s="202">
        <f t="shared" si="0"/>
        <v>8380.1456968320017</v>
      </c>
      <c r="L26" s="5"/>
      <c r="N26" s="166">
        <f>(D26/C26)-1</f>
        <v>0.16142082521392864</v>
      </c>
      <c r="O26" s="166">
        <f t="shared" si="1"/>
        <v>0.28005033465249007</v>
      </c>
      <c r="P26" s="166">
        <f t="shared" si="1"/>
        <v>-5.5436036985852422E-2</v>
      </c>
      <c r="Q26" s="183">
        <v>0.04</v>
      </c>
      <c r="R26" s="183">
        <v>0.05</v>
      </c>
      <c r="S26" s="183">
        <v>0.06</v>
      </c>
      <c r="T26" s="183">
        <v>0.05</v>
      </c>
      <c r="U26" s="183">
        <v>0.04</v>
      </c>
      <c r="W26" s="5"/>
      <c r="X26" s="5"/>
      <c r="Y26" s="5"/>
      <c r="Z26" s="5"/>
    </row>
    <row r="27" spans="1:26" ht="12" customHeight="1" x14ac:dyDescent="0.3">
      <c r="A27" s="18" t="s">
        <v>15</v>
      </c>
      <c r="B27" s="18"/>
      <c r="C27" s="147">
        <f t="shared" ref="C27:K27" si="2">C25-C26</f>
        <v>17598.3</v>
      </c>
      <c r="D27" s="147">
        <f t="shared" si="2"/>
        <v>19056.5</v>
      </c>
      <c r="E27" s="147">
        <f t="shared" si="2"/>
        <v>21299.5</v>
      </c>
      <c r="F27" s="147">
        <f t="shared" si="2"/>
        <v>21911.600000000002</v>
      </c>
      <c r="G27" s="158">
        <f t="shared" si="2"/>
        <v>24785.962000000007</v>
      </c>
      <c r="H27" s="158">
        <f t="shared" si="2"/>
        <v>28242.926880000006</v>
      </c>
      <c r="I27" s="158">
        <f t="shared" si="2"/>
        <v>32421.289286400002</v>
      </c>
      <c r="J27" s="158">
        <f t="shared" si="2"/>
        <v>37249.986981312002</v>
      </c>
      <c r="K27" s="158">
        <f t="shared" si="2"/>
        <v>42364.612011133446</v>
      </c>
      <c r="L27" s="5"/>
      <c r="M27" s="5"/>
      <c r="N27" s="166"/>
      <c r="O27" s="166"/>
      <c r="P27" s="166"/>
      <c r="Q27" s="167"/>
      <c r="R27" s="167"/>
      <c r="S27" s="167"/>
      <c r="T27" s="167"/>
      <c r="U27" s="167"/>
      <c r="V27" s="5"/>
      <c r="W27" s="5"/>
      <c r="X27" s="5"/>
      <c r="Y27" s="5"/>
      <c r="Z27" s="5"/>
    </row>
    <row r="28" spans="1:26" ht="12" customHeight="1" x14ac:dyDescent="0.3">
      <c r="A28" s="21" t="s">
        <v>238</v>
      </c>
      <c r="B28" s="21"/>
      <c r="C28" s="165">
        <v>0</v>
      </c>
      <c r="D28" s="165">
        <v>0</v>
      </c>
      <c r="E28" s="165">
        <v>0</v>
      </c>
      <c r="F28" s="165">
        <v>0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5"/>
      <c r="M28" s="5"/>
      <c r="N28" s="168">
        <v>0</v>
      </c>
      <c r="O28" s="168">
        <v>0</v>
      </c>
      <c r="P28" s="168">
        <v>0</v>
      </c>
      <c r="Q28" s="183">
        <v>0</v>
      </c>
      <c r="R28" s="183">
        <v>0</v>
      </c>
      <c r="S28" s="183">
        <v>0</v>
      </c>
      <c r="T28" s="183">
        <v>0</v>
      </c>
      <c r="U28" s="183">
        <v>0</v>
      </c>
      <c r="V28" s="5"/>
      <c r="W28" s="5"/>
      <c r="X28" s="5"/>
      <c r="Y28" s="5"/>
      <c r="Z28" s="5"/>
    </row>
    <row r="29" spans="1:26" ht="12" customHeight="1" x14ac:dyDescent="0.45">
      <c r="A29" s="21" t="s">
        <v>237</v>
      </c>
      <c r="B29" s="21"/>
      <c r="C29" s="203">
        <f>6213.8+5595-141.9</f>
        <v>11666.9</v>
      </c>
      <c r="D29" s="203">
        <f>6121.2+5976.3+109.4</f>
        <v>12206.9</v>
      </c>
      <c r="E29" s="203">
        <f>6431.6+6930.7+95.2</f>
        <v>13457.5</v>
      </c>
      <c r="F29" s="203">
        <f>6440.4+7190.8+0</f>
        <v>13631.2</v>
      </c>
      <c r="G29" s="202">
        <f>F29*(1+Q29)</f>
        <v>14312.760000000002</v>
      </c>
      <c r="H29" s="202">
        <f t="shared" ref="H29:K29" si="3">G29*(1+R29)</f>
        <v>15171.525600000003</v>
      </c>
      <c r="I29" s="202">
        <f t="shared" si="3"/>
        <v>16233.532392000005</v>
      </c>
      <c r="J29" s="202">
        <f t="shared" si="3"/>
        <v>17207.544335520004</v>
      </c>
      <c r="K29" s="202">
        <f t="shared" si="3"/>
        <v>18067.921552296004</v>
      </c>
      <c r="L29" s="5"/>
      <c r="M29" s="5"/>
      <c r="N29" s="168">
        <f>(D29/C29)-1</f>
        <v>4.6284788589942449E-2</v>
      </c>
      <c r="O29" s="168">
        <f t="shared" ref="O29:P29" si="4">(E29/D29)-1</f>
        <v>0.10245025354512616</v>
      </c>
      <c r="P29" s="168">
        <f t="shared" si="4"/>
        <v>1.2907300761657137E-2</v>
      </c>
      <c r="Q29" s="183">
        <v>0.05</v>
      </c>
      <c r="R29" s="183">
        <v>0.06</v>
      </c>
      <c r="S29" s="183">
        <v>7.0000000000000007E-2</v>
      </c>
      <c r="T29" s="183">
        <v>0.06</v>
      </c>
      <c r="U29" s="183">
        <v>0.05</v>
      </c>
      <c r="V29" s="5"/>
      <c r="W29" s="5"/>
      <c r="X29" s="5"/>
      <c r="Y29" s="5"/>
      <c r="Z29" s="5"/>
    </row>
    <row r="30" spans="1:26" ht="12" customHeight="1" x14ac:dyDescent="0.3">
      <c r="A30" s="23" t="s">
        <v>258</v>
      </c>
      <c r="B30" s="23"/>
      <c r="C30" s="147">
        <f>C27+C28-C29</f>
        <v>5931.4</v>
      </c>
      <c r="D30" s="147">
        <f t="shared" ref="D30:F30" si="5">D27+D28-D29</f>
        <v>6849.6</v>
      </c>
      <c r="E30" s="147">
        <f t="shared" si="5"/>
        <v>7842</v>
      </c>
      <c r="F30" s="147">
        <f t="shared" si="5"/>
        <v>8280.4000000000015</v>
      </c>
      <c r="G30" s="158">
        <f>G27+G28-G29</f>
        <v>10473.202000000005</v>
      </c>
      <c r="H30" s="158">
        <f t="shared" ref="H30:K30" si="6">H27+H28-H29</f>
        <v>13071.401280000004</v>
      </c>
      <c r="I30" s="158">
        <f t="shared" si="6"/>
        <v>16187.756894399998</v>
      </c>
      <c r="J30" s="158">
        <f t="shared" si="6"/>
        <v>20042.442645791998</v>
      </c>
      <c r="K30" s="158">
        <f t="shared" si="6"/>
        <v>24296.690458837442</v>
      </c>
      <c r="L30" s="5"/>
      <c r="M30" s="5"/>
      <c r="V30" s="5"/>
      <c r="W30" s="5"/>
      <c r="X30" s="5"/>
      <c r="Y30" s="5"/>
      <c r="Z30" s="5"/>
    </row>
    <row r="31" spans="1:26" ht="12" customHeight="1" x14ac:dyDescent="0.3">
      <c r="A31" s="21" t="s">
        <v>247</v>
      </c>
      <c r="B31" s="21"/>
      <c r="C31" s="149">
        <v>80.400000000000006</v>
      </c>
      <c r="D31" s="149">
        <v>33</v>
      </c>
      <c r="E31" s="149">
        <v>25.4</v>
      </c>
      <c r="F31" s="149">
        <v>62.8</v>
      </c>
      <c r="G31" s="159">
        <f>G25*Q31</f>
        <v>66.530003400000012</v>
      </c>
      <c r="H31" s="159">
        <f t="shared" ref="H31:K35" si="7">H25*R31</f>
        <v>81.610137504000022</v>
      </c>
      <c r="I31" s="159">
        <f t="shared" si="7"/>
        <v>100.23853845600001</v>
      </c>
      <c r="J31" s="159">
        <f t="shared" si="7"/>
        <v>113.26954845528</v>
      </c>
      <c r="K31" s="159">
        <f t="shared" si="7"/>
        <v>126.86189426991361</v>
      </c>
      <c r="L31" s="5"/>
      <c r="M31" s="5"/>
      <c r="N31" s="144">
        <f t="shared" ref="N31:N43" si="8">(D31/C31)-1</f>
        <v>-0.58955223880597019</v>
      </c>
      <c r="O31" s="144">
        <f t="shared" ref="O31:O43" si="9">(E31/D31)-1</f>
        <v>-0.23030303030303034</v>
      </c>
      <c r="P31" s="144">
        <f t="shared" ref="P31:P41" si="10">(F31/E31)-1</f>
        <v>1.4724409448818898</v>
      </c>
      <c r="Q31" s="184">
        <v>2.0999999999999999E-3</v>
      </c>
      <c r="R31" s="184">
        <v>2.3E-3</v>
      </c>
      <c r="S31" s="184">
        <v>2.5000000000000001E-3</v>
      </c>
      <c r="T31" s="184">
        <v>2.5000000000000001E-3</v>
      </c>
      <c r="U31" s="184">
        <v>2.5000000000000001E-3</v>
      </c>
      <c r="V31" s="5"/>
      <c r="W31" s="5"/>
      <c r="X31" s="5"/>
      <c r="Y31" s="5"/>
      <c r="Z31" s="5"/>
    </row>
    <row r="32" spans="1:26" ht="12" customHeight="1" x14ac:dyDescent="0.3">
      <c r="A32" s="21" t="s">
        <v>16</v>
      </c>
      <c r="B32" s="21"/>
      <c r="C32" s="149">
        <v>400.6</v>
      </c>
      <c r="D32" s="149">
        <v>359.6</v>
      </c>
      <c r="E32" s="149">
        <v>339.8</v>
      </c>
      <c r="F32" s="149">
        <v>331.6</v>
      </c>
      <c r="G32" s="159">
        <f t="shared" ref="G32:G35" si="11">G26*Q32</f>
        <v>330.95961600000004</v>
      </c>
      <c r="H32" s="159">
        <f t="shared" si="7"/>
        <v>398.185788</v>
      </c>
      <c r="I32" s="159">
        <f t="shared" si="7"/>
        <v>445.09931356800007</v>
      </c>
      <c r="J32" s="159">
        <f t="shared" si="7"/>
        <v>483.46994404800006</v>
      </c>
      <c r="K32" s="159">
        <f t="shared" si="7"/>
        <v>502.80874180992009</v>
      </c>
      <c r="L32" s="5"/>
      <c r="M32" s="5"/>
      <c r="N32" s="144">
        <f t="shared" si="8"/>
        <v>-0.1023464802795806</v>
      </c>
      <c r="O32" s="144">
        <f t="shared" si="9"/>
        <v>-5.5061179087875445E-2</v>
      </c>
      <c r="P32" s="144">
        <f t="shared" si="10"/>
        <v>-2.4131842260152969E-2</v>
      </c>
      <c r="Q32" s="183">
        <v>4.8000000000000001E-2</v>
      </c>
      <c r="R32" s="183">
        <v>5.5E-2</v>
      </c>
      <c r="S32" s="183">
        <v>5.8000000000000003E-2</v>
      </c>
      <c r="T32" s="183">
        <v>0.06</v>
      </c>
      <c r="U32" s="183">
        <v>0.06</v>
      </c>
      <c r="V32" s="5"/>
      <c r="W32" s="5"/>
      <c r="X32" s="5"/>
      <c r="Y32" s="5"/>
      <c r="Z32" s="5"/>
    </row>
    <row r="33" spans="1:26" ht="12.75" customHeight="1" x14ac:dyDescent="0.3">
      <c r="A33" s="21" t="s">
        <v>239</v>
      </c>
      <c r="B33" s="21"/>
      <c r="C33" s="148">
        <v>957.1</v>
      </c>
      <c r="D33" s="148">
        <v>791.6</v>
      </c>
      <c r="E33" s="148">
        <v>1890.1</v>
      </c>
      <c r="F33" s="148">
        <v>767.2</v>
      </c>
      <c r="G33" s="159">
        <f t="shared" si="11"/>
        <v>817.93674600000031</v>
      </c>
      <c r="H33" s="159">
        <f t="shared" si="7"/>
        <v>917.89512360000026</v>
      </c>
      <c r="I33" s="159">
        <f t="shared" si="7"/>
        <v>1053.691901808</v>
      </c>
      <c r="J33" s="159">
        <f t="shared" si="7"/>
        <v>1210.6245768926401</v>
      </c>
      <c r="K33" s="159">
        <f t="shared" si="7"/>
        <v>1376.849890361837</v>
      </c>
      <c r="L33" s="5"/>
      <c r="M33" s="5"/>
      <c r="N33" s="144">
        <f t="shared" si="8"/>
        <v>-0.17291819036673284</v>
      </c>
      <c r="O33" s="144">
        <f t="shared" si="9"/>
        <v>1.3876958059626072</v>
      </c>
      <c r="P33" s="144">
        <f t="shared" si="10"/>
        <v>-0.59409555049997342</v>
      </c>
      <c r="Q33" s="183">
        <v>3.3000000000000002E-2</v>
      </c>
      <c r="R33" s="183">
        <v>3.2500000000000001E-2</v>
      </c>
      <c r="S33" s="183">
        <v>3.2500000000000001E-2</v>
      </c>
      <c r="T33" s="183">
        <v>3.2500000000000001E-2</v>
      </c>
      <c r="U33" s="183">
        <v>3.2500000000000001E-2</v>
      </c>
      <c r="V33" s="5"/>
      <c r="W33" s="5"/>
      <c r="X33" s="5"/>
      <c r="Y33" s="5"/>
      <c r="Z33" s="5"/>
    </row>
    <row r="34" spans="1:26" ht="12" customHeight="1" x14ac:dyDescent="0.3">
      <c r="A34" s="21" t="s">
        <v>241</v>
      </c>
      <c r="B34" s="21"/>
      <c r="C34" s="148">
        <v>-611.79999999999995</v>
      </c>
      <c r="D34" s="148">
        <v>-1498.5</v>
      </c>
      <c r="E34" s="148">
        <v>-518</v>
      </c>
      <c r="F34" s="148">
        <v>438</v>
      </c>
      <c r="G34" s="159">
        <f>G25*Q34</f>
        <v>475.21431000000007</v>
      </c>
      <c r="H34" s="159">
        <f t="shared" ref="H34:K34" si="12">H25*R34</f>
        <v>532.2400272000001</v>
      </c>
      <c r="I34" s="159">
        <f t="shared" si="12"/>
        <v>601.43123073599997</v>
      </c>
      <c r="J34" s="159">
        <f t="shared" si="12"/>
        <v>679.61729073167999</v>
      </c>
      <c r="K34" s="159">
        <f t="shared" si="12"/>
        <v>761.17136561948166</v>
      </c>
      <c r="L34" s="5"/>
      <c r="M34" s="5"/>
      <c r="N34" s="144">
        <f t="shared" si="8"/>
        <v>1.4493298463550182</v>
      </c>
      <c r="O34" s="144">
        <f t="shared" si="9"/>
        <v>-0.65432098765432101</v>
      </c>
      <c r="P34" s="144">
        <f t="shared" si="10"/>
        <v>-1.8455598455598454</v>
      </c>
      <c r="Q34" s="183">
        <v>1.4999999999999999E-2</v>
      </c>
      <c r="R34" s="183">
        <v>1.4999999999999999E-2</v>
      </c>
      <c r="S34" s="183">
        <v>1.4999999999999999E-2</v>
      </c>
      <c r="T34" s="183">
        <v>1.4999999999999999E-2</v>
      </c>
      <c r="U34" s="183">
        <v>1.4999999999999999E-2</v>
      </c>
      <c r="V34" s="5"/>
      <c r="W34" s="5"/>
      <c r="X34" s="5"/>
      <c r="Y34" s="5"/>
      <c r="Z34" s="5"/>
    </row>
    <row r="35" spans="1:26" ht="12" customHeight="1" x14ac:dyDescent="0.45">
      <c r="A35" s="21" t="s">
        <v>240</v>
      </c>
      <c r="B35" s="21"/>
      <c r="C35" s="201">
        <v>0</v>
      </c>
      <c r="D35" s="201">
        <v>0</v>
      </c>
      <c r="E35" s="201">
        <v>0</v>
      </c>
      <c r="F35" s="201">
        <v>0</v>
      </c>
      <c r="G35" s="202">
        <f t="shared" si="11"/>
        <v>0</v>
      </c>
      <c r="H35" s="202">
        <f t="shared" si="7"/>
        <v>0</v>
      </c>
      <c r="I35" s="202">
        <f t="shared" si="7"/>
        <v>0</v>
      </c>
      <c r="J35" s="202">
        <f t="shared" si="7"/>
        <v>0</v>
      </c>
      <c r="K35" s="202">
        <f t="shared" si="7"/>
        <v>0</v>
      </c>
      <c r="L35" s="5"/>
      <c r="M35" s="5"/>
      <c r="N35" s="168">
        <v>0</v>
      </c>
      <c r="O35" s="168">
        <v>0</v>
      </c>
      <c r="P35" s="168">
        <v>0</v>
      </c>
      <c r="Q35" s="183">
        <v>0</v>
      </c>
      <c r="R35" s="183">
        <v>0</v>
      </c>
      <c r="S35" s="183">
        <v>0</v>
      </c>
      <c r="T35" s="183">
        <v>0</v>
      </c>
      <c r="U35" s="183">
        <v>0</v>
      </c>
      <c r="V35" s="5"/>
      <c r="W35" s="5"/>
      <c r="X35" s="5"/>
      <c r="Y35" s="5"/>
      <c r="Z35" s="5"/>
    </row>
    <row r="36" spans="1:26" ht="12" customHeight="1" x14ac:dyDescent="0.3">
      <c r="A36" s="18" t="s">
        <v>17</v>
      </c>
      <c r="B36" s="18"/>
      <c r="C36" s="147">
        <f>C30+C31-C32-C33-C34-C35</f>
        <v>5265.8999999999987</v>
      </c>
      <c r="D36" s="147">
        <f t="shared" ref="D36:K36" si="13">D30+D31-D32-D33-D34-D35</f>
        <v>7229.9</v>
      </c>
      <c r="E36" s="147">
        <f t="shared" si="13"/>
        <v>6155.5</v>
      </c>
      <c r="F36" s="147">
        <f t="shared" si="13"/>
        <v>6806.4000000000005</v>
      </c>
      <c r="G36" s="158">
        <f t="shared" si="13"/>
        <v>8915.6213314000051</v>
      </c>
      <c r="H36" s="158">
        <f t="shared" si="13"/>
        <v>11304.690478704002</v>
      </c>
      <c r="I36" s="158">
        <f t="shared" si="13"/>
        <v>14187.772986743998</v>
      </c>
      <c r="J36" s="158">
        <f t="shared" si="13"/>
        <v>17782.000382574959</v>
      </c>
      <c r="K36" s="158">
        <f t="shared" si="13"/>
        <v>21782.722355316117</v>
      </c>
      <c r="L36" s="5"/>
      <c r="M36" s="5"/>
      <c r="V36" s="5"/>
      <c r="W36" s="5"/>
      <c r="X36" s="5"/>
      <c r="Y36" s="5"/>
      <c r="Z36" s="5"/>
    </row>
    <row r="37" spans="1:26" ht="12" customHeight="1" x14ac:dyDescent="0.45">
      <c r="A37" s="21" t="s">
        <v>18</v>
      </c>
      <c r="B37" s="21"/>
      <c r="C37" s="204">
        <v>628</v>
      </c>
      <c r="D37" s="204">
        <v>1036.2</v>
      </c>
      <c r="E37" s="204">
        <v>573.79999999999995</v>
      </c>
      <c r="F37" s="204">
        <v>561.6</v>
      </c>
      <c r="G37" s="202">
        <f>G36*Q37</f>
        <v>713.24970651200044</v>
      </c>
      <c r="H37" s="202">
        <f t="shared" ref="H37:K37" si="14">H36*R37</f>
        <v>904.37523829632016</v>
      </c>
      <c r="I37" s="202">
        <f t="shared" si="14"/>
        <v>1135.0218389395197</v>
      </c>
      <c r="J37" s="202">
        <f t="shared" si="14"/>
        <v>1422.5600306059966</v>
      </c>
      <c r="K37" s="202">
        <f t="shared" si="14"/>
        <v>1742.6177884252893</v>
      </c>
      <c r="L37" s="5"/>
      <c r="M37" s="5"/>
      <c r="N37" s="144">
        <f t="shared" si="8"/>
        <v>0.65000000000000013</v>
      </c>
      <c r="O37" s="144">
        <f t="shared" si="9"/>
        <v>-0.44624589847519791</v>
      </c>
      <c r="P37" s="144">
        <f t="shared" si="10"/>
        <v>-2.1261763680724854E-2</v>
      </c>
      <c r="Q37" s="183">
        <v>0.08</v>
      </c>
      <c r="R37" s="183">
        <v>0.08</v>
      </c>
      <c r="S37" s="183">
        <v>0.08</v>
      </c>
      <c r="T37" s="183">
        <v>0.08</v>
      </c>
      <c r="U37" s="183">
        <v>0.08</v>
      </c>
      <c r="V37" s="5"/>
      <c r="W37" s="5"/>
      <c r="X37" s="5"/>
      <c r="Y37" s="5"/>
      <c r="Z37" s="5"/>
    </row>
    <row r="38" spans="1:26" ht="13" x14ac:dyDescent="0.3">
      <c r="A38" s="286" t="s">
        <v>19</v>
      </c>
      <c r="B38" s="281"/>
      <c r="C38" s="147">
        <f t="shared" ref="C38:K38" si="15">C36-C37</f>
        <v>4637.8999999999987</v>
      </c>
      <c r="D38" s="147">
        <f t="shared" si="15"/>
        <v>6193.7</v>
      </c>
      <c r="E38" s="147">
        <f t="shared" si="15"/>
        <v>5581.7</v>
      </c>
      <c r="F38" s="147">
        <f t="shared" si="15"/>
        <v>6244.8</v>
      </c>
      <c r="G38" s="158">
        <f t="shared" si="15"/>
        <v>8202.3716248880046</v>
      </c>
      <c r="H38" s="158">
        <f t="shared" si="15"/>
        <v>10400.315240407683</v>
      </c>
      <c r="I38" s="158">
        <f t="shared" si="15"/>
        <v>13052.751147804478</v>
      </c>
      <c r="J38" s="158">
        <f t="shared" si="15"/>
        <v>16359.440351968962</v>
      </c>
      <c r="K38" s="158">
        <f t="shared" si="15"/>
        <v>20040.104566890826</v>
      </c>
      <c r="L38" s="5"/>
      <c r="M38" s="5"/>
      <c r="V38" s="5"/>
      <c r="W38" s="5"/>
      <c r="X38" s="5"/>
      <c r="Y38" s="5"/>
      <c r="Z38" s="5"/>
    </row>
    <row r="39" spans="1:26" ht="13.5" thickBot="1" x14ac:dyDescent="0.35">
      <c r="A39" s="286" t="s">
        <v>20</v>
      </c>
      <c r="B39" s="281"/>
      <c r="C39" s="206">
        <f>C38+3680.5</f>
        <v>8318.3999999999978</v>
      </c>
      <c r="D39" s="206">
        <f>D38</f>
        <v>6193.7</v>
      </c>
      <c r="E39" s="206">
        <f>E38+0</f>
        <v>5581.7</v>
      </c>
      <c r="F39" s="206">
        <f>F38+0</f>
        <v>6244.8</v>
      </c>
      <c r="G39" s="207">
        <f t="shared" ref="G39:K39" si="16">G38+0</f>
        <v>8202.3716248880046</v>
      </c>
      <c r="H39" s="207">
        <f t="shared" si="16"/>
        <v>10400.315240407683</v>
      </c>
      <c r="I39" s="207">
        <f t="shared" si="16"/>
        <v>13052.751147804478</v>
      </c>
      <c r="J39" s="207">
        <f t="shared" si="16"/>
        <v>16359.440351968962</v>
      </c>
      <c r="K39" s="207">
        <f t="shared" si="16"/>
        <v>20040.104566890826</v>
      </c>
      <c r="L39" s="5"/>
      <c r="M39" s="5"/>
      <c r="Q39" s="218"/>
      <c r="V39" s="5"/>
      <c r="W39" s="5"/>
      <c r="X39" s="5"/>
      <c r="Y39" s="5"/>
      <c r="Z39" s="5"/>
    </row>
    <row r="40" spans="1:26" ht="12" customHeight="1" thickTop="1" x14ac:dyDescent="0.3">
      <c r="A40" s="18"/>
      <c r="B40" s="18"/>
      <c r="C40" s="22"/>
      <c r="D40" s="22"/>
      <c r="E40" s="22"/>
      <c r="F40" s="22"/>
      <c r="G40" s="160"/>
      <c r="H40" s="160"/>
      <c r="I40" s="160"/>
      <c r="J40" s="152"/>
      <c r="K40" s="152"/>
      <c r="L40" s="5"/>
      <c r="M40" s="5"/>
      <c r="V40" s="5"/>
      <c r="W40" s="5"/>
      <c r="X40" s="5"/>
      <c r="Y40" s="5"/>
      <c r="Z40" s="5"/>
    </row>
    <row r="41" spans="1:26" ht="12" customHeight="1" x14ac:dyDescent="0.3">
      <c r="A41" s="5" t="s">
        <v>21</v>
      </c>
      <c r="B41" s="5"/>
      <c r="C41" s="24">
        <v>957.5</v>
      </c>
      <c r="D41" s="24">
        <v>956.6</v>
      </c>
      <c r="E41" s="24">
        <v>953.7</v>
      </c>
      <c r="F41" s="24">
        <v>950.2</v>
      </c>
      <c r="G41" s="161">
        <f>F41*(1+Q41)</f>
        <v>954.95099999999991</v>
      </c>
      <c r="H41" s="161">
        <f>G41*(1+R41)</f>
        <v>959.72575499999982</v>
      </c>
      <c r="I41" s="161">
        <f t="shared" ref="I41:K41" si="17">H41*(1+S41)</f>
        <v>964.52438377499971</v>
      </c>
      <c r="J41" s="161">
        <f t="shared" si="17"/>
        <v>969.34700569387462</v>
      </c>
      <c r="K41" s="161">
        <f t="shared" si="17"/>
        <v>974.19374072234393</v>
      </c>
      <c r="L41" s="5"/>
      <c r="M41" s="5"/>
      <c r="N41" s="144">
        <f t="shared" si="8"/>
        <v>-9.3994778067885143E-4</v>
      </c>
      <c r="O41" s="144">
        <f t="shared" si="9"/>
        <v>-3.03157014426092E-3</v>
      </c>
      <c r="P41" s="144">
        <f t="shared" si="10"/>
        <v>-3.6699171647268658E-3</v>
      </c>
      <c r="Q41" s="185">
        <v>5.0000000000000001E-3</v>
      </c>
      <c r="R41" s="185">
        <v>5.0000000000000001E-3</v>
      </c>
      <c r="S41" s="185">
        <v>5.0000000000000001E-3</v>
      </c>
      <c r="T41" s="185">
        <v>5.0000000000000001E-3</v>
      </c>
      <c r="U41" s="185">
        <v>5.0000000000000001E-3</v>
      </c>
      <c r="V41" s="5"/>
      <c r="W41" s="5"/>
      <c r="X41" s="5"/>
      <c r="Y41" s="5"/>
      <c r="Z41" s="5"/>
    </row>
    <row r="42" spans="1:26" ht="12" customHeight="1" x14ac:dyDescent="0.3">
      <c r="A42" s="5" t="s">
        <v>22</v>
      </c>
      <c r="B42" s="5"/>
      <c r="C42" s="150">
        <f t="shared" ref="C42:K42" si="18">C39/C41</f>
        <v>8.6876240208877267</v>
      </c>
      <c r="D42" s="150">
        <f t="shared" si="18"/>
        <v>6.4747020698306494</v>
      </c>
      <c r="E42" s="150">
        <f t="shared" si="18"/>
        <v>5.8526790395302504</v>
      </c>
      <c r="F42" s="150">
        <f t="shared" si="18"/>
        <v>6.5720900862976217</v>
      </c>
      <c r="G42" s="162">
        <f t="shared" si="18"/>
        <v>8.5893115195313747</v>
      </c>
      <c r="H42" s="162">
        <f t="shared" si="18"/>
        <v>10.836757465582117</v>
      </c>
      <c r="I42" s="162">
        <f t="shared" si="18"/>
        <v>13.532836875225511</v>
      </c>
      <c r="J42" s="162">
        <f t="shared" si="18"/>
        <v>16.876763693367582</v>
      </c>
      <c r="K42" s="162">
        <f t="shared" si="18"/>
        <v>20.570964202697006</v>
      </c>
      <c r="L42" s="5"/>
      <c r="M42" s="5"/>
      <c r="N42" s="144">
        <f t="shared" si="8"/>
        <v>-0.25472119255351411</v>
      </c>
      <c r="O42" s="144">
        <f t="shared" si="9"/>
        <v>-9.6069753263051449E-2</v>
      </c>
      <c r="P42" s="144">
        <f t="shared" ref="P42:P43" si="19">(F42/E42)-1</f>
        <v>0.12291995544404788</v>
      </c>
      <c r="Q42" s="185">
        <f t="shared" ref="Q42" si="20">(G42/F42)-1</f>
        <v>0.30693758100478985</v>
      </c>
      <c r="R42" s="185">
        <f t="shared" ref="R42" si="21">(H42/G42)-1</f>
        <v>0.26165612237258351</v>
      </c>
      <c r="S42" s="185">
        <f t="shared" ref="S42" si="22">(I42/H42)-1</f>
        <v>0.24879023252169552</v>
      </c>
      <c r="T42" s="185">
        <f t="shared" ref="T42" si="23">(J42/I42)-1</f>
        <v>0.24709725307217578</v>
      </c>
      <c r="U42" s="185">
        <f t="shared" ref="U42" si="24">(K42/J42)-1</f>
        <v>0.21889270813107431</v>
      </c>
      <c r="V42" s="5"/>
      <c r="W42" s="5"/>
      <c r="X42" s="5"/>
      <c r="Y42" s="5"/>
      <c r="Z42" s="5"/>
    </row>
    <row r="43" spans="1:26" ht="12" customHeight="1" x14ac:dyDescent="0.3">
      <c r="A43" s="5" t="s">
        <v>23</v>
      </c>
      <c r="B43" s="5"/>
      <c r="C43" s="151">
        <v>2.68</v>
      </c>
      <c r="D43" s="151">
        <v>3.07</v>
      </c>
      <c r="E43" s="151">
        <v>3.4</v>
      </c>
      <c r="F43" s="151">
        <v>3.92</v>
      </c>
      <c r="G43" s="162">
        <f>F43*(1+Q43)</f>
        <v>3.9592000000000001</v>
      </c>
      <c r="H43" s="162">
        <f t="shared" ref="H43:K43" si="25">G43*(1+R43)</f>
        <v>4.0383839999999998</v>
      </c>
      <c r="I43" s="162">
        <f t="shared" si="25"/>
        <v>4.1191516799999999</v>
      </c>
      <c r="J43" s="162">
        <f t="shared" si="25"/>
        <v>4.1603431967999995</v>
      </c>
      <c r="K43" s="162">
        <f t="shared" si="25"/>
        <v>4.2019466287679998</v>
      </c>
      <c r="L43" s="5"/>
      <c r="M43" s="5"/>
      <c r="N43" s="144">
        <f t="shared" si="8"/>
        <v>0.14552238805970141</v>
      </c>
      <c r="O43" s="144">
        <f t="shared" si="9"/>
        <v>0.10749185667752448</v>
      </c>
      <c r="P43" s="144">
        <f t="shared" si="19"/>
        <v>0.15294117647058814</v>
      </c>
      <c r="Q43" s="185">
        <v>0.01</v>
      </c>
      <c r="R43" s="185">
        <v>0.02</v>
      </c>
      <c r="S43" s="185">
        <v>0.02</v>
      </c>
      <c r="T43" s="185">
        <v>0.01</v>
      </c>
      <c r="U43" s="185">
        <v>0.01</v>
      </c>
      <c r="V43" s="5"/>
      <c r="W43" s="5"/>
      <c r="X43" s="5"/>
      <c r="Y43" s="5"/>
      <c r="Z43" s="5"/>
    </row>
    <row r="44" spans="1:26" ht="12" customHeight="1" x14ac:dyDescent="0.3">
      <c r="A44" s="18"/>
      <c r="B44" s="18"/>
      <c r="C44" s="22"/>
      <c r="D44" s="22"/>
      <c r="E44" s="22"/>
      <c r="F44" s="22"/>
      <c r="G44" s="5"/>
      <c r="H44" s="22"/>
      <c r="I44" s="2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3">
      <c r="A45" s="18"/>
      <c r="B45" s="18"/>
      <c r="C45" s="22"/>
      <c r="D45" s="22"/>
      <c r="E45" s="22"/>
      <c r="F45" s="22"/>
      <c r="G45" s="5"/>
      <c r="H45" s="22"/>
      <c r="I45" s="2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143" t="s">
        <v>246</v>
      </c>
      <c r="B46" s="153"/>
      <c r="C46" s="153"/>
      <c r="D46" s="153"/>
      <c r="E46" s="139"/>
      <c r="F46" s="139"/>
      <c r="G46" s="139"/>
      <c r="H46" s="153"/>
      <c r="I46" s="139"/>
      <c r="J46" s="139"/>
      <c r="K46" s="140"/>
      <c r="L46" s="5"/>
      <c r="M46" s="274" t="s">
        <v>129</v>
      </c>
      <c r="N46" s="275"/>
      <c r="O46" s="275"/>
      <c r="P46" s="276"/>
      <c r="Q46" s="274" t="s">
        <v>257</v>
      </c>
      <c r="R46" s="275"/>
      <c r="S46" s="275"/>
      <c r="T46" s="275"/>
      <c r="U46" s="276"/>
      <c r="V46" s="5"/>
      <c r="W46" s="5"/>
      <c r="X46" s="5"/>
      <c r="Y46" s="5"/>
      <c r="Z46" s="5"/>
    </row>
    <row r="47" spans="1:26" ht="12.75" customHeight="1" x14ac:dyDescent="0.3">
      <c r="A47" s="154" t="s">
        <v>24</v>
      </c>
      <c r="B47" s="155"/>
      <c r="C47" s="155"/>
      <c r="D47" s="155"/>
      <c r="E47" s="141"/>
      <c r="F47" s="141"/>
      <c r="G47" s="141"/>
      <c r="H47" s="155"/>
      <c r="I47" s="141"/>
      <c r="J47" s="141"/>
      <c r="K47" s="142"/>
      <c r="L47" s="5"/>
      <c r="M47" s="277"/>
      <c r="N47" s="278"/>
      <c r="O47" s="278"/>
      <c r="P47" s="279"/>
      <c r="Q47" s="277"/>
      <c r="R47" s="278"/>
      <c r="S47" s="278"/>
      <c r="T47" s="278"/>
      <c r="U47" s="279"/>
      <c r="V47" s="5"/>
      <c r="W47" s="5"/>
      <c r="X47" s="5"/>
      <c r="Y47" s="5"/>
      <c r="Z47" s="5"/>
    </row>
    <row r="48" spans="1:26" ht="12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3">
      <c r="A49" s="18" t="s">
        <v>9</v>
      </c>
      <c r="B49" s="19">
        <v>43465</v>
      </c>
      <c r="C49" s="19">
        <v>43830</v>
      </c>
      <c r="D49" s="19">
        <v>44196</v>
      </c>
      <c r="E49" s="19">
        <v>44561</v>
      </c>
      <c r="F49" s="19">
        <v>44926</v>
      </c>
      <c r="G49" s="156">
        <v>45291</v>
      </c>
      <c r="H49" s="156">
        <v>45657</v>
      </c>
      <c r="I49" s="156">
        <v>46022</v>
      </c>
      <c r="J49" s="156">
        <v>46387</v>
      </c>
      <c r="K49" s="156">
        <v>46752</v>
      </c>
      <c r="L49" s="5"/>
      <c r="M49" s="19">
        <v>43830</v>
      </c>
      <c r="N49" s="19">
        <v>44196</v>
      </c>
      <c r="O49" s="19">
        <v>44561</v>
      </c>
      <c r="P49" s="19">
        <v>44926</v>
      </c>
      <c r="Q49" s="19">
        <v>45291</v>
      </c>
      <c r="R49" s="19">
        <v>45657</v>
      </c>
      <c r="S49" s="19">
        <v>46022</v>
      </c>
      <c r="T49" s="19">
        <v>46387</v>
      </c>
      <c r="U49" s="19">
        <v>46752</v>
      </c>
      <c r="V49" s="5"/>
      <c r="W49" s="5"/>
      <c r="X49" s="5"/>
      <c r="Y49" s="5"/>
      <c r="Z49" s="5"/>
    </row>
    <row r="50" spans="1:26" ht="12" customHeight="1" x14ac:dyDescent="0.3">
      <c r="A50" s="5" t="s">
        <v>10</v>
      </c>
      <c r="B50" s="20" t="s">
        <v>11</v>
      </c>
      <c r="C50" s="20" t="s">
        <v>11</v>
      </c>
      <c r="D50" s="20" t="s">
        <v>11</v>
      </c>
      <c r="E50" s="20" t="s">
        <v>11</v>
      </c>
      <c r="F50" s="20" t="s">
        <v>11</v>
      </c>
      <c r="G50" s="157" t="s">
        <v>12</v>
      </c>
      <c r="H50" s="157" t="s">
        <v>12</v>
      </c>
      <c r="I50" s="157" t="s">
        <v>12</v>
      </c>
      <c r="J50" s="157" t="s">
        <v>12</v>
      </c>
      <c r="K50" s="157" t="s">
        <v>12</v>
      </c>
      <c r="L50" s="5"/>
      <c r="M50" s="20" t="s">
        <v>11</v>
      </c>
      <c r="N50" s="20" t="s">
        <v>11</v>
      </c>
      <c r="O50" s="20" t="s">
        <v>11</v>
      </c>
      <c r="P50" s="20" t="s">
        <v>11</v>
      </c>
      <c r="Q50" s="20" t="s">
        <v>12</v>
      </c>
      <c r="R50" s="20" t="s">
        <v>12</v>
      </c>
      <c r="S50" s="20" t="s">
        <v>12</v>
      </c>
      <c r="T50" s="20" t="s">
        <v>12</v>
      </c>
      <c r="U50" s="20" t="s">
        <v>12</v>
      </c>
      <c r="V50" s="5"/>
      <c r="W50" s="5"/>
      <c r="X50" s="5"/>
      <c r="Y50" s="5"/>
      <c r="Z50" s="5"/>
    </row>
    <row r="51" spans="1:26" ht="12" customHeight="1" x14ac:dyDescent="0.3">
      <c r="A51" s="18"/>
      <c r="B51" s="5"/>
      <c r="C51" s="5"/>
      <c r="D51" s="5"/>
      <c r="E51" s="5"/>
      <c r="F51" s="5"/>
      <c r="G51" s="152"/>
      <c r="H51" s="152"/>
      <c r="I51" s="152"/>
      <c r="J51" s="152"/>
      <c r="K51" s="15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3">
      <c r="A52" s="18" t="s">
        <v>25</v>
      </c>
      <c r="B52" s="5"/>
      <c r="C52" s="5"/>
      <c r="D52" s="5"/>
      <c r="E52" s="5"/>
      <c r="F52" s="5"/>
      <c r="G52" s="152"/>
      <c r="H52" s="152"/>
      <c r="I52" s="152"/>
      <c r="J52" s="152"/>
      <c r="K52" s="152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 customHeight="1" x14ac:dyDescent="0.3">
      <c r="A53" s="21" t="s">
        <v>26</v>
      </c>
      <c r="B53" s="150">
        <v>7320.7</v>
      </c>
      <c r="C53" s="150">
        <v>2337.5</v>
      </c>
      <c r="D53" s="150">
        <v>3657.1</v>
      </c>
      <c r="E53" s="150">
        <v>3818.5</v>
      </c>
      <c r="F53" s="150">
        <v>2067</v>
      </c>
      <c r="G53" s="162">
        <f>F53*(1+Q53)</f>
        <v>2294.3700000000003</v>
      </c>
      <c r="H53" s="162">
        <f t="shared" ref="H53:K53" si="26">G53*(1+R53)</f>
        <v>2569.6944000000008</v>
      </c>
      <c r="I53" s="162">
        <f t="shared" si="26"/>
        <v>2878.0577280000011</v>
      </c>
      <c r="J53" s="162">
        <f t="shared" si="26"/>
        <v>3223.4246553600015</v>
      </c>
      <c r="K53" s="162">
        <f t="shared" si="26"/>
        <v>3610.235614003202</v>
      </c>
      <c r="N53" s="145">
        <f>(D53/C53)-1</f>
        <v>0.56453475935828878</v>
      </c>
      <c r="O53" s="145">
        <f t="shared" ref="O53:P53" si="27">(E53/D53)-1</f>
        <v>4.4133329687457312E-2</v>
      </c>
      <c r="P53" s="145">
        <f t="shared" si="27"/>
        <v>-0.45868796647898391</v>
      </c>
      <c r="Q53" s="183">
        <v>0.11</v>
      </c>
      <c r="R53" s="183">
        <v>0.12</v>
      </c>
      <c r="S53" s="183">
        <v>0.12</v>
      </c>
      <c r="T53" s="183">
        <v>0.12</v>
      </c>
      <c r="U53" s="183">
        <v>0.12</v>
      </c>
      <c r="V53" s="5"/>
      <c r="W53" s="5"/>
      <c r="X53" s="5"/>
      <c r="Y53" s="5"/>
      <c r="Z53" s="5"/>
    </row>
    <row r="54" spans="1:26" ht="12" customHeight="1" x14ac:dyDescent="0.3">
      <c r="A54" s="21" t="s">
        <v>27</v>
      </c>
      <c r="B54" s="187">
        <v>88.2</v>
      </c>
      <c r="C54" s="187">
        <v>101</v>
      </c>
      <c r="D54" s="187">
        <v>24.2</v>
      </c>
      <c r="E54" s="187">
        <v>90.1</v>
      </c>
      <c r="F54" s="187">
        <v>144.80000000000001</v>
      </c>
      <c r="G54" s="188">
        <f>F54*(1+Q54)</f>
        <v>150.59200000000001</v>
      </c>
      <c r="H54" s="188">
        <f t="shared" ref="H54:K54" si="28">G54*(1+R54)</f>
        <v>158.12160000000003</v>
      </c>
      <c r="I54" s="188">
        <f t="shared" si="28"/>
        <v>166.02768000000003</v>
      </c>
      <c r="J54" s="188">
        <f t="shared" si="28"/>
        <v>174.32906400000005</v>
      </c>
      <c r="K54" s="188">
        <f t="shared" si="28"/>
        <v>183.04551720000006</v>
      </c>
      <c r="L54" s="5"/>
      <c r="N54" s="145">
        <f t="shared" ref="N54:N56" si="29">(D54/C54)-1</f>
        <v>-0.76039603960396041</v>
      </c>
      <c r="O54" s="145">
        <f t="shared" ref="O54:O56" si="30">(E54/D54)-1</f>
        <v>2.7231404958677685</v>
      </c>
      <c r="P54" s="145">
        <f t="shared" ref="P54:P56" si="31">(F54/E54)-1</f>
        <v>0.60710321864594907</v>
      </c>
      <c r="Q54" s="183">
        <v>0.04</v>
      </c>
      <c r="R54" s="183">
        <v>0.05</v>
      </c>
      <c r="S54" s="183">
        <v>0.05</v>
      </c>
      <c r="T54" s="183">
        <v>0.05</v>
      </c>
      <c r="U54" s="183">
        <v>0.05</v>
      </c>
      <c r="V54" s="5"/>
      <c r="W54" s="5"/>
      <c r="X54" s="5"/>
      <c r="Y54" s="5"/>
      <c r="Z54" s="5"/>
    </row>
    <row r="55" spans="1:26" ht="12" customHeight="1" x14ac:dyDescent="0.3">
      <c r="A55" s="23" t="s">
        <v>28</v>
      </c>
      <c r="B55" s="189">
        <f t="shared" ref="B55:K55" si="32">B53+B54</f>
        <v>7408.9</v>
      </c>
      <c r="C55" s="189">
        <f t="shared" si="32"/>
        <v>2438.5</v>
      </c>
      <c r="D55" s="189">
        <f t="shared" si="32"/>
        <v>3681.2999999999997</v>
      </c>
      <c r="E55" s="189">
        <f t="shared" si="32"/>
        <v>3908.6</v>
      </c>
      <c r="F55" s="189">
        <f t="shared" si="32"/>
        <v>2211.8000000000002</v>
      </c>
      <c r="G55" s="190">
        <f t="shared" si="32"/>
        <v>2444.9620000000004</v>
      </c>
      <c r="H55" s="190">
        <f t="shared" si="32"/>
        <v>2727.8160000000007</v>
      </c>
      <c r="I55" s="190">
        <f t="shared" si="32"/>
        <v>3044.0854080000013</v>
      </c>
      <c r="J55" s="190">
        <f t="shared" si="32"/>
        <v>3397.7537193600015</v>
      </c>
      <c r="K55" s="190">
        <f t="shared" si="32"/>
        <v>3793.2811312032022</v>
      </c>
      <c r="L55" s="5"/>
      <c r="M55" s="5"/>
      <c r="V55" s="5"/>
      <c r="W55" s="5"/>
      <c r="X55" s="5"/>
      <c r="Y55" s="5"/>
      <c r="Z55" s="5"/>
    </row>
    <row r="56" spans="1:26" ht="13.5" customHeight="1" x14ac:dyDescent="0.3">
      <c r="A56" s="21" t="s">
        <v>29</v>
      </c>
      <c r="B56" s="150">
        <v>4524.7</v>
      </c>
      <c r="C56" s="150">
        <v>4528.8999999999996</v>
      </c>
      <c r="D56" s="150">
        <v>5834.2</v>
      </c>
      <c r="E56" s="150">
        <v>6658.1</v>
      </c>
      <c r="F56" s="150">
        <v>6638.9</v>
      </c>
      <c r="G56" s="162">
        <f>F56*(1+Q56)</f>
        <v>7037.2340000000004</v>
      </c>
      <c r="H56" s="162">
        <f t="shared" ref="H56:K56" si="33">G56*(1+R56)</f>
        <v>7529.8403800000006</v>
      </c>
      <c r="I56" s="162">
        <f t="shared" si="33"/>
        <v>8056.9292066000007</v>
      </c>
      <c r="J56" s="162">
        <f t="shared" si="33"/>
        <v>8620.9142510620004</v>
      </c>
      <c r="K56" s="162">
        <f t="shared" si="33"/>
        <v>9224.3782486363416</v>
      </c>
      <c r="L56" s="5"/>
      <c r="M56" s="5"/>
      <c r="N56" s="145">
        <f t="shared" si="29"/>
        <v>0.28821568151206711</v>
      </c>
      <c r="O56" s="145">
        <f t="shared" si="30"/>
        <v>0.14121901888862243</v>
      </c>
      <c r="P56" s="145">
        <f t="shared" si="31"/>
        <v>-2.8837055616468543E-3</v>
      </c>
      <c r="Q56" s="183">
        <v>0.06</v>
      </c>
      <c r="R56" s="183">
        <v>7.0000000000000007E-2</v>
      </c>
      <c r="S56" s="183">
        <v>7.0000000000000007E-2</v>
      </c>
      <c r="T56" s="183">
        <v>7.0000000000000007E-2</v>
      </c>
      <c r="U56" s="183">
        <v>7.0000000000000007E-2</v>
      </c>
      <c r="V56" s="5"/>
      <c r="W56" s="5"/>
      <c r="X56" s="5"/>
      <c r="Y56" s="5"/>
      <c r="Z56" s="5"/>
    </row>
    <row r="57" spans="1:26" ht="12" customHeight="1" x14ac:dyDescent="0.3">
      <c r="A57" s="21" t="s">
        <v>30</v>
      </c>
      <c r="B57" s="150">
        <v>3098.1</v>
      </c>
      <c r="C57" s="150">
        <v>3190.7</v>
      </c>
      <c r="D57" s="150">
        <v>3980.3</v>
      </c>
      <c r="E57" s="150">
        <v>3886</v>
      </c>
      <c r="F57" s="150">
        <v>4309.7</v>
      </c>
      <c r="G57" s="162">
        <f>F57*(1+Q57)</f>
        <v>4525.1850000000004</v>
      </c>
      <c r="H57" s="162">
        <f t="shared" ref="H57:K57" si="34">G57*(1+R57)</f>
        <v>4796.696100000001</v>
      </c>
      <c r="I57" s="162">
        <f t="shared" si="34"/>
        <v>5084.4978660000015</v>
      </c>
      <c r="J57" s="162">
        <f t="shared" si="34"/>
        <v>5389.567737960002</v>
      </c>
      <c r="K57" s="162">
        <f t="shared" si="34"/>
        <v>5712.9418022376021</v>
      </c>
      <c r="L57" s="5"/>
      <c r="M57" s="5"/>
      <c r="N57" s="168">
        <f>(D57/C57)-1</f>
        <v>0.24746920738395972</v>
      </c>
      <c r="O57" s="168">
        <f t="shared" ref="O57:O61" si="35">(E57/D57)-1</f>
        <v>-2.3691681531542885E-2</v>
      </c>
      <c r="P57" s="168">
        <f t="shared" ref="P57:P61" si="36">(F57/E57)-1</f>
        <v>0.10903242408646419</v>
      </c>
      <c r="Q57" s="183">
        <v>0.05</v>
      </c>
      <c r="R57" s="183">
        <v>0.06</v>
      </c>
      <c r="S57" s="183">
        <v>0.06</v>
      </c>
      <c r="T57" s="183">
        <v>0.06</v>
      </c>
      <c r="U57" s="183">
        <v>0.06</v>
      </c>
      <c r="V57" s="5"/>
      <c r="W57" s="5"/>
      <c r="X57" s="5"/>
      <c r="Y57" s="5"/>
      <c r="Z57" s="5"/>
    </row>
    <row r="58" spans="1:26" ht="15.75" customHeight="1" x14ac:dyDescent="0.45">
      <c r="A58" s="21" t="s">
        <v>242</v>
      </c>
      <c r="B58" s="191">
        <v>5517.9</v>
      </c>
      <c r="C58" s="191">
        <v>3551.5</v>
      </c>
      <c r="D58" s="191">
        <v>3966.3</v>
      </c>
      <c r="E58" s="191">
        <v>3999.7</v>
      </c>
      <c r="F58" s="191">
        <v>4874.1000000000004</v>
      </c>
      <c r="G58" s="192">
        <f>F58*(1+Q58)</f>
        <v>4922.8410000000003</v>
      </c>
      <c r="H58" s="192">
        <f t="shared" ref="H58:K58" si="37">G58*(1+R58)</f>
        <v>4972.0694100000001</v>
      </c>
      <c r="I58" s="192">
        <f t="shared" si="37"/>
        <v>5021.7901041000005</v>
      </c>
      <c r="J58" s="192">
        <f t="shared" si="37"/>
        <v>5072.0080051410005</v>
      </c>
      <c r="K58" s="192">
        <f t="shared" si="37"/>
        <v>5122.7280851924106</v>
      </c>
      <c r="L58" s="5"/>
      <c r="M58" s="5"/>
      <c r="N58" s="144">
        <f t="shared" ref="N58:N61" si="38">(D58/C58)-1</f>
        <v>0.11679572011825989</v>
      </c>
      <c r="O58" s="144">
        <f t="shared" si="35"/>
        <v>8.4209464740436779E-3</v>
      </c>
      <c r="P58" s="144">
        <f t="shared" si="36"/>
        <v>0.2186163962297174</v>
      </c>
      <c r="Q58" s="186">
        <v>0.01</v>
      </c>
      <c r="R58" s="186">
        <v>0.01</v>
      </c>
      <c r="S58" s="186">
        <v>0.01</v>
      </c>
      <c r="T58" s="186">
        <v>0.01</v>
      </c>
      <c r="U58" s="186">
        <v>0.01</v>
      </c>
      <c r="V58" s="5"/>
      <c r="W58" s="5"/>
      <c r="X58" s="5"/>
      <c r="Y58" s="5"/>
      <c r="Z58" s="5"/>
    </row>
    <row r="59" spans="1:26" ht="12" customHeight="1" x14ac:dyDescent="0.3">
      <c r="A59" s="23" t="s">
        <v>31</v>
      </c>
      <c r="B59" s="189">
        <f t="shared" ref="B59:K59" si="39">SUM(B55:B58)</f>
        <v>20549.599999999999</v>
      </c>
      <c r="C59" s="189">
        <f t="shared" si="39"/>
        <v>13709.599999999999</v>
      </c>
      <c r="D59" s="189">
        <f t="shared" si="39"/>
        <v>17462.099999999999</v>
      </c>
      <c r="E59" s="189">
        <f t="shared" si="39"/>
        <v>18452.400000000001</v>
      </c>
      <c r="F59" s="189">
        <f t="shared" si="39"/>
        <v>18034.5</v>
      </c>
      <c r="G59" s="190">
        <f t="shared" si="39"/>
        <v>18930.222000000002</v>
      </c>
      <c r="H59" s="190">
        <f t="shared" si="39"/>
        <v>20026.421890000001</v>
      </c>
      <c r="I59" s="190">
        <f t="shared" si="39"/>
        <v>21207.302584700003</v>
      </c>
      <c r="J59" s="190">
        <f t="shared" si="39"/>
        <v>22480.243713523003</v>
      </c>
      <c r="K59" s="190">
        <f t="shared" si="39"/>
        <v>23853.329267269557</v>
      </c>
      <c r="L59" s="5"/>
      <c r="M59" s="5"/>
      <c r="V59" s="5"/>
      <c r="W59" s="5"/>
      <c r="X59" s="5"/>
      <c r="Y59" s="5"/>
      <c r="Z59" s="5"/>
    </row>
    <row r="60" spans="1:26" ht="12.75" customHeight="1" x14ac:dyDescent="0.3">
      <c r="A60" s="5"/>
      <c r="B60" s="25"/>
      <c r="C60" s="25"/>
      <c r="D60" s="25"/>
      <c r="E60" s="25"/>
      <c r="F60" s="25"/>
      <c r="G60" s="170"/>
      <c r="H60" s="171"/>
      <c r="I60" s="170"/>
      <c r="J60" s="172"/>
      <c r="K60" s="172"/>
      <c r="L60" s="5"/>
      <c r="M60" s="5"/>
      <c r="V60" s="5"/>
      <c r="W60" s="5"/>
      <c r="X60" s="5"/>
      <c r="Y60" s="5"/>
      <c r="Z60" s="5"/>
    </row>
    <row r="61" spans="1:26" ht="12" customHeight="1" x14ac:dyDescent="0.3">
      <c r="A61" s="23" t="s">
        <v>32</v>
      </c>
      <c r="B61" s="189">
        <v>2005.4</v>
      </c>
      <c r="C61" s="189">
        <v>1962.4</v>
      </c>
      <c r="D61" s="189">
        <v>2495</v>
      </c>
      <c r="E61" s="189">
        <v>2441.1</v>
      </c>
      <c r="F61" s="189">
        <v>2120.6999999999998</v>
      </c>
      <c r="G61" s="190">
        <f>F61*(1+Q61)</f>
        <v>2205.5279999999998</v>
      </c>
      <c r="H61" s="190">
        <f t="shared" ref="H61:K61" si="40">G61*(1+R61)</f>
        <v>2271.6938399999999</v>
      </c>
      <c r="I61" s="190">
        <f t="shared" si="40"/>
        <v>2339.8446552</v>
      </c>
      <c r="J61" s="190">
        <f t="shared" si="40"/>
        <v>2410.0399948560002</v>
      </c>
      <c r="K61" s="190">
        <f t="shared" si="40"/>
        <v>2482.3411947016803</v>
      </c>
      <c r="L61" s="5"/>
      <c r="M61" s="5"/>
      <c r="N61" s="144">
        <f t="shared" si="38"/>
        <v>0.27140236445169186</v>
      </c>
      <c r="O61" s="144">
        <f t="shared" si="35"/>
        <v>-2.1603206412825648E-2</v>
      </c>
      <c r="P61" s="144">
        <f t="shared" si="36"/>
        <v>-0.1312523042890501</v>
      </c>
      <c r="Q61" s="183">
        <v>0.04</v>
      </c>
      <c r="R61" s="183">
        <v>0.03</v>
      </c>
      <c r="S61" s="183">
        <v>0.03</v>
      </c>
      <c r="T61" s="183">
        <v>0.03</v>
      </c>
      <c r="U61" s="183">
        <v>0.03</v>
      </c>
      <c r="V61" s="5"/>
      <c r="W61" s="5"/>
      <c r="X61" s="5"/>
      <c r="Y61" s="5"/>
      <c r="Z61" s="5"/>
    </row>
    <row r="62" spans="1:26" ht="12" customHeight="1" x14ac:dyDescent="0.3">
      <c r="A62" s="21" t="s">
        <v>243</v>
      </c>
      <c r="B62" s="150">
        <v>0</v>
      </c>
      <c r="C62" s="150">
        <v>0</v>
      </c>
      <c r="D62" s="150">
        <v>0</v>
      </c>
      <c r="E62" s="150">
        <v>0</v>
      </c>
      <c r="F62" s="150">
        <v>0</v>
      </c>
      <c r="G62" s="162">
        <v>0</v>
      </c>
      <c r="H62" s="162">
        <v>0</v>
      </c>
      <c r="I62" s="162">
        <v>0</v>
      </c>
      <c r="J62" s="162">
        <v>0</v>
      </c>
      <c r="K62" s="162">
        <v>0</v>
      </c>
      <c r="L62" s="5"/>
      <c r="M62" s="5"/>
      <c r="V62" s="5"/>
      <c r="W62" s="5"/>
      <c r="X62" s="5"/>
      <c r="Y62" s="5"/>
      <c r="Z62" s="5"/>
    </row>
    <row r="63" spans="1:26" ht="12" customHeight="1" x14ac:dyDescent="0.3">
      <c r="A63" s="23" t="s">
        <v>33</v>
      </c>
      <c r="B63" s="189">
        <f t="shared" ref="B63:K63" si="41">SUM(B61:B62)</f>
        <v>2005.4</v>
      </c>
      <c r="C63" s="189">
        <f t="shared" si="41"/>
        <v>1962.4</v>
      </c>
      <c r="D63" s="189">
        <f t="shared" si="41"/>
        <v>2495</v>
      </c>
      <c r="E63" s="189">
        <f t="shared" si="41"/>
        <v>2441.1</v>
      </c>
      <c r="F63" s="189">
        <f t="shared" si="41"/>
        <v>2120.6999999999998</v>
      </c>
      <c r="G63" s="190">
        <f t="shared" si="41"/>
        <v>2205.5279999999998</v>
      </c>
      <c r="H63" s="190">
        <f t="shared" si="41"/>
        <v>2271.6938399999999</v>
      </c>
      <c r="I63" s="190">
        <f t="shared" si="41"/>
        <v>2339.8446552</v>
      </c>
      <c r="J63" s="190">
        <f t="shared" si="41"/>
        <v>2410.0399948560002</v>
      </c>
      <c r="K63" s="190">
        <f t="shared" si="41"/>
        <v>2482.3411947016803</v>
      </c>
      <c r="L63" s="5"/>
      <c r="M63" s="5"/>
      <c r="V63" s="5"/>
      <c r="W63" s="5"/>
      <c r="X63" s="5"/>
      <c r="Y63" s="5"/>
      <c r="Z63" s="5"/>
    </row>
    <row r="64" spans="1:26" ht="12" customHeight="1" x14ac:dyDescent="0.3">
      <c r="A64" s="5"/>
      <c r="B64" s="25"/>
      <c r="C64" s="25"/>
      <c r="D64" s="25"/>
      <c r="E64" s="25"/>
      <c r="F64" s="25"/>
      <c r="G64" s="169"/>
      <c r="H64" s="175"/>
      <c r="I64" s="169"/>
      <c r="J64" s="152"/>
      <c r="K64" s="152"/>
      <c r="L64" s="5"/>
      <c r="M64" s="5"/>
      <c r="V64" s="5"/>
      <c r="W64" s="5"/>
      <c r="X64" s="5"/>
      <c r="Y64" s="5"/>
      <c r="Z64" s="5"/>
    </row>
    <row r="65" spans="1:26" ht="13" x14ac:dyDescent="0.3">
      <c r="A65" s="23" t="s">
        <v>34</v>
      </c>
      <c r="B65" s="150">
        <v>16663</v>
      </c>
      <c r="C65" s="150">
        <v>17034.5</v>
      </c>
      <c r="D65" s="150">
        <v>18252.599999999999</v>
      </c>
      <c r="E65" s="150">
        <v>18961.8</v>
      </c>
      <c r="F65" s="150">
        <v>20377.400000000001</v>
      </c>
      <c r="G65" s="162">
        <f>F65*(1+Q65)</f>
        <v>21905.705000000002</v>
      </c>
      <c r="H65" s="162">
        <f t="shared" ref="H65:K65" si="42">G65*(1+R65)</f>
        <v>23658.161400000005</v>
      </c>
      <c r="I65" s="162">
        <f t="shared" si="42"/>
        <v>25669.105119000003</v>
      </c>
      <c r="J65" s="162">
        <f t="shared" si="42"/>
        <v>27979.324579710006</v>
      </c>
      <c r="K65" s="162">
        <f t="shared" si="42"/>
        <v>30497.463791883911</v>
      </c>
      <c r="L65" s="5"/>
      <c r="M65" s="5"/>
      <c r="N65" s="144">
        <f t="shared" ref="N65" si="43">(D65/C65)-1</f>
        <v>7.1507822360503681E-2</v>
      </c>
      <c r="O65" s="144">
        <f t="shared" ref="O65" si="44">(E65/D65)-1</f>
        <v>3.8854738503007802E-2</v>
      </c>
      <c r="P65" s="144">
        <f t="shared" ref="P65" si="45">(F65/E65)-1</f>
        <v>7.4655359723233117E-2</v>
      </c>
      <c r="Q65" s="183">
        <v>7.4999999999999997E-2</v>
      </c>
      <c r="R65" s="183">
        <v>0.08</v>
      </c>
      <c r="S65" s="183">
        <v>8.5000000000000006E-2</v>
      </c>
      <c r="T65" s="183">
        <v>0.09</v>
      </c>
      <c r="U65" s="183">
        <v>0.09</v>
      </c>
      <c r="V65" s="5"/>
      <c r="W65" s="5"/>
      <c r="X65" s="5"/>
      <c r="Y65" s="5"/>
      <c r="Z65" s="5"/>
    </row>
    <row r="66" spans="1:26" ht="13.5" hidden="1" customHeight="1" x14ac:dyDescent="0.3">
      <c r="A66" s="21" t="s">
        <v>35</v>
      </c>
      <c r="B66" s="150">
        <v>0</v>
      </c>
      <c r="C66" s="150">
        <v>0</v>
      </c>
      <c r="D66" s="150">
        <v>0</v>
      </c>
      <c r="E66" s="150">
        <v>0</v>
      </c>
      <c r="F66" s="150">
        <v>0</v>
      </c>
      <c r="G66" s="162"/>
      <c r="H66" s="162"/>
      <c r="I66" s="162"/>
      <c r="J66" s="162"/>
      <c r="K66" s="162"/>
      <c r="L66" s="5"/>
      <c r="M66" s="5"/>
      <c r="V66" s="5"/>
      <c r="W66" s="5"/>
      <c r="X66" s="5"/>
      <c r="Y66" s="5"/>
      <c r="Z66" s="5"/>
    </row>
    <row r="67" spans="1:26" ht="13.5" hidden="1" customHeight="1" x14ac:dyDescent="0.3">
      <c r="A67" s="21" t="s">
        <v>36</v>
      </c>
      <c r="B67" s="150">
        <v>0</v>
      </c>
      <c r="C67" s="150">
        <v>0</v>
      </c>
      <c r="D67" s="150">
        <v>0</v>
      </c>
      <c r="E67" s="150">
        <v>0</v>
      </c>
      <c r="F67" s="150">
        <v>0</v>
      </c>
      <c r="G67" s="162"/>
      <c r="H67" s="162"/>
      <c r="I67" s="162"/>
      <c r="J67" s="162"/>
      <c r="K67" s="162"/>
      <c r="L67" s="5"/>
      <c r="M67" s="5"/>
      <c r="V67" s="5"/>
      <c r="W67" s="5"/>
      <c r="X67" s="5"/>
      <c r="Y67" s="5"/>
      <c r="Z67" s="5"/>
    </row>
    <row r="68" spans="1:26" ht="14.5" hidden="1" customHeight="1" x14ac:dyDescent="0.3">
      <c r="A68" s="21" t="s">
        <v>37</v>
      </c>
      <c r="B68" s="150"/>
      <c r="C68" s="150">
        <v>0</v>
      </c>
      <c r="D68" s="150">
        <v>0</v>
      </c>
      <c r="E68" s="150">
        <v>0</v>
      </c>
      <c r="F68" s="150">
        <v>0</v>
      </c>
      <c r="G68" s="162"/>
      <c r="H68" s="162"/>
      <c r="I68" s="162"/>
      <c r="J68" s="162"/>
      <c r="K68" s="162"/>
      <c r="L68" s="5"/>
      <c r="M68" s="5"/>
      <c r="V68" s="5"/>
      <c r="W68" s="5"/>
      <c r="X68" s="5"/>
      <c r="Y68" s="5"/>
      <c r="Z68" s="5"/>
    </row>
    <row r="69" spans="1:26" ht="13" hidden="1" customHeight="1" x14ac:dyDescent="0.3">
      <c r="A69" s="21" t="s">
        <v>38</v>
      </c>
      <c r="B69" s="150">
        <v>0</v>
      </c>
      <c r="C69" s="150">
        <v>0</v>
      </c>
      <c r="D69" s="150">
        <v>0</v>
      </c>
      <c r="E69" s="150">
        <v>0</v>
      </c>
      <c r="F69" s="150">
        <v>0</v>
      </c>
      <c r="G69" s="162"/>
      <c r="H69" s="162"/>
      <c r="I69" s="162"/>
      <c r="J69" s="162"/>
      <c r="K69" s="162"/>
      <c r="L69" s="5"/>
      <c r="M69" s="5"/>
      <c r="V69" s="5"/>
      <c r="W69" s="5"/>
      <c r="X69" s="5"/>
      <c r="Y69" s="5"/>
      <c r="Z69" s="5"/>
    </row>
    <row r="70" spans="1:26" ht="12" customHeight="1" x14ac:dyDescent="0.3">
      <c r="A70" s="23" t="s">
        <v>39</v>
      </c>
      <c r="B70" s="189">
        <f t="shared" ref="B70:K70" si="46">SUM(B65:B69)</f>
        <v>16663</v>
      </c>
      <c r="C70" s="189">
        <f t="shared" si="46"/>
        <v>17034.5</v>
      </c>
      <c r="D70" s="189">
        <f t="shared" si="46"/>
        <v>18252.599999999999</v>
      </c>
      <c r="E70" s="189">
        <f t="shared" si="46"/>
        <v>18961.8</v>
      </c>
      <c r="F70" s="189">
        <f t="shared" si="46"/>
        <v>20377.400000000001</v>
      </c>
      <c r="G70" s="190">
        <f t="shared" si="46"/>
        <v>21905.705000000002</v>
      </c>
      <c r="H70" s="190">
        <f t="shared" si="46"/>
        <v>23658.161400000005</v>
      </c>
      <c r="I70" s="190">
        <f t="shared" si="46"/>
        <v>25669.105119000003</v>
      </c>
      <c r="J70" s="190">
        <f t="shared" si="46"/>
        <v>27979.324579710006</v>
      </c>
      <c r="K70" s="190">
        <f t="shared" si="46"/>
        <v>30497.463791883911</v>
      </c>
      <c r="L70" s="5"/>
      <c r="M70" s="5"/>
      <c r="V70" s="5"/>
      <c r="W70" s="5"/>
      <c r="X70" s="5"/>
      <c r="Y70" s="5"/>
      <c r="Z70" s="5"/>
    </row>
    <row r="71" spans="1:26" ht="12" customHeight="1" x14ac:dyDescent="0.45">
      <c r="A71" s="21" t="s">
        <v>40</v>
      </c>
      <c r="B71" s="191">
        <v>8666.9</v>
      </c>
      <c r="C71" s="191">
        <v>9161.6</v>
      </c>
      <c r="D71" s="191">
        <v>9570.7000000000007</v>
      </c>
      <c r="E71" s="191">
        <v>9976.7000000000007</v>
      </c>
      <c r="F71" s="191">
        <v>10233.4</v>
      </c>
      <c r="G71" s="205">
        <f>F71*(1+Q71)</f>
        <v>10745.07</v>
      </c>
      <c r="H71" s="205">
        <f t="shared" ref="H71:K71" si="47">G71*(1+R71)</f>
        <v>11282.3235</v>
      </c>
      <c r="I71" s="205">
        <f t="shared" si="47"/>
        <v>11846.439675000001</v>
      </c>
      <c r="J71" s="205">
        <f t="shared" si="47"/>
        <v>12438.761658750002</v>
      </c>
      <c r="K71" s="205">
        <f t="shared" si="47"/>
        <v>13060.699741687502</v>
      </c>
      <c r="L71" s="5"/>
      <c r="M71" s="5"/>
      <c r="N71" s="144">
        <f t="shared" ref="N71" si="48">(D71/C71)-1</f>
        <v>4.4653772266852965E-2</v>
      </c>
      <c r="O71" s="144">
        <f t="shared" ref="O71" si="49">(E71/D71)-1</f>
        <v>4.2421139519575268E-2</v>
      </c>
      <c r="P71" s="144">
        <f t="shared" ref="P71" si="50">(F71/E71)-1</f>
        <v>2.5729950785329692E-2</v>
      </c>
      <c r="Q71" s="185">
        <v>0.05</v>
      </c>
      <c r="R71" s="185">
        <v>0.05</v>
      </c>
      <c r="S71" s="185">
        <v>0.05</v>
      </c>
      <c r="T71" s="185">
        <v>0.05</v>
      </c>
      <c r="U71" s="185">
        <v>0.05</v>
      </c>
      <c r="V71" s="5"/>
      <c r="W71" s="5"/>
      <c r="X71" s="5"/>
      <c r="Y71" s="5"/>
      <c r="Z71" s="5"/>
    </row>
    <row r="72" spans="1:26" ht="13" x14ac:dyDescent="0.3">
      <c r="A72" s="23" t="s">
        <v>41</v>
      </c>
      <c r="B72" s="189">
        <f t="shared" ref="B72:K72" si="51">B70-B71</f>
        <v>7996.1</v>
      </c>
      <c r="C72" s="189">
        <f t="shared" si="51"/>
        <v>7872.9</v>
      </c>
      <c r="D72" s="189">
        <f t="shared" si="51"/>
        <v>8681.8999999999978</v>
      </c>
      <c r="E72" s="189">
        <f t="shared" si="51"/>
        <v>8985.0999999999985</v>
      </c>
      <c r="F72" s="189">
        <f t="shared" si="51"/>
        <v>10144.000000000002</v>
      </c>
      <c r="G72" s="190">
        <f t="shared" si="51"/>
        <v>11160.635000000002</v>
      </c>
      <c r="H72" s="190">
        <f t="shared" si="51"/>
        <v>12375.837900000004</v>
      </c>
      <c r="I72" s="190">
        <f t="shared" si="51"/>
        <v>13822.665444000002</v>
      </c>
      <c r="J72" s="190">
        <f t="shared" si="51"/>
        <v>15540.562920960005</v>
      </c>
      <c r="K72" s="190">
        <f t="shared" si="51"/>
        <v>17436.764050196409</v>
      </c>
      <c r="L72" s="5"/>
      <c r="M72" s="5"/>
      <c r="V72" s="5"/>
      <c r="W72" s="5"/>
      <c r="X72" s="5"/>
      <c r="Y72" s="5"/>
      <c r="Z72" s="5"/>
    </row>
    <row r="73" spans="1:26" ht="12.75" customHeight="1" x14ac:dyDescent="0.3">
      <c r="A73" s="18"/>
      <c r="B73" s="25"/>
      <c r="C73" s="25"/>
      <c r="D73" s="25"/>
      <c r="E73" s="25"/>
      <c r="F73" s="25"/>
      <c r="G73" s="169"/>
      <c r="H73" s="176"/>
      <c r="I73" s="169"/>
      <c r="J73" s="152"/>
      <c r="K73" s="152"/>
      <c r="L73" s="5"/>
      <c r="M73" s="5"/>
      <c r="V73" s="5"/>
      <c r="W73" s="5"/>
      <c r="X73" s="5"/>
      <c r="Y73" s="5"/>
      <c r="Z73" s="5"/>
    </row>
    <row r="74" spans="1:26" ht="12" customHeight="1" x14ac:dyDescent="0.3">
      <c r="A74" s="21" t="s">
        <v>42</v>
      </c>
      <c r="B74" s="150">
        <v>2434.6</v>
      </c>
      <c r="C74" s="150">
        <v>10297.4</v>
      </c>
      <c r="D74" s="150">
        <v>11216.5</v>
      </c>
      <c r="E74" s="150">
        <v>11583.9</v>
      </c>
      <c r="F74" s="150">
        <v>11279.6</v>
      </c>
      <c r="G74" s="162">
        <f>F74*(1+Q74)</f>
        <v>11843.580000000002</v>
      </c>
      <c r="H74" s="162">
        <f t="shared" ref="H74:K74" si="52">G74*(1+R74)</f>
        <v>12554.194800000003</v>
      </c>
      <c r="I74" s="162">
        <f t="shared" si="52"/>
        <v>13307.446488000003</v>
      </c>
      <c r="J74" s="162">
        <f t="shared" si="52"/>
        <v>14105.893277280004</v>
      </c>
      <c r="K74" s="162">
        <f t="shared" si="52"/>
        <v>14980.458660471364</v>
      </c>
      <c r="L74" s="5"/>
      <c r="M74" s="5"/>
      <c r="N74" s="144">
        <f t="shared" ref="N74:N75" si="53">(D74/C74)-1</f>
        <v>8.9255540233456943E-2</v>
      </c>
      <c r="O74" s="144">
        <f t="shared" ref="O74:O75" si="54">(E74/D74)-1</f>
        <v>3.2755315829358533E-2</v>
      </c>
      <c r="P74" s="144">
        <f t="shared" ref="P74:P75" si="55">(F74/E74)-1</f>
        <v>-2.6269218484275547E-2</v>
      </c>
      <c r="Q74" s="185">
        <v>0.05</v>
      </c>
      <c r="R74" s="185">
        <v>0.06</v>
      </c>
      <c r="S74" s="185">
        <v>0.06</v>
      </c>
      <c r="T74" s="185">
        <v>0.06</v>
      </c>
      <c r="U74" s="185">
        <v>6.2E-2</v>
      </c>
      <c r="V74" s="5"/>
      <c r="W74" s="5"/>
      <c r="X74" s="5"/>
      <c r="Y74" s="5"/>
      <c r="Z74" s="5"/>
    </row>
    <row r="75" spans="1:26" ht="12" customHeight="1" x14ac:dyDescent="0.3">
      <c r="A75" s="21" t="s">
        <v>248</v>
      </c>
      <c r="B75" s="150">
        <f>13357.3-B74</f>
        <v>10922.699999999999</v>
      </c>
      <c r="C75" s="150">
        <f>15741.2-C74</f>
        <v>5443.8000000000011</v>
      </c>
      <c r="D75" s="150">
        <f>17994.1-D74</f>
        <v>6777.5999999999985</v>
      </c>
      <c r="E75" s="150">
        <f>18927.4-E74</f>
        <v>7343.5000000000018</v>
      </c>
      <c r="F75" s="150">
        <f>19190.6-F74</f>
        <v>7910.9999999999982</v>
      </c>
      <c r="G75" s="162">
        <f>F75*(1+Q75)</f>
        <v>8385.659999999998</v>
      </c>
      <c r="H75" s="162">
        <f t="shared" ref="H75:K75" si="56">G75*(1+R75)</f>
        <v>8804.9429999999975</v>
      </c>
      <c r="I75" s="162">
        <f t="shared" si="56"/>
        <v>9245.1901499999985</v>
      </c>
      <c r="J75" s="162">
        <f t="shared" si="56"/>
        <v>9707.4496574999994</v>
      </c>
      <c r="K75" s="162">
        <f t="shared" si="56"/>
        <v>10192.822140374999</v>
      </c>
      <c r="L75" s="5"/>
      <c r="M75" s="5"/>
      <c r="N75" s="144">
        <f t="shared" si="53"/>
        <v>0.2450126749696897</v>
      </c>
      <c r="O75" s="144">
        <f t="shared" si="54"/>
        <v>8.3495632672332842E-2</v>
      </c>
      <c r="P75" s="144">
        <f t="shared" si="55"/>
        <v>7.7279226526860034E-2</v>
      </c>
      <c r="Q75" s="185">
        <v>0.06</v>
      </c>
      <c r="R75" s="185">
        <v>0.05</v>
      </c>
      <c r="S75" s="185">
        <v>0.05</v>
      </c>
      <c r="T75" s="185">
        <v>0.05</v>
      </c>
      <c r="U75" s="185">
        <v>0.05</v>
      </c>
      <c r="V75" s="5"/>
      <c r="W75" s="5"/>
      <c r="X75" s="5"/>
      <c r="Y75" s="5"/>
      <c r="Z75" s="5"/>
    </row>
    <row r="76" spans="1:26" ht="12.75" customHeight="1" x14ac:dyDescent="0.3">
      <c r="A76" s="5"/>
      <c r="B76" s="25"/>
      <c r="C76" s="25"/>
      <c r="D76" s="25"/>
      <c r="E76" s="25"/>
      <c r="F76" s="25"/>
      <c r="G76" s="169"/>
      <c r="H76" s="177"/>
      <c r="I76" s="169"/>
      <c r="J76" s="152"/>
      <c r="K76" s="152"/>
      <c r="L76" s="5"/>
      <c r="M76" s="5"/>
      <c r="V76" s="5"/>
      <c r="W76" s="5"/>
      <c r="X76" s="5"/>
      <c r="Y76" s="5"/>
      <c r="Z76" s="5"/>
    </row>
    <row r="77" spans="1:26" ht="12.75" customHeight="1" x14ac:dyDescent="0.3">
      <c r="A77" s="18" t="s">
        <v>43</v>
      </c>
      <c r="B77" s="193">
        <f>B59+B63+B72+B74+B75</f>
        <v>43908.399999999994</v>
      </c>
      <c r="C77" s="193">
        <f>C59+C63+C72+C74+C75</f>
        <v>39286.1</v>
      </c>
      <c r="D77" s="193">
        <f>D59+D63+D72+D74+D75</f>
        <v>46633.1</v>
      </c>
      <c r="E77" s="193">
        <f>E59+E63+E72+E74+E75</f>
        <v>48806</v>
      </c>
      <c r="F77" s="193">
        <f>F59+F63+F72+F74+F75</f>
        <v>49489.8</v>
      </c>
      <c r="G77" s="194">
        <f t="shared" ref="G77:K77" si="57">G59+G63+G72+G74+G75</f>
        <v>52525.625</v>
      </c>
      <c r="H77" s="194">
        <f t="shared" si="57"/>
        <v>56033.091430000008</v>
      </c>
      <c r="I77" s="194">
        <f t="shared" si="57"/>
        <v>59922.4493219</v>
      </c>
      <c r="J77" s="194">
        <f t="shared" si="57"/>
        <v>64244.189564119013</v>
      </c>
      <c r="K77" s="194">
        <f t="shared" si="57"/>
        <v>68945.715313014007</v>
      </c>
      <c r="L77" s="5"/>
      <c r="M77" s="5"/>
      <c r="V77" s="5"/>
      <c r="W77" s="5"/>
      <c r="X77" s="5"/>
      <c r="Y77" s="5"/>
      <c r="Z77" s="5"/>
    </row>
    <row r="78" spans="1:26" ht="8.25" customHeight="1" x14ac:dyDescent="0.3">
      <c r="A78" s="5"/>
      <c r="B78" s="25"/>
      <c r="C78" s="25"/>
      <c r="D78" s="25"/>
      <c r="E78" s="25"/>
      <c r="F78" s="25"/>
      <c r="G78" s="169"/>
      <c r="H78" s="175"/>
      <c r="I78" s="169"/>
      <c r="J78" s="152"/>
      <c r="K78" s="152"/>
      <c r="L78" s="5"/>
      <c r="M78" s="5"/>
      <c r="N78" s="5"/>
      <c r="O78" s="5"/>
      <c r="P78" s="5"/>
      <c r="V78" s="5"/>
      <c r="W78" s="5"/>
      <c r="X78" s="5"/>
      <c r="Y78" s="5"/>
      <c r="Z78" s="5"/>
    </row>
    <row r="79" spans="1:26" ht="12" customHeight="1" x14ac:dyDescent="0.3">
      <c r="A79" s="5"/>
      <c r="B79" s="20"/>
      <c r="C79" s="20"/>
      <c r="D79" s="20"/>
      <c r="E79" s="20"/>
      <c r="F79" s="20"/>
      <c r="G79" s="157"/>
      <c r="H79" s="157"/>
      <c r="I79" s="157"/>
      <c r="J79" s="152"/>
      <c r="K79" s="152"/>
      <c r="L79" s="5"/>
      <c r="M79" s="5"/>
      <c r="N79" s="5"/>
      <c r="O79" s="5"/>
      <c r="P79" s="5"/>
      <c r="V79" s="5"/>
      <c r="W79" s="5"/>
      <c r="X79" s="5"/>
      <c r="Y79" s="5"/>
      <c r="Z79" s="5"/>
    </row>
    <row r="80" spans="1:26" ht="12.75" customHeight="1" x14ac:dyDescent="0.3">
      <c r="A80" s="18" t="s">
        <v>44</v>
      </c>
      <c r="B80" s="25"/>
      <c r="C80" s="25"/>
      <c r="D80" s="25"/>
      <c r="E80" s="25"/>
      <c r="F80" s="25"/>
      <c r="G80" s="169"/>
      <c r="H80" s="176"/>
      <c r="I80" s="169"/>
      <c r="J80" s="152"/>
      <c r="K80" s="152"/>
      <c r="L80" s="5"/>
      <c r="M80" s="5"/>
      <c r="N80" s="5"/>
      <c r="O80" s="5"/>
      <c r="P80" s="5"/>
      <c r="V80" s="5"/>
      <c r="W80" s="5"/>
      <c r="X80" s="5"/>
      <c r="Y80" s="5"/>
      <c r="Z80" s="5"/>
    </row>
    <row r="81" spans="1:26" ht="12" customHeight="1" x14ac:dyDescent="0.3">
      <c r="A81" s="21" t="s">
        <v>45</v>
      </c>
      <c r="B81" s="150">
        <v>3206.9</v>
      </c>
      <c r="C81" s="150">
        <v>3152.9</v>
      </c>
      <c r="D81" s="150">
        <v>3869.6</v>
      </c>
      <c r="E81" s="150">
        <v>3641.1</v>
      </c>
      <c r="F81" s="150">
        <v>4482.7</v>
      </c>
      <c r="G81" s="162">
        <f>F81*(1+Q81)</f>
        <v>4706.835</v>
      </c>
      <c r="H81" s="162">
        <f t="shared" ref="H81:K81" si="58">G81*(1+R81)</f>
        <v>4989.2451000000001</v>
      </c>
      <c r="I81" s="162">
        <f t="shared" si="58"/>
        <v>5338.4922570000008</v>
      </c>
      <c r="J81" s="162">
        <f t="shared" si="58"/>
        <v>5712.1867149900008</v>
      </c>
      <c r="K81" s="162">
        <f t="shared" si="58"/>
        <v>6112.039785039301</v>
      </c>
      <c r="L81" s="5"/>
      <c r="M81" s="5"/>
      <c r="N81" s="144">
        <f t="shared" ref="N81" si="59">(D81/C81)-1</f>
        <v>0.22731453582416172</v>
      </c>
      <c r="O81" s="144">
        <f t="shared" ref="O81" si="60">(E81/D81)-1</f>
        <v>-5.9050031010957182E-2</v>
      </c>
      <c r="P81" s="144">
        <f t="shared" ref="P81" si="61">(F81/E81)-1</f>
        <v>0.23113894152865888</v>
      </c>
      <c r="Q81" s="185">
        <v>0.05</v>
      </c>
      <c r="R81" s="185">
        <v>0.06</v>
      </c>
      <c r="S81" s="185">
        <v>7.0000000000000007E-2</v>
      </c>
      <c r="T81" s="185">
        <v>7.0000000000000007E-2</v>
      </c>
      <c r="U81" s="185">
        <v>7.0000000000000007E-2</v>
      </c>
      <c r="V81" s="5"/>
      <c r="W81" s="5"/>
      <c r="X81" s="5"/>
      <c r="Y81" s="5"/>
      <c r="Z81" s="5"/>
    </row>
    <row r="82" spans="1:26" ht="12" customHeight="1" x14ac:dyDescent="0.3">
      <c r="A82" s="21" t="s">
        <v>244</v>
      </c>
      <c r="B82" s="150">
        <v>0</v>
      </c>
      <c r="C82" s="150">
        <v>0</v>
      </c>
      <c r="D82" s="150">
        <v>0</v>
      </c>
      <c r="E82" s="150">
        <v>0</v>
      </c>
      <c r="F82" s="150">
        <v>0</v>
      </c>
      <c r="G82" s="162">
        <v>0</v>
      </c>
      <c r="H82" s="162">
        <v>0</v>
      </c>
      <c r="I82" s="162">
        <v>0</v>
      </c>
      <c r="J82" s="162">
        <v>0</v>
      </c>
      <c r="K82" s="162">
        <v>0</v>
      </c>
      <c r="L82" s="5"/>
      <c r="M82" s="5"/>
      <c r="V82" s="5"/>
      <c r="W82" s="5"/>
      <c r="X82" s="5"/>
      <c r="Y82" s="5"/>
      <c r="Z82" s="5"/>
    </row>
    <row r="83" spans="1:26" ht="12" customHeight="1" x14ac:dyDescent="0.3">
      <c r="A83" s="21" t="s">
        <v>46</v>
      </c>
      <c r="B83" s="150">
        <v>1102.2</v>
      </c>
      <c r="C83" s="150">
        <v>1499.3</v>
      </c>
      <c r="D83" s="150">
        <v>8.6999999999999993</v>
      </c>
      <c r="E83" s="150">
        <v>1538.3</v>
      </c>
      <c r="F83" s="150">
        <v>1501.1</v>
      </c>
      <c r="G83" s="162">
        <f>F83*(1+Q83)</f>
        <v>1531.1219999999998</v>
      </c>
      <c r="H83" s="162">
        <f t="shared" ref="H83:K83" si="62">G83*(1+R83)</f>
        <v>1592.3668799999998</v>
      </c>
      <c r="I83" s="162">
        <f t="shared" si="62"/>
        <v>1624.2142175999998</v>
      </c>
      <c r="J83" s="162">
        <f t="shared" si="62"/>
        <v>1689.1827863039998</v>
      </c>
      <c r="K83" s="162">
        <f t="shared" si="62"/>
        <v>1722.9664420300799</v>
      </c>
      <c r="L83" s="5"/>
      <c r="M83" s="5"/>
      <c r="N83" s="144">
        <f t="shared" ref="N83:N100" si="63">(D83/C83)-1</f>
        <v>-0.99419729206963248</v>
      </c>
      <c r="O83" s="144">
        <f t="shared" ref="O83:O100" si="64">(E83/D83)-1</f>
        <v>175.81609195402299</v>
      </c>
      <c r="P83" s="144">
        <f t="shared" ref="P83:P100" si="65">(F83/E83)-1</f>
        <v>-2.4182539166612504E-2</v>
      </c>
      <c r="Q83" s="185">
        <v>0.02</v>
      </c>
      <c r="R83" s="185">
        <v>0.04</v>
      </c>
      <c r="S83" s="185">
        <v>0.02</v>
      </c>
      <c r="T83" s="185">
        <v>0.04</v>
      </c>
      <c r="U83" s="185">
        <v>0.02</v>
      </c>
      <c r="V83" s="5"/>
      <c r="W83" s="5"/>
      <c r="X83" s="5"/>
      <c r="Y83" s="5"/>
      <c r="Z83" s="5"/>
    </row>
    <row r="84" spans="1:26" ht="12" customHeight="1" x14ac:dyDescent="0.3">
      <c r="A84" s="5" t="s">
        <v>47</v>
      </c>
      <c r="B84" s="150">
        <v>0</v>
      </c>
      <c r="C84" s="150">
        <v>264.60000000000002</v>
      </c>
      <c r="D84" s="150">
        <v>276.8</v>
      </c>
      <c r="E84" s="150">
        <v>262.60000000000002</v>
      </c>
      <c r="F84" s="150">
        <v>219.2</v>
      </c>
      <c r="G84" s="162">
        <f>F84*(1+Q84)</f>
        <v>225.77599999999998</v>
      </c>
      <c r="H84" s="162">
        <f t="shared" ref="H84:K84" si="66">G84*(1+R84)</f>
        <v>232.54927999999998</v>
      </c>
      <c r="I84" s="162">
        <f t="shared" si="66"/>
        <v>239.5257584</v>
      </c>
      <c r="J84" s="162">
        <f t="shared" si="66"/>
        <v>246.71153115200002</v>
      </c>
      <c r="K84" s="162">
        <f t="shared" si="66"/>
        <v>254.11287708656002</v>
      </c>
      <c r="L84" s="5"/>
      <c r="M84" s="5"/>
      <c r="N84" s="144">
        <f t="shared" si="63"/>
        <v>4.6107331821617414E-2</v>
      </c>
      <c r="O84" s="144">
        <f t="shared" si="64"/>
        <v>-5.1300578034682021E-2</v>
      </c>
      <c r="P84" s="144">
        <f t="shared" si="65"/>
        <v>-0.16527037319116533</v>
      </c>
      <c r="Q84" s="185">
        <v>0.03</v>
      </c>
      <c r="R84" s="185">
        <v>0.03</v>
      </c>
      <c r="S84" s="185">
        <v>0.03</v>
      </c>
      <c r="T84" s="185">
        <v>0.03</v>
      </c>
      <c r="U84" s="185">
        <v>0.03</v>
      </c>
      <c r="V84" s="5"/>
      <c r="W84" s="5"/>
      <c r="X84" s="5"/>
      <c r="Y84" s="5"/>
      <c r="Z84" s="5"/>
    </row>
    <row r="85" spans="1:26" ht="12" customHeight="1" x14ac:dyDescent="0.45">
      <c r="A85" s="21" t="s">
        <v>48</v>
      </c>
      <c r="B85" s="200">
        <f>7579-B84</f>
        <v>7579</v>
      </c>
      <c r="C85" s="200">
        <f>7123-C84</f>
        <v>6858.4</v>
      </c>
      <c r="D85" s="200">
        <f>8603.3-D84</f>
        <v>8326.5</v>
      </c>
      <c r="E85" s="200">
        <f>9873.3-E84</f>
        <v>9610.6999999999989</v>
      </c>
      <c r="F85" s="200">
        <f>11154.4-F84</f>
        <v>10935.199999999999</v>
      </c>
      <c r="G85" s="192">
        <f>F85*(1+Q85)</f>
        <v>11481.96</v>
      </c>
      <c r="H85" s="192">
        <f t="shared" ref="H85:K85" si="67">G85*(1+R85)</f>
        <v>12170.8776</v>
      </c>
      <c r="I85" s="192">
        <f t="shared" si="67"/>
        <v>12901.130256</v>
      </c>
      <c r="J85" s="192">
        <f t="shared" si="67"/>
        <v>13675.198071360001</v>
      </c>
      <c r="K85" s="192">
        <f t="shared" si="67"/>
        <v>14495.709955641601</v>
      </c>
      <c r="L85" s="34"/>
      <c r="M85" s="34"/>
      <c r="N85" s="144">
        <f t="shared" si="63"/>
        <v>0.21405867257669442</v>
      </c>
      <c r="O85" s="144">
        <f t="shared" si="64"/>
        <v>0.15423046898456727</v>
      </c>
      <c r="P85" s="144">
        <f t="shared" si="65"/>
        <v>0.13781514353793178</v>
      </c>
      <c r="Q85" s="185">
        <v>0.05</v>
      </c>
      <c r="R85" s="185">
        <v>0.06</v>
      </c>
      <c r="S85" s="185">
        <v>0.06</v>
      </c>
      <c r="T85" s="185">
        <v>0.06</v>
      </c>
      <c r="U85" s="185">
        <v>0.06</v>
      </c>
      <c r="V85" s="5"/>
      <c r="W85" s="5"/>
      <c r="X85" s="5"/>
      <c r="Y85" s="5"/>
      <c r="Z85" s="5"/>
    </row>
    <row r="86" spans="1:26" ht="12" customHeight="1" x14ac:dyDescent="0.3">
      <c r="A86" s="23" t="s">
        <v>49</v>
      </c>
      <c r="B86" s="189">
        <f t="shared" ref="B86:K86" si="68">SUM(B81:B85)</f>
        <v>11888.1</v>
      </c>
      <c r="C86" s="189">
        <f t="shared" si="68"/>
        <v>11775.2</v>
      </c>
      <c r="D86" s="189">
        <f t="shared" si="68"/>
        <v>12481.599999999999</v>
      </c>
      <c r="E86" s="189">
        <f t="shared" si="68"/>
        <v>15052.699999999999</v>
      </c>
      <c r="F86" s="189">
        <f t="shared" si="68"/>
        <v>17138.199999999997</v>
      </c>
      <c r="G86" s="190">
        <f t="shared" si="68"/>
        <v>17945.692999999999</v>
      </c>
      <c r="H86" s="190">
        <f t="shared" si="68"/>
        <v>18985.038860000001</v>
      </c>
      <c r="I86" s="190">
        <f t="shared" si="68"/>
        <v>20103.362488999999</v>
      </c>
      <c r="J86" s="190">
        <f t="shared" si="68"/>
        <v>21323.279103806002</v>
      </c>
      <c r="K86" s="190">
        <f t="shared" si="68"/>
        <v>22584.829059797543</v>
      </c>
      <c r="L86" s="5"/>
      <c r="M86" s="5"/>
      <c r="Q86" s="144"/>
      <c r="R86" s="144"/>
      <c r="S86" s="144"/>
      <c r="T86" s="144"/>
      <c r="U86" s="144"/>
      <c r="V86" s="5"/>
      <c r="W86" s="5"/>
      <c r="X86" s="5"/>
      <c r="Y86" s="5"/>
      <c r="Z86" s="5"/>
    </row>
    <row r="87" spans="1:26" ht="12" customHeight="1" x14ac:dyDescent="0.3">
      <c r="A87" s="5"/>
      <c r="B87" s="25"/>
      <c r="C87" s="25"/>
      <c r="D87" s="25"/>
      <c r="E87" s="25"/>
      <c r="F87" s="25"/>
      <c r="G87" s="169"/>
      <c r="H87" s="175"/>
      <c r="I87" s="169"/>
      <c r="J87" s="152"/>
      <c r="K87" s="152"/>
      <c r="L87" s="5"/>
      <c r="M87" s="5"/>
      <c r="V87" s="5"/>
      <c r="W87" s="5"/>
      <c r="X87" s="5"/>
      <c r="Y87" s="5"/>
      <c r="Z87" s="5"/>
    </row>
    <row r="88" spans="1:26" ht="12" customHeight="1" x14ac:dyDescent="0.3">
      <c r="A88" s="21" t="s">
        <v>50</v>
      </c>
      <c r="B88" s="25">
        <v>9196.4</v>
      </c>
      <c r="C88" s="25">
        <v>13817.9</v>
      </c>
      <c r="D88" s="25">
        <v>16586.599999999999</v>
      </c>
      <c r="E88" s="25">
        <v>15346.4</v>
      </c>
      <c r="F88" s="25">
        <v>14737.5</v>
      </c>
      <c r="G88" s="169">
        <f>F88*(1+Q88)</f>
        <v>15179.625</v>
      </c>
      <c r="H88" s="169">
        <f t="shared" ref="H88:K88" si="69">G88*(1+R88)</f>
        <v>15635.01375</v>
      </c>
      <c r="I88" s="169">
        <f t="shared" si="69"/>
        <v>16104.064162500001</v>
      </c>
      <c r="J88" s="169">
        <f t="shared" si="69"/>
        <v>16587.186087375001</v>
      </c>
      <c r="K88" s="169">
        <f t="shared" si="69"/>
        <v>17084.80166999625</v>
      </c>
      <c r="L88" s="5"/>
      <c r="M88" s="5"/>
      <c r="N88" s="144">
        <f t="shared" si="63"/>
        <v>0.20037053387273018</v>
      </c>
      <c r="O88" s="144">
        <f t="shared" si="64"/>
        <v>-7.4771200848878006E-2</v>
      </c>
      <c r="P88" s="144">
        <f t="shared" si="65"/>
        <v>-3.9677057811604022E-2</v>
      </c>
      <c r="Q88" s="185">
        <v>0.03</v>
      </c>
      <c r="R88" s="185">
        <v>0.03</v>
      </c>
      <c r="S88" s="185">
        <v>0.03</v>
      </c>
      <c r="T88" s="185">
        <v>0.03</v>
      </c>
      <c r="U88" s="185">
        <v>0.03</v>
      </c>
      <c r="V88" s="5"/>
      <c r="W88" s="5"/>
      <c r="X88" s="5"/>
      <c r="Y88" s="5"/>
      <c r="Z88" s="5"/>
    </row>
    <row r="89" spans="1:26" ht="12" customHeight="1" x14ac:dyDescent="0.3">
      <c r="A89" s="21" t="s">
        <v>51</v>
      </c>
      <c r="B89" s="25">
        <f>-B90+11914.8</f>
        <v>10602.099999999999</v>
      </c>
      <c r="C89" s="25">
        <f>-C90+10993.9</f>
        <v>8806.4</v>
      </c>
      <c r="D89" s="25">
        <f>-D90+11739.7</f>
        <v>9639.8000000000011</v>
      </c>
      <c r="E89" s="25">
        <f>-E90+9252.1</f>
        <v>7518.4000000000005</v>
      </c>
      <c r="F89" s="25">
        <f>-F90+6838.7</f>
        <v>6751.4</v>
      </c>
      <c r="G89" s="169">
        <f>F89*(1+Q89)</f>
        <v>6818.9139999999998</v>
      </c>
      <c r="H89" s="169">
        <f t="shared" ref="H89:K89" si="70">G89*(1+R89)</f>
        <v>6887.1031400000002</v>
      </c>
      <c r="I89" s="169">
        <f t="shared" si="70"/>
        <v>6955.9741714000002</v>
      </c>
      <c r="J89" s="169">
        <f t="shared" si="70"/>
        <v>7025.5339131139999</v>
      </c>
      <c r="K89" s="169">
        <f t="shared" si="70"/>
        <v>7095.7892522451402</v>
      </c>
      <c r="L89" s="5"/>
      <c r="M89" s="5"/>
      <c r="N89" s="144">
        <f t="shared" si="63"/>
        <v>9.4635719476744429E-2</v>
      </c>
      <c r="O89" s="144">
        <f t="shared" si="64"/>
        <v>-0.22006680636527731</v>
      </c>
      <c r="P89" s="144">
        <f t="shared" si="65"/>
        <v>-0.1020163864652055</v>
      </c>
      <c r="Q89" s="185">
        <v>0.01</v>
      </c>
      <c r="R89" s="185">
        <v>0.01</v>
      </c>
      <c r="S89" s="185">
        <v>0.01</v>
      </c>
      <c r="T89" s="185">
        <v>0.01</v>
      </c>
      <c r="U89" s="185">
        <v>0.01</v>
      </c>
      <c r="V89" s="5"/>
      <c r="W89" s="5"/>
      <c r="X89" s="5"/>
      <c r="Y89" s="5"/>
      <c r="Z89" s="5"/>
    </row>
    <row r="90" spans="1:26" ht="12" customHeight="1" x14ac:dyDescent="0.45">
      <c r="A90" s="21" t="s">
        <v>249</v>
      </c>
      <c r="B90" s="180">
        <v>1312.7</v>
      </c>
      <c r="C90" s="180">
        <v>2187.5</v>
      </c>
      <c r="D90" s="180">
        <v>2099.9</v>
      </c>
      <c r="E90" s="180">
        <v>1733.7</v>
      </c>
      <c r="F90" s="180">
        <v>87.3</v>
      </c>
      <c r="G90" s="181">
        <f>F90*(1+Q90)</f>
        <v>91.665000000000006</v>
      </c>
      <c r="H90" s="181">
        <f t="shared" ref="H90:K90" si="71">G90*(1+R90)</f>
        <v>96.248250000000013</v>
      </c>
      <c r="I90" s="181">
        <f t="shared" si="71"/>
        <v>101.06066250000002</v>
      </c>
      <c r="J90" s="181">
        <f t="shared" si="71"/>
        <v>106.11369562500002</v>
      </c>
      <c r="K90" s="181">
        <f t="shared" si="71"/>
        <v>111.41938040625003</v>
      </c>
      <c r="L90" s="5"/>
      <c r="M90" s="5"/>
      <c r="N90" s="144">
        <f t="shared" si="63"/>
        <v>-4.004571428571424E-2</v>
      </c>
      <c r="O90" s="144">
        <f t="shared" si="64"/>
        <v>-0.17438925663126814</v>
      </c>
      <c r="P90" s="144">
        <f t="shared" si="65"/>
        <v>-0.94964526734729193</v>
      </c>
      <c r="Q90" s="185">
        <v>0.05</v>
      </c>
      <c r="R90" s="185">
        <v>0.05</v>
      </c>
      <c r="S90" s="185">
        <v>0.05</v>
      </c>
      <c r="T90" s="185">
        <v>0.05</v>
      </c>
      <c r="U90" s="185">
        <v>0.05</v>
      </c>
      <c r="V90" s="5"/>
      <c r="W90" s="5"/>
      <c r="X90" s="5"/>
      <c r="Y90" s="5"/>
      <c r="Z90" s="5"/>
    </row>
    <row r="91" spans="1:26" ht="12" customHeight="1" x14ac:dyDescent="0.3">
      <c r="A91" s="23" t="s">
        <v>52</v>
      </c>
      <c r="B91" s="32">
        <f t="shared" ref="B91:K91" si="72">SUM(B88:B90)</f>
        <v>21111.200000000001</v>
      </c>
      <c r="C91" s="32">
        <f t="shared" si="72"/>
        <v>24811.8</v>
      </c>
      <c r="D91" s="32">
        <f t="shared" si="72"/>
        <v>28326.300000000003</v>
      </c>
      <c r="E91" s="32">
        <f t="shared" si="72"/>
        <v>24598.5</v>
      </c>
      <c r="F91" s="32">
        <f t="shared" si="72"/>
        <v>21576.2</v>
      </c>
      <c r="G91" s="174">
        <f t="shared" si="72"/>
        <v>22090.204000000002</v>
      </c>
      <c r="H91" s="174">
        <f t="shared" si="72"/>
        <v>22618.365140000002</v>
      </c>
      <c r="I91" s="174">
        <f t="shared" si="72"/>
        <v>23161.0989964</v>
      </c>
      <c r="J91" s="174">
        <f t="shared" si="72"/>
        <v>23718.833696114001</v>
      </c>
      <c r="K91" s="174">
        <f t="shared" si="72"/>
        <v>24292.010302647639</v>
      </c>
      <c r="L91" s="5"/>
      <c r="M91" s="5"/>
      <c r="N91" s="144">
        <f t="shared" si="63"/>
        <v>0.14164631344763401</v>
      </c>
      <c r="O91" s="144">
        <f t="shared" si="64"/>
        <v>-0.13160208004575258</v>
      </c>
      <c r="P91" s="144">
        <f t="shared" si="65"/>
        <v>-0.12286521535866002</v>
      </c>
      <c r="Q91" s="185">
        <v>0.01</v>
      </c>
      <c r="R91" s="185">
        <v>0.01</v>
      </c>
      <c r="S91" s="185">
        <v>0.01</v>
      </c>
      <c r="T91" s="185">
        <v>0.01</v>
      </c>
      <c r="U91" s="185">
        <v>0.01</v>
      </c>
      <c r="V91" s="5"/>
      <c r="W91" s="5"/>
      <c r="X91" s="5"/>
      <c r="Y91" s="5"/>
      <c r="Z91" s="5"/>
    </row>
    <row r="92" spans="1:26" ht="12.75" customHeight="1" x14ac:dyDescent="0.3">
      <c r="A92" s="18"/>
      <c r="B92" s="208"/>
      <c r="C92" s="208"/>
      <c r="D92" s="208"/>
      <c r="E92" s="208"/>
      <c r="F92" s="208"/>
      <c r="G92" s="209"/>
      <c r="H92" s="210"/>
      <c r="I92" s="209"/>
      <c r="J92" s="211"/>
      <c r="K92" s="211"/>
      <c r="L92" s="29"/>
      <c r="M92" s="29"/>
      <c r="V92" s="29"/>
      <c r="W92" s="29"/>
      <c r="X92" s="29"/>
      <c r="Y92" s="29"/>
      <c r="Z92" s="29"/>
    </row>
    <row r="93" spans="1:26" ht="12" customHeight="1" thickBot="1" x14ac:dyDescent="0.35">
      <c r="A93" s="23" t="s">
        <v>53</v>
      </c>
      <c r="B93" s="212">
        <f t="shared" ref="B93:K93" si="73">B86+B91</f>
        <v>32999.300000000003</v>
      </c>
      <c r="C93" s="212">
        <f t="shared" si="73"/>
        <v>36587</v>
      </c>
      <c r="D93" s="212">
        <f t="shared" si="73"/>
        <v>40807.9</v>
      </c>
      <c r="E93" s="212">
        <f t="shared" si="73"/>
        <v>39651.199999999997</v>
      </c>
      <c r="F93" s="212">
        <f t="shared" si="73"/>
        <v>38714.399999999994</v>
      </c>
      <c r="G93" s="213">
        <f t="shared" si="73"/>
        <v>40035.896999999997</v>
      </c>
      <c r="H93" s="213">
        <f t="shared" si="73"/>
        <v>41603.404000000002</v>
      </c>
      <c r="I93" s="213">
        <f t="shared" si="73"/>
        <v>43264.461485399996</v>
      </c>
      <c r="J93" s="213">
        <f t="shared" si="73"/>
        <v>45042.112799920003</v>
      </c>
      <c r="K93" s="213">
        <f t="shared" si="73"/>
        <v>46876.839362445186</v>
      </c>
      <c r="L93" s="5"/>
      <c r="M93" s="5"/>
      <c r="V93" s="5"/>
      <c r="W93" s="5"/>
      <c r="X93" s="5"/>
      <c r="Y93" s="5"/>
      <c r="Z93" s="5"/>
    </row>
    <row r="94" spans="1:26" ht="15.75" customHeight="1" thickTop="1" x14ac:dyDescent="0.3">
      <c r="A94" s="18"/>
      <c r="B94" s="25"/>
      <c r="C94" s="25"/>
      <c r="D94" s="25"/>
      <c r="E94" s="25"/>
      <c r="F94" s="25"/>
      <c r="G94" s="169"/>
      <c r="H94" s="178"/>
      <c r="I94" s="169"/>
      <c r="J94" s="152"/>
      <c r="K94" s="152"/>
      <c r="L94" s="5"/>
      <c r="M94" s="5"/>
      <c r="V94" s="5"/>
      <c r="W94" s="5"/>
      <c r="X94" s="5"/>
      <c r="Y94" s="5"/>
      <c r="Z94" s="5"/>
    </row>
    <row r="95" spans="1:26" ht="12.75" customHeight="1" x14ac:dyDescent="0.3">
      <c r="A95" s="18" t="s">
        <v>54</v>
      </c>
      <c r="B95" s="25"/>
      <c r="C95" s="25"/>
      <c r="D95" s="25"/>
      <c r="E95" s="25"/>
      <c r="F95" s="25"/>
      <c r="G95" s="169"/>
      <c r="H95" s="179"/>
      <c r="I95" s="169"/>
      <c r="J95" s="152"/>
      <c r="K95" s="152"/>
      <c r="L95" s="5"/>
      <c r="M95" s="5"/>
      <c r="V95" s="5"/>
      <c r="W95" s="5"/>
      <c r="X95" s="5"/>
      <c r="Y95" s="5"/>
      <c r="Z95" s="5"/>
    </row>
    <row r="96" spans="1:26" ht="16.5" customHeight="1" x14ac:dyDescent="0.3">
      <c r="A96" s="21" t="s">
        <v>55</v>
      </c>
      <c r="B96" s="25">
        <v>661</v>
      </c>
      <c r="C96" s="25">
        <v>598.79999999999995</v>
      </c>
      <c r="D96" s="25">
        <v>598.20000000000005</v>
      </c>
      <c r="E96" s="25">
        <v>596.29999999999995</v>
      </c>
      <c r="F96" s="25">
        <v>594.1</v>
      </c>
      <c r="G96" s="169">
        <f>F96*(1-Q96)</f>
        <v>592.31770000000006</v>
      </c>
      <c r="H96" s="169">
        <f t="shared" ref="H96:K96" si="74">G96*(1+R96)</f>
        <v>594.09465309999996</v>
      </c>
      <c r="I96" s="169">
        <f t="shared" si="74"/>
        <v>595.87693705929985</v>
      </c>
      <c r="J96" s="169">
        <f t="shared" si="74"/>
        <v>597.66456787047764</v>
      </c>
      <c r="K96" s="169">
        <f t="shared" si="74"/>
        <v>599.45756157408903</v>
      </c>
      <c r="L96" s="5"/>
      <c r="M96" s="5"/>
      <c r="N96" s="214">
        <f t="shared" si="63"/>
        <v>-1.0020040080158665E-3</v>
      </c>
      <c r="O96" s="214">
        <f t="shared" si="64"/>
        <v>-3.1761952524240744E-3</v>
      </c>
      <c r="P96" s="214">
        <f t="shared" si="65"/>
        <v>-3.6894180781484875E-3</v>
      </c>
      <c r="Q96" s="185">
        <v>3.0000000000000001E-3</v>
      </c>
      <c r="R96" s="185">
        <v>3.0000000000000001E-3</v>
      </c>
      <c r="S96" s="185">
        <v>3.0000000000000001E-3</v>
      </c>
      <c r="T96" s="185">
        <v>3.0000000000000001E-3</v>
      </c>
      <c r="U96" s="185">
        <v>3.0000000000000001E-3</v>
      </c>
      <c r="V96" s="5"/>
      <c r="W96" s="5"/>
      <c r="X96" s="5"/>
      <c r="Y96" s="5"/>
      <c r="Z96" s="5"/>
    </row>
    <row r="97" spans="1:26" ht="12" customHeight="1" x14ac:dyDescent="0.3">
      <c r="A97" s="21" t="s">
        <v>56</v>
      </c>
      <c r="B97" s="25">
        <v>6583.6</v>
      </c>
      <c r="C97" s="25">
        <v>6685.3</v>
      </c>
      <c r="D97" s="25">
        <v>6778.5</v>
      </c>
      <c r="E97" s="25">
        <v>6833.4</v>
      </c>
      <c r="F97" s="25">
        <v>6921.4</v>
      </c>
      <c r="G97" s="169">
        <f>F97*(1+Q97)</f>
        <v>6990.6139999999996</v>
      </c>
      <c r="H97" s="169">
        <f t="shared" ref="H97:K97" si="75">G97*(1+R97)</f>
        <v>7060.5201399999996</v>
      </c>
      <c r="I97" s="169">
        <f t="shared" si="75"/>
        <v>7131.1253413999993</v>
      </c>
      <c r="J97" s="169">
        <f t="shared" si="75"/>
        <v>7202.4365948139994</v>
      </c>
      <c r="K97" s="169">
        <f t="shared" si="75"/>
        <v>7274.4609607621396</v>
      </c>
      <c r="L97" s="5"/>
      <c r="M97" s="5"/>
      <c r="N97" s="144">
        <f t="shared" si="63"/>
        <v>1.3941034807712471E-2</v>
      </c>
      <c r="O97" s="144">
        <f t="shared" si="64"/>
        <v>8.0991369772072108E-3</v>
      </c>
      <c r="P97" s="144">
        <f t="shared" si="65"/>
        <v>1.2877923142213143E-2</v>
      </c>
      <c r="Q97" s="185">
        <v>0.01</v>
      </c>
      <c r="R97" s="185">
        <v>0.01</v>
      </c>
      <c r="S97" s="185">
        <v>0.01</v>
      </c>
      <c r="T97" s="185">
        <v>0.01</v>
      </c>
      <c r="U97" s="185">
        <v>0.01</v>
      </c>
      <c r="V97" s="5"/>
      <c r="W97" s="5"/>
      <c r="X97" s="5"/>
      <c r="Y97" s="5"/>
      <c r="Z97" s="5"/>
    </row>
    <row r="98" spans="1:26" ht="12" customHeight="1" x14ac:dyDescent="0.3">
      <c r="A98" s="21" t="s">
        <v>250</v>
      </c>
      <c r="B98" s="25">
        <v>11395.9</v>
      </c>
      <c r="C98" s="25">
        <v>4920.3999999999996</v>
      </c>
      <c r="D98" s="25">
        <v>7830.2</v>
      </c>
      <c r="E98" s="25">
        <v>8958.5</v>
      </c>
      <c r="F98" s="25">
        <v>10042.6</v>
      </c>
      <c r="G98" s="169">
        <f>F98*(1+Q98)</f>
        <v>11348.137999999999</v>
      </c>
      <c r="H98" s="169">
        <f t="shared" ref="H98:K98" si="76">G98*(1+R98)</f>
        <v>12936.87732</v>
      </c>
      <c r="I98" s="169">
        <f t="shared" si="76"/>
        <v>14877.408917999999</v>
      </c>
      <c r="J98" s="169">
        <f t="shared" si="76"/>
        <v>17109.020255699998</v>
      </c>
      <c r="K98" s="169">
        <f t="shared" si="76"/>
        <v>19675.373294054996</v>
      </c>
      <c r="L98" s="5"/>
      <c r="M98" s="5"/>
      <c r="N98" s="144">
        <f t="shared" si="63"/>
        <v>0.5913746849849606</v>
      </c>
      <c r="O98" s="144">
        <f t="shared" si="64"/>
        <v>0.14409593624683925</v>
      </c>
      <c r="P98" s="144">
        <f t="shared" si="65"/>
        <v>0.12101356253837148</v>
      </c>
      <c r="Q98" s="185">
        <v>0.13</v>
      </c>
      <c r="R98" s="185">
        <v>0.14000000000000001</v>
      </c>
      <c r="S98" s="185">
        <v>0.15</v>
      </c>
      <c r="T98" s="185">
        <v>0.15</v>
      </c>
      <c r="U98" s="185">
        <v>0.15</v>
      </c>
      <c r="V98" s="5"/>
      <c r="W98" s="5"/>
      <c r="X98" s="5"/>
      <c r="Y98" s="5"/>
      <c r="Z98" s="5"/>
    </row>
    <row r="99" spans="1:26" ht="12" customHeight="1" x14ac:dyDescent="0.3">
      <c r="A99" s="21" t="s">
        <v>251</v>
      </c>
      <c r="B99" s="25">
        <f>-8742.4+1080.4</f>
        <v>-7662</v>
      </c>
      <c r="C99" s="25">
        <f>-9536.8+92.2</f>
        <v>-9444.5999999999985</v>
      </c>
      <c r="D99" s="25">
        <f>-9509.6+183.6</f>
        <v>-9326</v>
      </c>
      <c r="E99" s="25">
        <f>-7356.3+175.6</f>
        <v>-7180.7</v>
      </c>
      <c r="F99" s="25">
        <f>-6857.8+125.6</f>
        <v>-6732.2</v>
      </c>
      <c r="G99" s="169">
        <f>F99*(1+Q99)</f>
        <v>-6395.5899999999992</v>
      </c>
      <c r="H99" s="169">
        <f t="shared" ref="H99:K99" si="77">G99*(1+R99)</f>
        <v>-6139.7663999999986</v>
      </c>
      <c r="I99" s="169">
        <f t="shared" si="77"/>
        <v>-5894.1757439999983</v>
      </c>
      <c r="J99" s="169">
        <f t="shared" si="77"/>
        <v>-5658.4087142399985</v>
      </c>
      <c r="K99" s="169">
        <f t="shared" si="77"/>
        <v>-5432.0723656703985</v>
      </c>
      <c r="L99" s="5"/>
      <c r="M99" s="5"/>
      <c r="N99" s="144">
        <f t="shared" si="63"/>
        <v>-1.2557440230396066E-2</v>
      </c>
      <c r="O99" s="144">
        <f t="shared" si="64"/>
        <v>-0.23003431267424412</v>
      </c>
      <c r="P99" s="144">
        <f t="shared" si="65"/>
        <v>-6.2459091732003813E-2</v>
      </c>
      <c r="Q99" s="185">
        <v>-0.05</v>
      </c>
      <c r="R99" s="185">
        <v>-0.04</v>
      </c>
      <c r="S99" s="185">
        <v>-0.04</v>
      </c>
      <c r="T99" s="185">
        <v>-0.04</v>
      </c>
      <c r="U99" s="185">
        <v>-0.04</v>
      </c>
      <c r="V99" s="5"/>
      <c r="W99" s="5"/>
      <c r="X99" s="5"/>
      <c r="Y99" s="5"/>
      <c r="Z99" s="5"/>
    </row>
    <row r="100" spans="1:26" ht="12" customHeight="1" x14ac:dyDescent="0.45">
      <c r="A100" s="21" t="s">
        <v>57</v>
      </c>
      <c r="B100" s="180">
        <v>-69.400000000000006</v>
      </c>
      <c r="C100" s="180">
        <v>-60.8</v>
      </c>
      <c r="D100" s="180">
        <v>-55.7</v>
      </c>
      <c r="E100" s="180">
        <v>-52.7</v>
      </c>
      <c r="F100" s="180">
        <v>-50.5</v>
      </c>
      <c r="G100" s="181">
        <f>F100*(1+Q100)</f>
        <v>-48.48</v>
      </c>
      <c r="H100" s="181">
        <f t="shared" ref="H100:K100" si="78">G100*(1+R100)</f>
        <v>-46.540799999999997</v>
      </c>
      <c r="I100" s="181">
        <f t="shared" si="78"/>
        <v>-44.679167999999997</v>
      </c>
      <c r="J100" s="181">
        <f t="shared" si="78"/>
        <v>-42.892001279999995</v>
      </c>
      <c r="K100" s="181">
        <f t="shared" si="78"/>
        <v>-41.176321228799992</v>
      </c>
      <c r="L100" s="5"/>
      <c r="M100" s="5"/>
      <c r="N100" s="144">
        <f t="shared" si="63"/>
        <v>-8.3881578947368363E-2</v>
      </c>
      <c r="O100" s="144">
        <f t="shared" si="64"/>
        <v>-5.3859964093357249E-2</v>
      </c>
      <c r="P100" s="144">
        <f t="shared" si="65"/>
        <v>-4.1745730550284632E-2</v>
      </c>
      <c r="Q100" s="185">
        <v>-0.04</v>
      </c>
      <c r="R100" s="185">
        <v>-0.04</v>
      </c>
      <c r="S100" s="185">
        <v>-0.04</v>
      </c>
      <c r="T100" s="185">
        <v>-0.04</v>
      </c>
      <c r="U100" s="185">
        <v>-0.04</v>
      </c>
      <c r="V100" s="5"/>
      <c r="W100" s="5"/>
      <c r="X100" s="5"/>
      <c r="Y100" s="5"/>
      <c r="Z100" s="5"/>
    </row>
    <row r="101" spans="1:26" ht="12" customHeight="1" x14ac:dyDescent="0.3">
      <c r="A101" s="18" t="s">
        <v>54</v>
      </c>
      <c r="B101" s="32">
        <f>SUM(B96:B100)</f>
        <v>10909.1</v>
      </c>
      <c r="C101" s="32">
        <f t="shared" ref="C101:K101" si="79">SUM(C96:C100)</f>
        <v>2699.1000000000013</v>
      </c>
      <c r="D101" s="32">
        <f t="shared" si="79"/>
        <v>5825.2</v>
      </c>
      <c r="E101" s="32">
        <f t="shared" si="79"/>
        <v>9154.7999999999993</v>
      </c>
      <c r="F101" s="32">
        <f t="shared" si="79"/>
        <v>10775.399999999998</v>
      </c>
      <c r="G101" s="174">
        <f t="shared" si="79"/>
        <v>12486.9997</v>
      </c>
      <c r="H101" s="174">
        <f t="shared" si="79"/>
        <v>14405.184913100002</v>
      </c>
      <c r="I101" s="174">
        <f t="shared" si="79"/>
        <v>16665.556284459304</v>
      </c>
      <c r="J101" s="174">
        <f t="shared" si="79"/>
        <v>19207.820702864476</v>
      </c>
      <c r="K101" s="174">
        <f t="shared" si="79"/>
        <v>22076.043129492027</v>
      </c>
      <c r="L101" s="5"/>
      <c r="M101" s="5"/>
      <c r="V101" s="5"/>
      <c r="W101" s="5"/>
      <c r="X101" s="5"/>
      <c r="Y101" s="5"/>
      <c r="Z101" s="5"/>
    </row>
    <row r="102" spans="1:26" ht="12" customHeight="1" x14ac:dyDescent="0.3">
      <c r="A102" s="18"/>
      <c r="B102" s="30"/>
      <c r="C102" s="25"/>
      <c r="D102" s="25"/>
      <c r="E102" s="25"/>
      <c r="F102" s="25"/>
      <c r="G102" s="169"/>
      <c r="H102" s="175"/>
      <c r="I102" s="169"/>
      <c r="J102" s="152"/>
      <c r="K102" s="152"/>
      <c r="L102" s="5"/>
      <c r="M102" s="5"/>
      <c r="V102" s="5"/>
      <c r="W102" s="5"/>
      <c r="X102" s="5"/>
      <c r="Y102" s="5"/>
      <c r="Z102" s="5"/>
    </row>
    <row r="103" spans="1:26" ht="12.75" customHeight="1" x14ac:dyDescent="0.3">
      <c r="A103" s="18" t="s">
        <v>58</v>
      </c>
      <c r="B103" s="33">
        <f>B93+B101</f>
        <v>43908.4</v>
      </c>
      <c r="C103" s="33">
        <f t="shared" ref="C103:K103" si="80">C93+C101</f>
        <v>39286.1</v>
      </c>
      <c r="D103" s="33">
        <f t="shared" si="80"/>
        <v>46633.1</v>
      </c>
      <c r="E103" s="33">
        <f t="shared" si="80"/>
        <v>48806</v>
      </c>
      <c r="F103" s="33">
        <f t="shared" si="80"/>
        <v>49489.799999999988</v>
      </c>
      <c r="G103" s="33">
        <f t="shared" si="80"/>
        <v>52522.896699999998</v>
      </c>
      <c r="H103" s="33">
        <f t="shared" si="80"/>
        <v>56008.5889131</v>
      </c>
      <c r="I103" s="33">
        <f t="shared" si="80"/>
        <v>59930.017769859303</v>
      </c>
      <c r="J103" s="33">
        <f t="shared" si="80"/>
        <v>64249.933502784479</v>
      </c>
      <c r="K103" s="33">
        <f t="shared" si="80"/>
        <v>68952.882491937213</v>
      </c>
      <c r="L103" s="5"/>
      <c r="M103" s="5"/>
      <c r="V103" s="5"/>
      <c r="W103" s="5"/>
      <c r="X103" s="5"/>
      <c r="Y103" s="5"/>
      <c r="Z103" s="5"/>
    </row>
    <row r="104" spans="1:26" s="236" customFormat="1" ht="12.75" customHeight="1" x14ac:dyDescent="0.3">
      <c r="A104" s="215" t="s">
        <v>259</v>
      </c>
      <c r="B104" s="216">
        <f>B77-B103</f>
        <v>0</v>
      </c>
      <c r="C104" s="216">
        <f t="shared" ref="C104:K104" si="81">C77-C103</f>
        <v>0</v>
      </c>
      <c r="D104" s="216">
        <f t="shared" si="81"/>
        <v>0</v>
      </c>
      <c r="E104" s="216">
        <f t="shared" si="81"/>
        <v>0</v>
      </c>
      <c r="F104" s="216">
        <f t="shared" si="81"/>
        <v>0</v>
      </c>
      <c r="G104" s="216">
        <f t="shared" si="81"/>
        <v>2.7283000000024913</v>
      </c>
      <c r="H104" s="216">
        <f t="shared" si="81"/>
        <v>24.502516900007322</v>
      </c>
      <c r="I104" s="216">
        <f t="shared" si="81"/>
        <v>-7.5684479593037395</v>
      </c>
      <c r="J104" s="216">
        <f t="shared" si="81"/>
        <v>-5.7439386654659756</v>
      </c>
      <c r="K104" s="216">
        <f t="shared" si="81"/>
        <v>-7.1671789232059382</v>
      </c>
      <c r="L104" s="234"/>
      <c r="M104" s="234"/>
      <c r="N104" s="234"/>
      <c r="O104" s="234"/>
      <c r="P104" s="234"/>
      <c r="Q104" s="234"/>
      <c r="R104" s="234"/>
      <c r="S104" s="234"/>
      <c r="T104" s="234"/>
      <c r="U104" s="235"/>
      <c r="V104" s="234"/>
      <c r="W104" s="234"/>
      <c r="X104" s="234"/>
      <c r="Y104" s="234"/>
      <c r="Z104" s="234"/>
    </row>
    <row r="105" spans="1:26" ht="12" customHeight="1" x14ac:dyDescent="0.3">
      <c r="A105" s="18"/>
      <c r="B105" s="32"/>
      <c r="C105" s="32"/>
      <c r="D105" s="32"/>
      <c r="E105" s="32"/>
      <c r="F105" s="32"/>
      <c r="G105" s="31"/>
      <c r="H105" s="32"/>
      <c r="I105" s="3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3">
      <c r="A106" s="18"/>
      <c r="B106" s="32"/>
      <c r="C106" s="32"/>
      <c r="D106" s="32"/>
      <c r="E106" s="32"/>
      <c r="F106" s="32"/>
      <c r="G106" s="31"/>
      <c r="H106" s="32"/>
      <c r="I106" s="3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1" t="s">
        <v>246</v>
      </c>
      <c r="B107" s="2"/>
      <c r="C107" s="2"/>
      <c r="D107" s="2"/>
      <c r="E107" s="3"/>
      <c r="F107" s="3"/>
      <c r="G107" s="139"/>
      <c r="H107" s="153"/>
      <c r="I107" s="139"/>
      <c r="J107" s="139"/>
      <c r="K107" s="140"/>
      <c r="L107" s="5"/>
      <c r="M107" s="274" t="s">
        <v>129</v>
      </c>
      <c r="N107" s="275"/>
      <c r="O107" s="275"/>
      <c r="P107" s="276"/>
      <c r="Q107" s="274" t="s">
        <v>257</v>
      </c>
      <c r="R107" s="275"/>
      <c r="S107" s="275"/>
      <c r="T107" s="275"/>
      <c r="U107" s="276"/>
      <c r="V107" s="5"/>
      <c r="W107" s="5"/>
      <c r="X107" s="5"/>
      <c r="Y107" s="5"/>
      <c r="Z107" s="5"/>
    </row>
    <row r="108" spans="1:26" ht="12.75" customHeight="1" x14ac:dyDescent="0.3">
      <c r="A108" s="6" t="s">
        <v>59</v>
      </c>
      <c r="B108" s="7"/>
      <c r="C108" s="7"/>
      <c r="D108" s="7"/>
      <c r="E108" s="8"/>
      <c r="F108" s="8"/>
      <c r="G108" s="141"/>
      <c r="H108" s="155"/>
      <c r="I108" s="141"/>
      <c r="J108" s="141"/>
      <c r="K108" s="142"/>
      <c r="L108" s="5"/>
      <c r="M108" s="277"/>
      <c r="N108" s="278"/>
      <c r="O108" s="278"/>
      <c r="P108" s="279"/>
      <c r="Q108" s="277"/>
      <c r="R108" s="278"/>
      <c r="S108" s="278"/>
      <c r="T108" s="278"/>
      <c r="U108" s="279"/>
      <c r="V108" s="5"/>
      <c r="W108" s="5"/>
      <c r="X108" s="5"/>
      <c r="Y108" s="5"/>
      <c r="Z108" s="5"/>
    </row>
    <row r="109" spans="1:26" ht="12.75" customHeight="1" x14ac:dyDescent="0.3">
      <c r="A109" s="35"/>
      <c r="B109" s="18"/>
      <c r="C109" s="18"/>
      <c r="D109" s="18"/>
      <c r="E109" s="5"/>
      <c r="F109" s="5"/>
      <c r="G109" s="5"/>
      <c r="H109" s="18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3">
      <c r="A110" s="18" t="s">
        <v>9</v>
      </c>
      <c r="B110" s="36"/>
      <c r="C110" s="19">
        <v>43830</v>
      </c>
      <c r="D110" s="19">
        <v>44196</v>
      </c>
      <c r="E110" s="19">
        <v>44561</v>
      </c>
      <c r="F110" s="19">
        <v>44926</v>
      </c>
      <c r="G110" s="156">
        <v>45291</v>
      </c>
      <c r="H110" s="156">
        <v>45657</v>
      </c>
      <c r="I110" s="156">
        <v>46022</v>
      </c>
      <c r="J110" s="156">
        <v>46387</v>
      </c>
      <c r="K110" s="156">
        <v>46752</v>
      </c>
      <c r="L110" s="5"/>
      <c r="M110" s="19">
        <v>43830</v>
      </c>
      <c r="N110" s="19">
        <v>44196</v>
      </c>
      <c r="O110" s="19">
        <v>44561</v>
      </c>
      <c r="P110" s="19">
        <v>44926</v>
      </c>
      <c r="Q110" s="19">
        <v>45291</v>
      </c>
      <c r="R110" s="19">
        <v>45657</v>
      </c>
      <c r="S110" s="19">
        <v>46022</v>
      </c>
      <c r="T110" s="19">
        <v>46387</v>
      </c>
      <c r="U110" s="19">
        <v>46752</v>
      </c>
      <c r="V110" s="5"/>
      <c r="W110" s="5"/>
      <c r="X110" s="5"/>
      <c r="Y110" s="5"/>
      <c r="Z110" s="5"/>
    </row>
    <row r="111" spans="1:26" ht="12" customHeight="1" x14ac:dyDescent="0.3">
      <c r="A111" s="5" t="s">
        <v>10</v>
      </c>
      <c r="B111" s="36"/>
      <c r="C111" s="20" t="s">
        <v>11</v>
      </c>
      <c r="D111" s="20" t="s">
        <v>11</v>
      </c>
      <c r="E111" s="20" t="s">
        <v>11</v>
      </c>
      <c r="F111" s="20" t="s">
        <v>11</v>
      </c>
      <c r="G111" s="157" t="s">
        <v>12</v>
      </c>
      <c r="H111" s="157" t="s">
        <v>12</v>
      </c>
      <c r="I111" s="157" t="s">
        <v>12</v>
      </c>
      <c r="J111" s="157" t="s">
        <v>12</v>
      </c>
      <c r="K111" s="157" t="s">
        <v>12</v>
      </c>
      <c r="L111" s="5"/>
      <c r="M111" s="20" t="s">
        <v>11</v>
      </c>
      <c r="N111" s="20" t="s">
        <v>11</v>
      </c>
      <c r="O111" s="20" t="s">
        <v>11</v>
      </c>
      <c r="P111" s="20" t="s">
        <v>11</v>
      </c>
      <c r="Q111" s="20" t="s">
        <v>12</v>
      </c>
      <c r="R111" s="20" t="s">
        <v>12</v>
      </c>
      <c r="S111" s="20" t="s">
        <v>12</v>
      </c>
      <c r="T111" s="20" t="s">
        <v>12</v>
      </c>
      <c r="U111" s="20" t="s">
        <v>12</v>
      </c>
      <c r="V111" s="5"/>
      <c r="W111" s="5"/>
      <c r="X111" s="5"/>
      <c r="Y111" s="5"/>
      <c r="Z111" s="5"/>
    </row>
    <row r="112" spans="1:26" ht="12" customHeight="1" x14ac:dyDescent="0.3">
      <c r="A112" s="18"/>
      <c r="B112" s="32"/>
      <c r="C112" s="32"/>
      <c r="D112" s="32"/>
      <c r="E112" s="32"/>
      <c r="F112" s="32"/>
      <c r="G112" s="173"/>
      <c r="H112" s="174"/>
      <c r="I112" s="174"/>
      <c r="J112" s="152"/>
      <c r="K112" s="152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3">
      <c r="A113" s="18" t="s">
        <v>60</v>
      </c>
      <c r="B113" s="32"/>
      <c r="C113" s="32"/>
      <c r="D113" s="32"/>
      <c r="E113" s="32"/>
      <c r="F113" s="32"/>
      <c r="G113" s="173"/>
      <c r="H113" s="174"/>
      <c r="I113" s="174"/>
      <c r="J113" s="152"/>
      <c r="K113" s="152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8.25" customHeight="1" x14ac:dyDescent="0.3">
      <c r="A114" s="18"/>
      <c r="B114" s="32"/>
      <c r="C114" s="32"/>
      <c r="D114" s="32"/>
      <c r="E114" s="32"/>
      <c r="F114" s="32"/>
      <c r="G114" s="173"/>
      <c r="H114" s="174"/>
      <c r="I114" s="174"/>
      <c r="J114" s="152"/>
      <c r="K114" s="152"/>
      <c r="L114" s="5"/>
      <c r="N114" s="145"/>
      <c r="O114" s="145"/>
      <c r="P114" s="145"/>
      <c r="Q114" s="167"/>
      <c r="R114" s="167"/>
      <c r="S114" s="167"/>
      <c r="T114" s="167"/>
      <c r="U114" s="167"/>
      <c r="V114" s="5"/>
      <c r="W114" s="5"/>
      <c r="X114" s="5"/>
      <c r="Y114" s="5"/>
      <c r="Z114" s="5"/>
    </row>
    <row r="115" spans="1:26" ht="12" customHeight="1" x14ac:dyDescent="0.3">
      <c r="A115" s="21" t="s">
        <v>61</v>
      </c>
      <c r="B115" s="32"/>
      <c r="C115" s="31">
        <v>8318.4</v>
      </c>
      <c r="D115" s="31">
        <v>6193.7</v>
      </c>
      <c r="E115" s="31">
        <v>5581.7</v>
      </c>
      <c r="F115" s="31">
        <v>6244.8</v>
      </c>
      <c r="G115" s="173">
        <f>G39</f>
        <v>8202.3716248880046</v>
      </c>
      <c r="H115" s="173">
        <f>H39</f>
        <v>10400.315240407683</v>
      </c>
      <c r="I115" s="173">
        <f>I39</f>
        <v>13052.751147804478</v>
      </c>
      <c r="J115" s="173">
        <f>J39</f>
        <v>16359.440351968962</v>
      </c>
      <c r="K115" s="173">
        <f>K39</f>
        <v>20040.104566890826</v>
      </c>
      <c r="L115" s="5"/>
      <c r="N115" s="214">
        <f t="shared" ref="N115:N119" si="82">(D115/C115)-1</f>
        <v>-0.25542171571456052</v>
      </c>
      <c r="O115" s="214">
        <f t="shared" ref="O115:O119" si="83">(E115/D115)-1</f>
        <v>-9.8810081211553658E-2</v>
      </c>
      <c r="P115" s="214">
        <f t="shared" ref="P115:P119" si="84">(F115/E115)-1</f>
        <v>0.11879893222494942</v>
      </c>
      <c r="Q115" s="219">
        <f t="shared" ref="Q115:Q116" si="85">(G115/F115)-1</f>
        <v>0.31347226890981372</v>
      </c>
      <c r="R115" s="219">
        <f t="shared" ref="R115:R116" si="86">(H115/G115)-1</f>
        <v>0.26796440298444635</v>
      </c>
      <c r="S115" s="219">
        <f t="shared" ref="S115:S116" si="87">(I115/H115)-1</f>
        <v>0.25503418368430353</v>
      </c>
      <c r="T115" s="219">
        <f t="shared" ref="T115:T116" si="88">(J115/I115)-1</f>
        <v>0.25333273933753664</v>
      </c>
      <c r="U115" s="219">
        <f t="shared" ref="U115:U116" si="89">(K115/J115)-1</f>
        <v>0.22498717167172977</v>
      </c>
      <c r="V115" s="5"/>
      <c r="W115" s="5"/>
      <c r="X115" s="5"/>
      <c r="Y115" s="5"/>
      <c r="Z115" s="5"/>
    </row>
    <row r="116" spans="1:26" ht="12" customHeight="1" x14ac:dyDescent="0.3">
      <c r="A116" s="21" t="s">
        <v>62</v>
      </c>
      <c r="B116" s="32"/>
      <c r="C116" s="25">
        <v>1232.5999999999999</v>
      </c>
      <c r="D116" s="25">
        <v>1323.9</v>
      </c>
      <c r="E116" s="25">
        <v>1547.6</v>
      </c>
      <c r="F116" s="25">
        <v>1522.5</v>
      </c>
      <c r="G116" s="169">
        <f>(F116/F70)*G70</f>
        <v>1636.6874999999998</v>
      </c>
      <c r="H116" s="169">
        <f>(G116/G70)*H70</f>
        <v>1767.6225000000002</v>
      </c>
      <c r="I116" s="169">
        <f>(H116/H70)*I70</f>
        <v>1917.8704124999999</v>
      </c>
      <c r="J116" s="169">
        <f>(I116/I70)*J70</f>
        <v>2090.4787496250001</v>
      </c>
      <c r="K116" s="169">
        <f>(J116/J70)*K70</f>
        <v>2278.6218370912507</v>
      </c>
      <c r="L116" s="5"/>
      <c r="M116" s="5"/>
      <c r="N116" s="144">
        <f t="shared" si="82"/>
        <v>7.4071069284439517E-2</v>
      </c>
      <c r="O116" s="144">
        <f t="shared" si="83"/>
        <v>0.16897046604728438</v>
      </c>
      <c r="P116" s="144">
        <f t="shared" si="84"/>
        <v>-1.6218661152752611E-2</v>
      </c>
      <c r="Q116" s="225">
        <f t="shared" si="85"/>
        <v>7.4999999999999956E-2</v>
      </c>
      <c r="R116" s="225">
        <f t="shared" si="86"/>
        <v>8.0000000000000293E-2</v>
      </c>
      <c r="S116" s="225">
        <f t="shared" si="87"/>
        <v>8.4999999999999964E-2</v>
      </c>
      <c r="T116" s="225">
        <f t="shared" si="88"/>
        <v>9.000000000000008E-2</v>
      </c>
      <c r="U116" s="225">
        <f t="shared" si="89"/>
        <v>9.0000000000000302E-2</v>
      </c>
      <c r="V116" s="5"/>
      <c r="W116" s="5"/>
      <c r="X116" s="5"/>
      <c r="Y116" s="5"/>
      <c r="Z116" s="5"/>
    </row>
    <row r="117" spans="1:26" ht="12" customHeight="1" x14ac:dyDescent="0.3">
      <c r="A117" s="222" t="s">
        <v>63</v>
      </c>
      <c r="B117" s="223"/>
      <c r="C117" s="224">
        <v>312.39999999999998</v>
      </c>
      <c r="D117" s="224">
        <v>308.10000000000002</v>
      </c>
      <c r="E117" s="224">
        <v>342.8</v>
      </c>
      <c r="F117" s="224">
        <v>371.1</v>
      </c>
      <c r="G117" s="220">
        <f>F117*(1+Q117)</f>
        <v>404.49900000000008</v>
      </c>
      <c r="H117" s="220">
        <f t="shared" ref="H117:K117" si="90">G117*(1+R117)</f>
        <v>444.94890000000015</v>
      </c>
      <c r="I117" s="220">
        <f t="shared" si="90"/>
        <v>489.44379000000021</v>
      </c>
      <c r="J117" s="220">
        <f t="shared" si="90"/>
        <v>538.38816900000029</v>
      </c>
      <c r="K117" s="220">
        <f t="shared" si="90"/>
        <v>592.22698590000039</v>
      </c>
      <c r="L117" s="5"/>
      <c r="M117" s="5"/>
      <c r="N117" s="144">
        <f t="shared" si="82"/>
        <v>-1.3764404609474923E-2</v>
      </c>
      <c r="O117" s="144">
        <f t="shared" si="83"/>
        <v>0.11262577085361891</v>
      </c>
      <c r="P117" s="144">
        <f t="shared" si="84"/>
        <v>8.2555425904317525E-2</v>
      </c>
      <c r="Q117" s="185">
        <v>0.09</v>
      </c>
      <c r="R117" s="185">
        <v>0.1</v>
      </c>
      <c r="S117" s="185">
        <v>0.1</v>
      </c>
      <c r="T117" s="185">
        <v>0.1</v>
      </c>
      <c r="U117" s="185">
        <v>0.1</v>
      </c>
      <c r="V117" s="5"/>
      <c r="W117" s="5"/>
      <c r="X117" s="5"/>
      <c r="Y117" s="5"/>
      <c r="Z117" s="5"/>
    </row>
    <row r="118" spans="1:26" ht="13" x14ac:dyDescent="0.3">
      <c r="A118" s="227" t="s">
        <v>252</v>
      </c>
      <c r="B118" s="223"/>
      <c r="C118" s="224">
        <f>-3850.8-C117</f>
        <v>-4163.2</v>
      </c>
      <c r="D118" s="224">
        <f>-405.7-D117</f>
        <v>-713.8</v>
      </c>
      <c r="E118" s="224">
        <f>2309.7-E117</f>
        <v>1966.8999999999999</v>
      </c>
      <c r="F118" s="224">
        <f>-1115.3-F117</f>
        <v>-1486.4</v>
      </c>
      <c r="G118" s="226">
        <f>-1115.3*(1+Q118)-G117</f>
        <v>-1575.5640000000001</v>
      </c>
      <c r="H118" s="226">
        <f>G118*(1+R118)-H117</f>
        <v>-2099.2911000000004</v>
      </c>
      <c r="I118" s="226">
        <f t="shared" ref="I118:K118" si="91">H118*(1+S118)-I117</f>
        <v>-2693.6994450000007</v>
      </c>
      <c r="J118" s="226">
        <f t="shared" si="91"/>
        <v>-3366.772586250001</v>
      </c>
      <c r="K118" s="226">
        <f t="shared" si="91"/>
        <v>-4127.3382014625022</v>
      </c>
      <c r="L118" s="5"/>
      <c r="M118" s="5"/>
      <c r="N118" s="144">
        <f t="shared" si="82"/>
        <v>-0.82854534973097616</v>
      </c>
      <c r="O118" s="144">
        <f t="shared" si="83"/>
        <v>-3.7555337629588119</v>
      </c>
      <c r="P118" s="144">
        <f t="shared" si="84"/>
        <v>-1.7557069500228786</v>
      </c>
      <c r="Q118" s="185">
        <v>0.05</v>
      </c>
      <c r="R118" s="185">
        <v>0.05</v>
      </c>
      <c r="S118" s="185">
        <v>0.05</v>
      </c>
      <c r="T118" s="185">
        <v>0.05</v>
      </c>
      <c r="U118" s="185">
        <v>0.05</v>
      </c>
      <c r="V118" s="5"/>
      <c r="W118" s="5"/>
      <c r="X118" s="5"/>
      <c r="Y118" s="5"/>
      <c r="Z118" s="5"/>
    </row>
    <row r="119" spans="1:26" ht="12" customHeight="1" x14ac:dyDescent="0.3">
      <c r="A119" s="222" t="s">
        <v>64</v>
      </c>
      <c r="B119" s="223"/>
      <c r="C119" s="224">
        <v>-863.6</v>
      </c>
      <c r="D119" s="224">
        <v>-612.29999999999995</v>
      </c>
      <c r="E119" s="224">
        <v>-2178.3000000000002</v>
      </c>
      <c r="F119" s="224">
        <v>432.4</v>
      </c>
      <c r="G119" s="221">
        <f>F119*(1+Q119)</f>
        <v>454.02</v>
      </c>
      <c r="H119" s="221">
        <f t="shared" ref="H119:K119" si="92">G119*(1+R119)</f>
        <v>476.721</v>
      </c>
      <c r="I119" s="221">
        <f t="shared" si="92"/>
        <v>500.55705</v>
      </c>
      <c r="J119" s="221">
        <f t="shared" si="92"/>
        <v>525.5849025</v>
      </c>
      <c r="K119" s="221">
        <f t="shared" si="92"/>
        <v>551.86414762499999</v>
      </c>
      <c r="L119" s="5"/>
      <c r="M119" s="5"/>
      <c r="N119" s="144">
        <f t="shared" si="82"/>
        <v>-0.29099119962945819</v>
      </c>
      <c r="O119" s="144">
        <f t="shared" si="83"/>
        <v>2.5575698187163161</v>
      </c>
      <c r="P119" s="144">
        <f t="shared" si="84"/>
        <v>-1.1985034200982416</v>
      </c>
      <c r="Q119" s="185">
        <v>0.05</v>
      </c>
      <c r="R119" s="185">
        <v>0.05</v>
      </c>
      <c r="S119" s="185">
        <v>0.05</v>
      </c>
      <c r="T119" s="185">
        <v>0.05</v>
      </c>
      <c r="U119" s="185">
        <v>0.05</v>
      </c>
      <c r="V119" s="5"/>
      <c r="W119" s="5"/>
      <c r="X119" s="5"/>
      <c r="Y119" s="5"/>
      <c r="Z119" s="5"/>
    </row>
    <row r="120" spans="1:26" ht="14.25" customHeight="1" thickBot="1" x14ac:dyDescent="0.35">
      <c r="A120" s="231" t="s">
        <v>65</v>
      </c>
      <c r="B120" s="232"/>
      <c r="C120" s="233">
        <f t="shared" ref="C120:F120" si="93">SUM(C115:C119)</f>
        <v>4836.5999999999995</v>
      </c>
      <c r="D120" s="233">
        <f t="shared" si="93"/>
        <v>6499.6</v>
      </c>
      <c r="E120" s="233">
        <f t="shared" si="93"/>
        <v>7260.7</v>
      </c>
      <c r="F120" s="233">
        <f t="shared" si="93"/>
        <v>7084.4</v>
      </c>
      <c r="G120" s="233">
        <f t="shared" ref="G120" si="94">SUM(G115:G119)</f>
        <v>9122.0141248880045</v>
      </c>
      <c r="H120" s="233">
        <f t="shared" ref="H120" si="95">SUM(H115:H119)</f>
        <v>10990.316540407681</v>
      </c>
      <c r="I120" s="233">
        <f t="shared" ref="I120" si="96">SUM(I115:I119)</f>
        <v>13266.922955304477</v>
      </c>
      <c r="J120" s="233">
        <f t="shared" ref="J120" si="97">SUM(J115:J119)</f>
        <v>16147.119586843963</v>
      </c>
      <c r="K120" s="233">
        <f t="shared" ref="K120" si="98">SUM(K115:K119)</f>
        <v>19335.479336044576</v>
      </c>
      <c r="L120" s="5"/>
      <c r="M120" s="5"/>
      <c r="V120" s="5"/>
      <c r="W120" s="5"/>
      <c r="X120" s="5"/>
      <c r="Y120" s="5"/>
      <c r="Z120" s="5"/>
    </row>
    <row r="121" spans="1:26" ht="12" customHeight="1" thickTop="1" x14ac:dyDescent="0.3">
      <c r="A121" s="18"/>
      <c r="B121" s="32"/>
      <c r="C121" s="25"/>
      <c r="D121" s="25"/>
      <c r="E121" s="25"/>
      <c r="F121" s="25"/>
      <c r="G121" s="169"/>
      <c r="H121" s="174"/>
      <c r="I121" s="174"/>
      <c r="J121" s="152"/>
      <c r="K121" s="152"/>
      <c r="L121" s="5"/>
      <c r="M121" s="5"/>
      <c r="V121" s="5"/>
      <c r="W121" s="5"/>
      <c r="X121" s="5"/>
      <c r="Y121" s="5"/>
      <c r="Z121" s="5"/>
    </row>
    <row r="122" spans="1:26" ht="12" customHeight="1" x14ac:dyDescent="0.3">
      <c r="A122" s="18" t="s">
        <v>66</v>
      </c>
      <c r="B122" s="32"/>
      <c r="C122" s="25"/>
      <c r="D122" s="25"/>
      <c r="E122" s="25"/>
      <c r="F122" s="25"/>
      <c r="G122" s="169"/>
      <c r="H122" s="174"/>
      <c r="I122" s="174"/>
      <c r="J122" s="152"/>
      <c r="K122" s="152"/>
      <c r="L122" s="5"/>
      <c r="M122" s="5"/>
      <c r="V122" s="5"/>
      <c r="W122" s="5"/>
      <c r="X122" s="5"/>
      <c r="Y122" s="5"/>
      <c r="Z122" s="5"/>
    </row>
    <row r="123" spans="1:26" ht="6.75" customHeight="1" x14ac:dyDescent="0.3">
      <c r="A123" s="18"/>
      <c r="B123" s="32"/>
      <c r="C123" s="25"/>
      <c r="D123" s="25"/>
      <c r="E123" s="25"/>
      <c r="F123" s="25"/>
      <c r="G123" s="169"/>
      <c r="H123" s="174"/>
      <c r="I123" s="174"/>
      <c r="J123" s="152"/>
      <c r="K123" s="152"/>
      <c r="L123" s="5"/>
      <c r="M123" s="5"/>
      <c r="V123" s="5"/>
      <c r="W123" s="5"/>
      <c r="X123" s="5"/>
      <c r="Y123" s="5"/>
      <c r="Z123" s="5"/>
    </row>
    <row r="124" spans="1:26" s="217" customFormat="1" ht="12" customHeight="1" x14ac:dyDescent="0.3">
      <c r="A124" s="222" t="s">
        <v>67</v>
      </c>
      <c r="B124" s="223"/>
      <c r="C124" s="224">
        <v>-7237.3</v>
      </c>
      <c r="D124" s="224">
        <v>-1490.5</v>
      </c>
      <c r="E124" s="224">
        <v>-1310.8</v>
      </c>
      <c r="F124" s="224">
        <v>-956.9</v>
      </c>
      <c r="G124" s="239">
        <f>F124*(1-Q124)</f>
        <v>-698.53699999999992</v>
      </c>
      <c r="H124" s="239">
        <f t="shared" ref="H124:K124" si="99">G124*(1-R124)</f>
        <v>-509.93200999999993</v>
      </c>
      <c r="I124" s="239">
        <f t="shared" si="99"/>
        <v>-372.25036729999994</v>
      </c>
      <c r="J124" s="239">
        <f t="shared" si="99"/>
        <v>-271.74276812899996</v>
      </c>
      <c r="K124" s="239">
        <f t="shared" si="99"/>
        <v>-198.37222073416996</v>
      </c>
      <c r="L124" s="16"/>
      <c r="M124" s="16"/>
      <c r="N124" s="144">
        <f t="shared" ref="N124:N141" si="100">(D124/C124)-1</f>
        <v>-0.79405303082641321</v>
      </c>
      <c r="O124" s="144">
        <f t="shared" ref="O124:O141" si="101">(E124/D124)-1</f>
        <v>-0.12056356927205636</v>
      </c>
      <c r="P124" s="144">
        <f t="shared" ref="P124:P141" si="102">(F124/E124)-1</f>
        <v>-0.26998779371376258</v>
      </c>
      <c r="Q124" s="185">
        <v>0.27</v>
      </c>
      <c r="R124" s="185">
        <v>0.27</v>
      </c>
      <c r="S124" s="185">
        <v>0.27</v>
      </c>
      <c r="T124" s="185">
        <v>0.27</v>
      </c>
      <c r="U124" s="185">
        <v>0.27</v>
      </c>
      <c r="V124" s="16"/>
      <c r="W124" s="16"/>
      <c r="X124" s="16"/>
      <c r="Y124" s="16"/>
      <c r="Z124" s="16"/>
    </row>
    <row r="125" spans="1:26" s="217" customFormat="1" ht="12" customHeight="1" x14ac:dyDescent="0.3">
      <c r="A125" s="222" t="s">
        <v>253</v>
      </c>
      <c r="B125" s="223"/>
      <c r="C125" s="224">
        <v>362.3</v>
      </c>
      <c r="D125" s="224">
        <v>398.4</v>
      </c>
      <c r="E125" s="224">
        <v>-129.9</v>
      </c>
      <c r="F125" s="224">
        <v>-258</v>
      </c>
      <c r="G125" s="239">
        <f>F125*(1-Q125)</f>
        <v>-90.3</v>
      </c>
      <c r="H125" s="239">
        <f t="shared" ref="H125:K125" si="103">G125*(1-R125)</f>
        <v>-31.604999999999997</v>
      </c>
      <c r="I125" s="239">
        <f t="shared" si="103"/>
        <v>-11.061749999999998</v>
      </c>
      <c r="J125" s="239">
        <f t="shared" si="103"/>
        <v>-3.871612499999999</v>
      </c>
      <c r="K125" s="239">
        <f t="shared" si="103"/>
        <v>-1.3550643749999995</v>
      </c>
      <c r="L125" s="16"/>
      <c r="M125" s="16"/>
      <c r="N125" s="144">
        <f t="shared" si="100"/>
        <v>9.9641181341429741E-2</v>
      </c>
      <c r="O125" s="144">
        <f t="shared" si="101"/>
        <v>-1.3260542168674698</v>
      </c>
      <c r="P125" s="144">
        <f t="shared" si="102"/>
        <v>0.98614318706697457</v>
      </c>
      <c r="Q125" s="185">
        <v>0.65</v>
      </c>
      <c r="R125" s="185">
        <v>0.65</v>
      </c>
      <c r="S125" s="185">
        <v>0.65</v>
      </c>
      <c r="T125" s="185">
        <v>0.65</v>
      </c>
      <c r="U125" s="185">
        <v>0.65</v>
      </c>
      <c r="V125" s="16"/>
      <c r="W125" s="16"/>
      <c r="X125" s="16"/>
      <c r="Y125" s="16"/>
      <c r="Z125" s="16"/>
    </row>
    <row r="126" spans="1:26" s="217" customFormat="1" ht="12" customHeight="1" x14ac:dyDescent="0.3">
      <c r="A126" s="222" t="s">
        <v>254</v>
      </c>
      <c r="B126" s="223"/>
      <c r="C126" s="224">
        <v>-1033.9000000000001</v>
      </c>
      <c r="D126" s="224">
        <v>-1387.9</v>
      </c>
      <c r="E126" s="224">
        <v>-1309.8</v>
      </c>
      <c r="F126" s="224">
        <v>-1854.3</v>
      </c>
      <c r="G126" s="239">
        <f>F126*(1+Q126)</f>
        <v>-1984.1010000000001</v>
      </c>
      <c r="H126" s="239">
        <f t="shared" ref="H126:K126" si="104">G126*(1+R126)</f>
        <v>-2142.8290800000004</v>
      </c>
      <c r="I126" s="239">
        <f t="shared" si="104"/>
        <v>-2335.6836972000006</v>
      </c>
      <c r="J126" s="239">
        <f t="shared" si="104"/>
        <v>-2569.2520669200007</v>
      </c>
      <c r="K126" s="239">
        <f t="shared" si="104"/>
        <v>-2826.177273612001</v>
      </c>
      <c r="L126" s="16"/>
      <c r="M126" s="16"/>
      <c r="N126" s="144">
        <f t="shared" si="100"/>
        <v>0.34239288132314538</v>
      </c>
      <c r="O126" s="144">
        <f t="shared" si="101"/>
        <v>-5.6272065710786134E-2</v>
      </c>
      <c r="P126" s="144">
        <f t="shared" si="102"/>
        <v>0.41571232249198342</v>
      </c>
      <c r="Q126" s="185">
        <v>7.0000000000000007E-2</v>
      </c>
      <c r="R126" s="185">
        <v>0.08</v>
      </c>
      <c r="S126" s="185">
        <v>0.09</v>
      </c>
      <c r="T126" s="185">
        <v>0.1</v>
      </c>
      <c r="U126" s="185">
        <v>0.1</v>
      </c>
      <c r="V126" s="16"/>
      <c r="W126" s="16"/>
      <c r="X126" s="16"/>
      <c r="Y126" s="16"/>
      <c r="Z126" s="16"/>
    </row>
    <row r="127" spans="1:26" s="217" customFormat="1" ht="12" customHeight="1" x14ac:dyDescent="0.3">
      <c r="A127" s="222" t="s">
        <v>68</v>
      </c>
      <c r="B127" s="223"/>
      <c r="C127" s="224">
        <v>0</v>
      </c>
      <c r="D127" s="224">
        <v>0</v>
      </c>
      <c r="E127" s="224">
        <v>0</v>
      </c>
      <c r="F127" s="224">
        <v>0</v>
      </c>
      <c r="G127" s="239">
        <v>0</v>
      </c>
      <c r="H127" s="239">
        <v>0</v>
      </c>
      <c r="I127" s="239">
        <v>0</v>
      </c>
      <c r="J127" s="239">
        <v>0</v>
      </c>
      <c r="K127" s="239">
        <v>0</v>
      </c>
      <c r="L127" s="16"/>
      <c r="M127" s="16"/>
      <c r="N127" s="144">
        <v>0</v>
      </c>
      <c r="O127" s="144">
        <v>0</v>
      </c>
      <c r="P127" s="144">
        <v>0</v>
      </c>
      <c r="Q127" s="185">
        <v>0</v>
      </c>
      <c r="R127" s="185">
        <v>0</v>
      </c>
      <c r="S127" s="185">
        <v>0</v>
      </c>
      <c r="T127" s="185">
        <v>0</v>
      </c>
      <c r="U127" s="185">
        <v>0</v>
      </c>
      <c r="V127" s="16"/>
      <c r="W127" s="16"/>
      <c r="X127" s="16"/>
      <c r="Y127" s="16"/>
      <c r="Z127" s="16"/>
    </row>
    <row r="128" spans="1:26" s="217" customFormat="1" ht="12" customHeight="1" x14ac:dyDescent="0.3">
      <c r="A128" s="222" t="s">
        <v>255</v>
      </c>
      <c r="B128" s="223"/>
      <c r="C128" s="224">
        <v>354.8</v>
      </c>
      <c r="D128" s="224">
        <v>0</v>
      </c>
      <c r="E128" s="224">
        <v>0</v>
      </c>
      <c r="F128" s="224">
        <v>0</v>
      </c>
      <c r="G128" s="239">
        <v>0</v>
      </c>
      <c r="H128" s="239">
        <v>0</v>
      </c>
      <c r="I128" s="239">
        <v>0</v>
      </c>
      <c r="J128" s="239">
        <v>0</v>
      </c>
      <c r="K128" s="239">
        <v>0</v>
      </c>
      <c r="L128" s="16"/>
      <c r="M128" s="16"/>
      <c r="N128" s="144">
        <v>0</v>
      </c>
      <c r="O128" s="144">
        <v>0</v>
      </c>
      <c r="P128" s="144">
        <v>0</v>
      </c>
      <c r="Q128" s="185">
        <v>0</v>
      </c>
      <c r="R128" s="185">
        <v>0</v>
      </c>
      <c r="S128" s="185">
        <v>0</v>
      </c>
      <c r="T128" s="185">
        <v>0</v>
      </c>
      <c r="U128" s="185">
        <v>0</v>
      </c>
      <c r="V128" s="16"/>
      <c r="W128" s="16"/>
      <c r="X128" s="16"/>
      <c r="Y128" s="16"/>
      <c r="Z128" s="16"/>
    </row>
    <row r="129" spans="1:27" s="217" customFormat="1" ht="12" customHeight="1" x14ac:dyDescent="0.3">
      <c r="A129" s="222" t="s">
        <v>69</v>
      </c>
      <c r="B129" s="223"/>
      <c r="C129" s="224">
        <v>-528.79999999999995</v>
      </c>
      <c r="D129" s="224">
        <v>221.1</v>
      </c>
      <c r="E129" s="224">
        <v>-11.8</v>
      </c>
      <c r="F129" s="224">
        <v>-192.4</v>
      </c>
      <c r="G129" s="239">
        <f>F129*(1-Q129)</f>
        <v>5.7720000000000056</v>
      </c>
      <c r="H129" s="239">
        <f t="shared" ref="H129:K129" si="105">G129*(1+R129)</f>
        <v>11.717160000000012</v>
      </c>
      <c r="I129" s="239">
        <f t="shared" si="105"/>
        <v>23.785834800000028</v>
      </c>
      <c r="J129" s="239">
        <f t="shared" si="105"/>
        <v>48.285244644000066</v>
      </c>
      <c r="K129" s="239">
        <f t="shared" si="105"/>
        <v>98.019046627320151</v>
      </c>
      <c r="L129" s="16"/>
      <c r="M129" s="16"/>
      <c r="N129" s="144">
        <f t="shared" si="100"/>
        <v>-1.4181164901664145</v>
      </c>
      <c r="O129" s="144">
        <f t="shared" si="101"/>
        <v>-1.0533695160560832</v>
      </c>
      <c r="P129" s="144">
        <f t="shared" si="102"/>
        <v>15.305084745762713</v>
      </c>
      <c r="Q129" s="185">
        <v>1.03</v>
      </c>
      <c r="R129" s="185">
        <v>1.03</v>
      </c>
      <c r="S129" s="185">
        <v>1.03</v>
      </c>
      <c r="T129" s="185">
        <v>1.03</v>
      </c>
      <c r="U129" s="185">
        <v>1.03</v>
      </c>
      <c r="V129" s="16"/>
      <c r="W129" s="16"/>
      <c r="X129" s="16"/>
      <c r="Y129" s="16"/>
      <c r="Z129" s="16"/>
    </row>
    <row r="130" spans="1:27" ht="14.25" customHeight="1" thickBot="1" x14ac:dyDescent="0.35">
      <c r="A130" s="237" t="s">
        <v>70</v>
      </c>
      <c r="B130" s="238"/>
      <c r="C130" s="240">
        <f t="shared" ref="C130:K130" si="106">SUM(C124:C129)</f>
        <v>-8082.9</v>
      </c>
      <c r="D130" s="240">
        <f t="shared" si="106"/>
        <v>-2258.9</v>
      </c>
      <c r="E130" s="240">
        <f t="shared" si="106"/>
        <v>-2762.3</v>
      </c>
      <c r="F130" s="240">
        <f t="shared" si="106"/>
        <v>-3261.6</v>
      </c>
      <c r="G130" s="240">
        <f t="shared" si="106"/>
        <v>-2767.1660000000002</v>
      </c>
      <c r="H130" s="240">
        <f t="shared" si="106"/>
        <v>-2672.6489300000003</v>
      </c>
      <c r="I130" s="240">
        <f t="shared" si="106"/>
        <v>-2695.2099797000005</v>
      </c>
      <c r="J130" s="240">
        <f t="shared" si="106"/>
        <v>-2796.5812029050007</v>
      </c>
      <c r="K130" s="240">
        <f t="shared" si="106"/>
        <v>-2927.8855120938506</v>
      </c>
    </row>
    <row r="131" spans="1:27" ht="12" customHeight="1" thickTop="1" x14ac:dyDescent="0.3">
      <c r="A131" s="228"/>
      <c r="B131" s="223"/>
      <c r="C131" s="224"/>
      <c r="D131" s="224"/>
      <c r="E131" s="224"/>
      <c r="F131" s="224"/>
      <c r="G131" s="239"/>
      <c r="H131" s="241"/>
      <c r="I131" s="241"/>
      <c r="J131" s="242"/>
      <c r="K131" s="242"/>
    </row>
    <row r="132" spans="1:27" ht="12" customHeight="1" x14ac:dyDescent="0.3">
      <c r="A132" s="228" t="s">
        <v>71</v>
      </c>
      <c r="B132" s="223"/>
      <c r="C132" s="224"/>
      <c r="D132" s="224"/>
      <c r="E132" s="224"/>
      <c r="F132" s="164"/>
      <c r="G132" s="243"/>
      <c r="H132" s="241"/>
      <c r="I132" s="241"/>
      <c r="J132" s="242"/>
      <c r="K132" s="242"/>
    </row>
    <row r="133" spans="1:27" ht="6" customHeight="1" x14ac:dyDescent="0.3">
      <c r="A133" s="228"/>
      <c r="B133" s="223"/>
      <c r="C133" s="224"/>
      <c r="D133" s="224"/>
      <c r="E133" s="224"/>
      <c r="F133" s="224"/>
      <c r="G133" s="239"/>
      <c r="H133" s="241"/>
      <c r="I133" s="241"/>
      <c r="J133" s="242"/>
      <c r="K133" s="242"/>
    </row>
    <row r="134" spans="1:27" s="217" customFormat="1" ht="12" customHeight="1" x14ac:dyDescent="0.3">
      <c r="A134" s="222" t="s">
        <v>260</v>
      </c>
      <c r="B134" s="223"/>
      <c r="C134" s="224">
        <v>-2409.8000000000002</v>
      </c>
      <c r="D134" s="224">
        <v>-2687.1</v>
      </c>
      <c r="E134" s="224">
        <v>-3086.8</v>
      </c>
      <c r="F134" s="224">
        <v>-3535.8</v>
      </c>
      <c r="G134" s="239">
        <f>F134*(1+Q134)</f>
        <v>-3687.8393999999998</v>
      </c>
      <c r="H134" s="239">
        <f t="shared" ref="H134:K134" si="107">G134*(1+R134)</f>
        <v>-3864.8556911999999</v>
      </c>
      <c r="I134" s="239">
        <f t="shared" si="107"/>
        <v>-4058.0984757599999</v>
      </c>
      <c r="J134" s="239">
        <f t="shared" si="107"/>
        <v>-4261.0033995479998</v>
      </c>
      <c r="K134" s="239">
        <f t="shared" si="107"/>
        <v>-4474.0535695254002</v>
      </c>
      <c r="L134"/>
      <c r="M134"/>
      <c r="N134" s="144">
        <f t="shared" si="100"/>
        <v>0.11507179019005709</v>
      </c>
      <c r="O134" s="144">
        <f t="shared" si="101"/>
        <v>0.14874772059097174</v>
      </c>
      <c r="P134" s="144">
        <f t="shared" si="102"/>
        <v>0.14545807956459766</v>
      </c>
      <c r="Q134" s="185">
        <v>4.2999999999999997E-2</v>
      </c>
      <c r="R134" s="185">
        <v>4.8000000000000001E-2</v>
      </c>
      <c r="S134" s="185">
        <v>0.05</v>
      </c>
      <c r="T134" s="185">
        <v>0.05</v>
      </c>
      <c r="U134" s="185">
        <v>0.05</v>
      </c>
      <c r="V134"/>
      <c r="W134"/>
      <c r="X134"/>
      <c r="Y134"/>
      <c r="Z134"/>
      <c r="AA134"/>
    </row>
    <row r="135" spans="1:27" s="217" customFormat="1" ht="12" customHeight="1" x14ac:dyDescent="0.3">
      <c r="A135" s="222" t="s">
        <v>261</v>
      </c>
      <c r="B135" s="223"/>
      <c r="C135" s="224">
        <v>4685.3999999999996</v>
      </c>
      <c r="D135" s="224">
        <v>291.60000000000002</v>
      </c>
      <c r="E135" s="224">
        <v>501.4</v>
      </c>
      <c r="F135" s="224">
        <v>-62</v>
      </c>
      <c r="G135" s="239">
        <f>F135*(1-Q135)</f>
        <v>-58.9</v>
      </c>
      <c r="H135" s="239">
        <f t="shared" ref="H135:K135" si="108">G135*(1-R135)</f>
        <v>-55.954999999999998</v>
      </c>
      <c r="I135" s="239">
        <f t="shared" si="108"/>
        <v>-53.157249999999998</v>
      </c>
      <c r="J135" s="239">
        <f t="shared" si="108"/>
        <v>-50.499387499999997</v>
      </c>
      <c r="K135" s="239">
        <f t="shared" si="108"/>
        <v>-47.974418124999993</v>
      </c>
      <c r="L135"/>
      <c r="M135"/>
      <c r="N135" s="144">
        <f t="shared" si="100"/>
        <v>-0.93776411832500961</v>
      </c>
      <c r="O135" s="144">
        <f t="shared" si="101"/>
        <v>0.71947873799725626</v>
      </c>
      <c r="P135" s="144">
        <f t="shared" si="102"/>
        <v>-1.1236537694455524</v>
      </c>
      <c r="Q135" s="185">
        <v>0.05</v>
      </c>
      <c r="R135" s="185">
        <v>0.05</v>
      </c>
      <c r="S135" s="185">
        <v>0.05</v>
      </c>
      <c r="T135" s="185">
        <v>0.05</v>
      </c>
      <c r="U135" s="185">
        <v>0.05</v>
      </c>
      <c r="V135"/>
      <c r="W135"/>
      <c r="X135"/>
      <c r="Y135"/>
      <c r="Z135"/>
      <c r="AA135"/>
    </row>
    <row r="136" spans="1:27" s="217" customFormat="1" ht="12" customHeight="1" x14ac:dyDescent="0.3">
      <c r="A136" s="222" t="s">
        <v>72</v>
      </c>
      <c r="B136" s="223"/>
      <c r="C136" s="224">
        <v>-4400</v>
      </c>
      <c r="D136" s="224">
        <v>-500</v>
      </c>
      <c r="E136" s="224">
        <v>-1250</v>
      </c>
      <c r="F136" s="224">
        <v>-1500</v>
      </c>
      <c r="G136" s="239">
        <f>F136*(1-Q136)</f>
        <v>-1350</v>
      </c>
      <c r="H136" s="239">
        <f t="shared" ref="H136:K136" si="109">G136*(1+R136)</f>
        <v>-1485.0000000000002</v>
      </c>
      <c r="I136" s="239">
        <f t="shared" si="109"/>
        <v>-1633.5000000000005</v>
      </c>
      <c r="J136" s="239">
        <f t="shared" si="109"/>
        <v>-1796.8500000000006</v>
      </c>
      <c r="K136" s="239">
        <f t="shared" si="109"/>
        <v>-1976.5350000000008</v>
      </c>
      <c r="L136"/>
      <c r="M136"/>
      <c r="N136" s="144">
        <f t="shared" si="100"/>
        <v>-0.88636363636363635</v>
      </c>
      <c r="O136" s="144">
        <f t="shared" si="101"/>
        <v>1.5</v>
      </c>
      <c r="P136" s="144">
        <f t="shared" si="102"/>
        <v>0.19999999999999996</v>
      </c>
      <c r="Q136" s="185">
        <v>0.1</v>
      </c>
      <c r="R136" s="185">
        <v>0.1</v>
      </c>
      <c r="S136" s="185">
        <v>0.1</v>
      </c>
      <c r="T136" s="185">
        <v>0.1</v>
      </c>
      <c r="U136" s="185">
        <v>0.1</v>
      </c>
      <c r="V136"/>
      <c r="W136"/>
      <c r="X136"/>
      <c r="Y136"/>
      <c r="Z136"/>
      <c r="AA136"/>
    </row>
    <row r="137" spans="1:27" s="217" customFormat="1" ht="12" customHeight="1" x14ac:dyDescent="0.3">
      <c r="A137" s="222" t="s">
        <v>73</v>
      </c>
      <c r="B137" s="223"/>
      <c r="C137" s="224">
        <v>0</v>
      </c>
      <c r="D137" s="224">
        <v>0</v>
      </c>
      <c r="E137" s="224">
        <v>0</v>
      </c>
      <c r="F137" s="224">
        <v>0</v>
      </c>
      <c r="G137" s="239">
        <v>0</v>
      </c>
      <c r="H137" s="239">
        <v>0</v>
      </c>
      <c r="I137" s="239">
        <v>0</v>
      </c>
      <c r="J137" s="239">
        <v>0</v>
      </c>
      <c r="K137" s="239">
        <v>0</v>
      </c>
      <c r="L137"/>
      <c r="M137"/>
      <c r="N137" s="144">
        <v>0</v>
      </c>
      <c r="O137" s="144">
        <v>0</v>
      </c>
      <c r="P137" s="144">
        <v>0</v>
      </c>
      <c r="Q137" s="185">
        <v>0</v>
      </c>
      <c r="R137" s="185">
        <v>0</v>
      </c>
      <c r="S137" s="185">
        <v>0</v>
      </c>
      <c r="T137" s="185">
        <v>0</v>
      </c>
      <c r="U137" s="185">
        <v>0</v>
      </c>
      <c r="V137"/>
      <c r="W137"/>
      <c r="X137"/>
      <c r="Y137"/>
      <c r="Z137"/>
      <c r="AA137"/>
    </row>
    <row r="138" spans="1:27" s="217" customFormat="1" ht="12" customHeight="1" x14ac:dyDescent="0.3">
      <c r="A138" s="222" t="s">
        <v>262</v>
      </c>
      <c r="B138" s="223"/>
      <c r="C138" s="224">
        <v>-200.1</v>
      </c>
      <c r="D138" s="224">
        <v>-241.6</v>
      </c>
      <c r="E138" s="224">
        <v>-295.89999999999998</v>
      </c>
      <c r="F138" s="224">
        <v>-308.89999999999998</v>
      </c>
      <c r="G138" s="239">
        <f>F138*(1+-Q139)</f>
        <v>-305.81099999999998</v>
      </c>
      <c r="H138" s="239">
        <f t="shared" ref="H138:K138" si="110">G138*(1+-R139)</f>
        <v>-302.75288999999998</v>
      </c>
      <c r="I138" s="239">
        <f t="shared" si="110"/>
        <v>-299.72536109999999</v>
      </c>
      <c r="J138" s="239">
        <f t="shared" si="110"/>
        <v>-296.72810748899997</v>
      </c>
      <c r="K138" s="239">
        <f t="shared" si="110"/>
        <v>-293.76082641410994</v>
      </c>
      <c r="L138"/>
      <c r="M138"/>
      <c r="N138" s="144">
        <f t="shared" si="100"/>
        <v>0.20739630184907543</v>
      </c>
      <c r="O138" s="144">
        <f t="shared" si="101"/>
        <v>0.2247516556291389</v>
      </c>
      <c r="P138" s="144">
        <f t="shared" si="102"/>
        <v>4.3933761405880345E-2</v>
      </c>
      <c r="Q138" s="185">
        <v>0.1</v>
      </c>
      <c r="R138" s="185">
        <v>0.05</v>
      </c>
      <c r="S138" s="185">
        <v>0.05</v>
      </c>
      <c r="T138" s="185">
        <v>0.05</v>
      </c>
      <c r="U138" s="185">
        <v>0.05</v>
      </c>
      <c r="V138"/>
      <c r="W138"/>
      <c r="X138"/>
      <c r="Y138"/>
      <c r="Z138"/>
      <c r="AA138"/>
    </row>
    <row r="139" spans="1:27" ht="12" customHeight="1" thickBot="1" x14ac:dyDescent="0.35">
      <c r="A139" s="229" t="s">
        <v>74</v>
      </c>
      <c r="B139" s="230"/>
      <c r="C139" s="246">
        <f t="shared" ref="C139:K139" si="111">SUM(C134:C138)</f>
        <v>-2324.5000000000005</v>
      </c>
      <c r="D139" s="246">
        <f t="shared" si="111"/>
        <v>-3137.1</v>
      </c>
      <c r="E139" s="246">
        <f t="shared" si="111"/>
        <v>-4131.3</v>
      </c>
      <c r="F139" s="246">
        <f t="shared" si="111"/>
        <v>-5406.7</v>
      </c>
      <c r="G139" s="246">
        <f t="shared" si="111"/>
        <v>-5402.5504000000001</v>
      </c>
      <c r="H139" s="246">
        <f t="shared" si="111"/>
        <v>-5708.5635812</v>
      </c>
      <c r="I139" s="246">
        <f t="shared" si="111"/>
        <v>-6044.4810868599998</v>
      </c>
      <c r="J139" s="246">
        <f t="shared" si="111"/>
        <v>-6405.0808945369999</v>
      </c>
      <c r="K139" s="246">
        <f t="shared" si="111"/>
        <v>-6792.3238140645108</v>
      </c>
      <c r="N139" s="144">
        <f t="shared" si="100"/>
        <v>0.34958055495805529</v>
      </c>
      <c r="O139" s="144">
        <f t="shared" si="101"/>
        <v>0.31691689777182752</v>
      </c>
      <c r="P139" s="144">
        <f t="shared" si="102"/>
        <v>0.30871638467310514</v>
      </c>
      <c r="Q139" s="185">
        <v>0.01</v>
      </c>
      <c r="R139" s="185">
        <v>0.01</v>
      </c>
      <c r="S139" s="185">
        <v>0.01</v>
      </c>
      <c r="T139" s="185">
        <v>0.01</v>
      </c>
      <c r="U139" s="185">
        <v>0.01</v>
      </c>
    </row>
    <row r="140" spans="1:27" ht="12" customHeight="1" thickTop="1" x14ac:dyDescent="0.3">
      <c r="A140" s="228"/>
      <c r="B140" s="223"/>
      <c r="C140" s="224"/>
      <c r="D140" s="224"/>
      <c r="E140" s="224"/>
      <c r="F140" s="224"/>
      <c r="G140" s="239"/>
      <c r="H140" s="241"/>
      <c r="I140" s="241"/>
      <c r="J140" s="242"/>
      <c r="K140" s="242"/>
    </row>
    <row r="141" spans="1:27" s="217" customFormat="1" ht="12" customHeight="1" x14ac:dyDescent="0.3">
      <c r="A141" s="163" t="s">
        <v>75</v>
      </c>
      <c r="B141" s="223"/>
      <c r="C141" s="224">
        <v>-89.9</v>
      </c>
      <c r="D141" s="224">
        <v>216</v>
      </c>
      <c r="E141" s="224">
        <v>-205.7</v>
      </c>
      <c r="F141" s="224">
        <v>-167.6</v>
      </c>
      <c r="G141" s="239">
        <f>F141*(1-Q141)</f>
        <v>-175.98</v>
      </c>
      <c r="H141" s="239">
        <f t="shared" ref="H141:K141" si="112">G141*(1-R141)</f>
        <v>-184.779</v>
      </c>
      <c r="I141" s="239">
        <f t="shared" si="112"/>
        <v>-194.01795000000001</v>
      </c>
      <c r="J141" s="239">
        <f t="shared" si="112"/>
        <v>-203.71884750000001</v>
      </c>
      <c r="K141" s="239">
        <f t="shared" si="112"/>
        <v>-213.90478987500001</v>
      </c>
      <c r="L141" s="16"/>
      <c r="M141" s="16"/>
      <c r="N141" s="144">
        <f t="shared" si="100"/>
        <v>-3.4026696329254724</v>
      </c>
      <c r="O141" s="144">
        <f t="shared" si="101"/>
        <v>-1.9523148148148146</v>
      </c>
      <c r="P141" s="144">
        <f t="shared" si="102"/>
        <v>-0.18522119591638309</v>
      </c>
      <c r="Q141" s="185">
        <v>-0.05</v>
      </c>
      <c r="R141" s="185">
        <v>-0.05</v>
      </c>
      <c r="S141" s="185">
        <v>-0.05</v>
      </c>
      <c r="T141" s="185">
        <v>-0.05</v>
      </c>
      <c r="U141" s="185">
        <v>-0.05</v>
      </c>
      <c r="V141"/>
      <c r="W141"/>
      <c r="X141"/>
      <c r="Y141"/>
      <c r="Z141"/>
      <c r="AA141"/>
    </row>
    <row r="142" spans="1:27" ht="12" customHeight="1" x14ac:dyDescent="0.3">
      <c r="A142" s="228"/>
      <c r="B142" s="223"/>
      <c r="C142" s="223"/>
      <c r="D142" s="223"/>
      <c r="E142" s="223"/>
      <c r="F142" s="223"/>
      <c r="G142" s="241"/>
      <c r="H142" s="241"/>
      <c r="I142" s="241"/>
      <c r="J142" s="242"/>
      <c r="K142" s="242"/>
      <c r="L142" s="5"/>
      <c r="M142" s="5"/>
    </row>
    <row r="143" spans="1:27" ht="20.25" customHeight="1" thickBot="1" x14ac:dyDescent="0.35">
      <c r="A143" s="163" t="s">
        <v>76</v>
      </c>
      <c r="B143" s="223"/>
      <c r="C143" s="268">
        <f t="shared" ref="C143:K143" si="113">C120+C130+C139+C141</f>
        <v>-5660.7000000000007</v>
      </c>
      <c r="D143" s="268">
        <f t="shared" si="113"/>
        <v>1319.6000000000008</v>
      </c>
      <c r="E143" s="268">
        <f t="shared" si="113"/>
        <v>161.39999999999947</v>
      </c>
      <c r="F143" s="268">
        <f t="shared" si="113"/>
        <v>-1751.5</v>
      </c>
      <c r="G143" s="269">
        <f t="shared" si="113"/>
        <v>776.31772488800425</v>
      </c>
      <c r="H143" s="269">
        <f t="shared" si="113"/>
        <v>2424.3250292076796</v>
      </c>
      <c r="I143" s="269">
        <f t="shared" si="113"/>
        <v>4333.2139387444759</v>
      </c>
      <c r="J143" s="269">
        <f t="shared" si="113"/>
        <v>6741.7386419019613</v>
      </c>
      <c r="K143" s="269">
        <f t="shared" si="113"/>
        <v>9401.3652200112156</v>
      </c>
      <c r="L143" s="5"/>
      <c r="M143" s="5"/>
    </row>
    <row r="144" spans="1:27" ht="19.5" customHeight="1" thickTop="1" x14ac:dyDescent="0.3">
      <c r="A144" s="163" t="s">
        <v>77</v>
      </c>
      <c r="B144" s="223"/>
      <c r="C144" s="244">
        <f t="shared" ref="C144:K144" si="114">B53</f>
        <v>7320.7</v>
      </c>
      <c r="D144" s="244">
        <f t="shared" si="114"/>
        <v>2337.5</v>
      </c>
      <c r="E144" s="244">
        <f t="shared" si="114"/>
        <v>3657.1</v>
      </c>
      <c r="F144" s="244">
        <f t="shared" si="114"/>
        <v>3818.5</v>
      </c>
      <c r="G144" s="245">
        <f t="shared" si="114"/>
        <v>2067</v>
      </c>
      <c r="H144" s="245">
        <f t="shared" si="114"/>
        <v>2294.3700000000003</v>
      </c>
      <c r="I144" s="245">
        <f t="shared" si="114"/>
        <v>2569.6944000000008</v>
      </c>
      <c r="J144" s="245">
        <f t="shared" si="114"/>
        <v>2878.0577280000011</v>
      </c>
      <c r="K144" s="245">
        <f t="shared" si="114"/>
        <v>3223.4246553600015</v>
      </c>
      <c r="L144" s="5"/>
      <c r="M144" s="5"/>
    </row>
    <row r="145" spans="1:26" ht="15" customHeight="1" thickBot="1" x14ac:dyDescent="0.35">
      <c r="A145" s="228" t="s">
        <v>78</v>
      </c>
      <c r="B145" s="223"/>
      <c r="C145" s="268">
        <f t="shared" ref="C145:K145" si="115">SUM(C143:C144)</f>
        <v>1659.9999999999991</v>
      </c>
      <c r="D145" s="268">
        <f t="shared" si="115"/>
        <v>3657.1000000000008</v>
      </c>
      <c r="E145" s="268">
        <f t="shared" si="115"/>
        <v>3818.4999999999995</v>
      </c>
      <c r="F145" s="268">
        <f t="shared" si="115"/>
        <v>2067</v>
      </c>
      <c r="G145" s="269">
        <f t="shared" si="115"/>
        <v>2843.3177248880042</v>
      </c>
      <c r="H145" s="269">
        <f t="shared" si="115"/>
        <v>4718.6950292076799</v>
      </c>
      <c r="I145" s="269">
        <f t="shared" si="115"/>
        <v>6902.9083387444771</v>
      </c>
      <c r="J145" s="269">
        <f t="shared" si="115"/>
        <v>9619.796369901962</v>
      </c>
      <c r="K145" s="269">
        <f t="shared" si="115"/>
        <v>12624.789875371218</v>
      </c>
      <c r="L145" s="5"/>
      <c r="M145" s="5"/>
      <c r="V145" s="5"/>
      <c r="W145" s="5"/>
      <c r="X145" s="5"/>
      <c r="Y145" s="5"/>
      <c r="Z145" s="5"/>
    </row>
    <row r="146" spans="1:26" ht="12" customHeight="1" thickTop="1" x14ac:dyDescent="0.3">
      <c r="A146" s="18"/>
      <c r="B146" s="32"/>
      <c r="C146" s="32"/>
      <c r="D146" s="32"/>
      <c r="E146" s="32"/>
      <c r="F146" s="32"/>
      <c r="G146" s="31"/>
      <c r="H146" s="31"/>
      <c r="I146" s="31"/>
      <c r="J146" s="31"/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1" t="s">
        <v>246</v>
      </c>
      <c r="B147" s="2"/>
      <c r="C147" s="2"/>
      <c r="D147" s="2"/>
      <c r="E147" s="3"/>
      <c r="F147" s="3"/>
      <c r="G147" s="139"/>
      <c r="H147" s="153"/>
      <c r="I147" s="139"/>
      <c r="J147" s="139"/>
      <c r="K147" s="140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6" t="s">
        <v>79</v>
      </c>
      <c r="B148" s="7"/>
      <c r="C148" s="7"/>
      <c r="D148" s="7"/>
      <c r="E148" s="8"/>
      <c r="F148" s="8"/>
      <c r="G148" s="141"/>
      <c r="H148" s="155"/>
      <c r="I148" s="141"/>
      <c r="J148" s="141"/>
      <c r="K148" s="142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" customHeight="1" x14ac:dyDescent="0.3">
      <c r="A150" s="5"/>
      <c r="B150" s="5"/>
      <c r="C150" s="19">
        <v>43830</v>
      </c>
      <c r="D150" s="19">
        <v>44196</v>
      </c>
      <c r="E150" s="19">
        <v>44561</v>
      </c>
      <c r="F150" s="19">
        <v>44926</v>
      </c>
      <c r="G150" s="156">
        <v>45291</v>
      </c>
      <c r="H150" s="156">
        <v>45657</v>
      </c>
      <c r="I150" s="156">
        <v>46022</v>
      </c>
      <c r="J150" s="156">
        <v>46387</v>
      </c>
      <c r="K150" s="156">
        <v>46752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3">
      <c r="A151" s="5"/>
      <c r="B151" s="5"/>
      <c r="C151" s="20" t="s">
        <v>11</v>
      </c>
      <c r="D151" s="20" t="s">
        <v>11</v>
      </c>
      <c r="E151" s="20" t="s">
        <v>11</v>
      </c>
      <c r="F151" s="20" t="s">
        <v>11</v>
      </c>
      <c r="G151" s="157" t="s">
        <v>12</v>
      </c>
      <c r="H151" s="157" t="s">
        <v>12</v>
      </c>
      <c r="I151" s="157" t="s">
        <v>12</v>
      </c>
      <c r="J151" s="157" t="s">
        <v>12</v>
      </c>
      <c r="K151" s="157" t="s">
        <v>12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3">
      <c r="A152" s="5"/>
      <c r="B152" s="5"/>
      <c r="C152" s="5"/>
      <c r="D152" s="5"/>
      <c r="E152" s="5"/>
      <c r="F152" s="5"/>
      <c r="G152" s="173"/>
      <c r="H152" s="174"/>
      <c r="I152" s="174"/>
      <c r="J152" s="152"/>
      <c r="K152" s="15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3">
      <c r="A153" s="5"/>
      <c r="B153" s="5"/>
      <c r="C153" s="5"/>
      <c r="D153" s="5"/>
      <c r="E153" s="5"/>
      <c r="F153" s="5"/>
      <c r="G153" s="173"/>
      <c r="H153" s="174"/>
      <c r="I153" s="174"/>
      <c r="J153" s="152"/>
      <c r="K153" s="15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3">
      <c r="A154" s="38" t="s">
        <v>80</v>
      </c>
      <c r="B154" s="38"/>
      <c r="C154" s="38">
        <f>(C42-C43)/C42</f>
        <v>0.69151519522985183</v>
      </c>
      <c r="D154" s="38">
        <f>(D42-D43)/D42</f>
        <v>0.52584690895587449</v>
      </c>
      <c r="E154" s="38">
        <f>(E42-E43)/E42</f>
        <v>0.41906945912535609</v>
      </c>
      <c r="F154" s="38">
        <f>(F42-F43)/F42</f>
        <v>0.40353830386881889</v>
      </c>
      <c r="G154" s="248">
        <v>0.41</v>
      </c>
      <c r="H154" s="248">
        <v>0.42</v>
      </c>
      <c r="I154" s="248">
        <v>0.41499999999999998</v>
      </c>
      <c r="J154" s="248">
        <v>0.41</v>
      </c>
      <c r="K154" s="248">
        <v>0.41</v>
      </c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" customHeight="1" x14ac:dyDescent="0.3">
      <c r="A155" s="39" t="s">
        <v>81</v>
      </c>
      <c r="B155" s="5"/>
      <c r="C155" s="40">
        <f>C465</f>
        <v>3.0819161942869822</v>
      </c>
      <c r="D155" s="40">
        <f>D465</f>
        <v>1.0632596305706243</v>
      </c>
      <c r="E155" s="40">
        <f>E465</f>
        <v>0.60970201424389392</v>
      </c>
      <c r="F155" s="40">
        <f>F465</f>
        <v>0.57954229077342845</v>
      </c>
      <c r="G155" s="257">
        <f t="shared" ref="G155:K155" si="116">G465</f>
        <v>0.65687289356529766</v>
      </c>
      <c r="H155" s="257">
        <f t="shared" si="116"/>
        <v>0.72198415384100267</v>
      </c>
      <c r="I155" s="257">
        <f t="shared" si="116"/>
        <v>0.78321724909814261</v>
      </c>
      <c r="J155" s="257">
        <f t="shared" si="116"/>
        <v>0.85170726054982737</v>
      </c>
      <c r="K155" s="257">
        <f t="shared" si="116"/>
        <v>0.90777611048053575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3">
      <c r="A156" s="5" t="s">
        <v>82</v>
      </c>
      <c r="B156" s="5"/>
      <c r="C156" s="37">
        <f t="shared" ref="C156:K156" si="117">C154*C155</f>
        <v>2.1311918787744046</v>
      </c>
      <c r="D156" s="37">
        <f t="shared" si="117"/>
        <v>0.55911179015312784</v>
      </c>
      <c r="E156" s="37">
        <f t="shared" si="117"/>
        <v>0.25550749333682876</v>
      </c>
      <c r="F156" s="37">
        <f t="shared" si="117"/>
        <v>0.23386751303895917</v>
      </c>
      <c r="G156" s="249">
        <f t="shared" si="117"/>
        <v>0.26931788636177201</v>
      </c>
      <c r="H156" s="249">
        <f t="shared" si="117"/>
        <v>0.3032333446132211</v>
      </c>
      <c r="I156" s="249">
        <f t="shared" si="117"/>
        <v>0.32503515837572916</v>
      </c>
      <c r="J156" s="249">
        <f t="shared" si="117"/>
        <v>0.34919997682542919</v>
      </c>
      <c r="K156" s="249">
        <f t="shared" si="117"/>
        <v>0.37218820529701963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1.75" customHeight="1" x14ac:dyDescent="0.3">
      <c r="A157" s="5" t="s">
        <v>83</v>
      </c>
      <c r="B157" s="41"/>
      <c r="C157" s="37">
        <v>3.8699999999999998E-2</v>
      </c>
      <c r="D157" s="37">
        <v>3.8699999999999998E-2</v>
      </c>
      <c r="E157" s="37">
        <v>3.8699999999999998E-2</v>
      </c>
      <c r="F157" s="37">
        <v>3.8699999999999998E-2</v>
      </c>
      <c r="G157" s="249">
        <f>F157</f>
        <v>3.8699999999999998E-2</v>
      </c>
      <c r="H157" s="249">
        <f t="shared" ref="H157:K157" si="118">G157</f>
        <v>3.8699999999999998E-2</v>
      </c>
      <c r="I157" s="249">
        <f t="shared" si="118"/>
        <v>3.8699999999999998E-2</v>
      </c>
      <c r="J157" s="249">
        <f t="shared" si="118"/>
        <v>3.8699999999999998E-2</v>
      </c>
      <c r="K157" s="249">
        <f t="shared" si="118"/>
        <v>3.8699999999999998E-2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3">
      <c r="A158" s="255" t="s">
        <v>265</v>
      </c>
      <c r="B158" s="29"/>
      <c r="C158" s="43">
        <v>0</v>
      </c>
      <c r="D158" s="43">
        <v>0</v>
      </c>
      <c r="E158" s="43">
        <v>0</v>
      </c>
      <c r="F158" s="43">
        <v>0</v>
      </c>
      <c r="G158" s="250">
        <v>0</v>
      </c>
      <c r="H158" s="250">
        <v>0</v>
      </c>
      <c r="I158" s="250">
        <v>0</v>
      </c>
      <c r="J158" s="250">
        <v>0</v>
      </c>
      <c r="K158" s="250">
        <v>0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3">
      <c r="A159" s="5" t="s">
        <v>84</v>
      </c>
      <c r="B159" s="5"/>
      <c r="C159" s="37">
        <f>C157+C158</f>
        <v>3.8699999999999998E-2</v>
      </c>
      <c r="D159" s="37">
        <f t="shared" ref="D159:K159" si="119">D157+D158</f>
        <v>3.8699999999999998E-2</v>
      </c>
      <c r="E159" s="37">
        <f t="shared" si="119"/>
        <v>3.8699999999999998E-2</v>
      </c>
      <c r="F159" s="37">
        <f t="shared" si="119"/>
        <v>3.8699999999999998E-2</v>
      </c>
      <c r="G159" s="249">
        <f t="shared" si="119"/>
        <v>3.8699999999999998E-2</v>
      </c>
      <c r="H159" s="249">
        <f t="shared" si="119"/>
        <v>3.8699999999999998E-2</v>
      </c>
      <c r="I159" s="249">
        <f t="shared" si="119"/>
        <v>3.8699999999999998E-2</v>
      </c>
      <c r="J159" s="249">
        <f t="shared" si="119"/>
        <v>3.8699999999999998E-2</v>
      </c>
      <c r="K159" s="249">
        <f t="shared" si="119"/>
        <v>3.8699999999999998E-2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20.25" customHeight="1" x14ac:dyDescent="0.3">
      <c r="A160" s="5" t="s">
        <v>85</v>
      </c>
      <c r="B160" s="5"/>
      <c r="C160" s="37">
        <f>C37/C36</f>
        <v>0.11925786665147461</v>
      </c>
      <c r="D160" s="37">
        <f t="shared" ref="D160:K160" si="120">D37/D36</f>
        <v>0.14332148439120873</v>
      </c>
      <c r="E160" s="37">
        <f t="shared" si="120"/>
        <v>9.3217447810900814E-2</v>
      </c>
      <c r="F160" s="37">
        <f t="shared" si="120"/>
        <v>8.2510578279266569E-2</v>
      </c>
      <c r="G160" s="249">
        <f t="shared" si="120"/>
        <v>0.08</v>
      </c>
      <c r="H160" s="249">
        <f t="shared" si="120"/>
        <v>0.08</v>
      </c>
      <c r="I160" s="249">
        <f t="shared" si="120"/>
        <v>0.08</v>
      </c>
      <c r="J160" s="249">
        <f t="shared" si="120"/>
        <v>0.08</v>
      </c>
      <c r="K160" s="249">
        <f t="shared" si="120"/>
        <v>0.08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3">
      <c r="A161" s="5" t="s">
        <v>86</v>
      </c>
      <c r="B161" s="5"/>
      <c r="C161" s="37">
        <f t="shared" ref="C161:K161" si="121">C159*(1-C160)</f>
        <v>3.4084720560587929E-2</v>
      </c>
      <c r="D161" s="37">
        <f t="shared" si="121"/>
        <v>3.3153458554060218E-2</v>
      </c>
      <c r="E161" s="37">
        <f t="shared" si="121"/>
        <v>3.5092484769718137E-2</v>
      </c>
      <c r="F161" s="37">
        <f t="shared" si="121"/>
        <v>3.5506840620592381E-2</v>
      </c>
      <c r="G161" s="249">
        <f t="shared" si="121"/>
        <v>3.5603999999999997E-2</v>
      </c>
      <c r="H161" s="249">
        <f t="shared" si="121"/>
        <v>3.5603999999999997E-2</v>
      </c>
      <c r="I161" s="249">
        <f t="shared" si="121"/>
        <v>3.5603999999999997E-2</v>
      </c>
      <c r="J161" s="249">
        <f t="shared" si="121"/>
        <v>3.5603999999999997E-2</v>
      </c>
      <c r="K161" s="249">
        <f t="shared" si="121"/>
        <v>3.5603999999999997E-2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3">
      <c r="A162" s="5"/>
      <c r="B162" s="5"/>
      <c r="C162" s="5"/>
      <c r="D162" s="5"/>
      <c r="E162" s="5"/>
      <c r="F162" s="5"/>
      <c r="G162" s="195"/>
      <c r="H162" s="195"/>
      <c r="I162" s="195"/>
      <c r="J162" s="195"/>
      <c r="K162" s="19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21.75" customHeight="1" x14ac:dyDescent="0.3">
      <c r="A163" s="5" t="s">
        <v>87</v>
      </c>
      <c r="B163" s="5"/>
      <c r="C163" s="44">
        <v>0.7</v>
      </c>
      <c r="D163" s="44">
        <v>0.7</v>
      </c>
      <c r="E163" s="44">
        <v>0.7</v>
      </c>
      <c r="F163" s="44">
        <v>0.7</v>
      </c>
      <c r="G163" s="251">
        <v>0.7</v>
      </c>
      <c r="H163" s="251">
        <v>0.7</v>
      </c>
      <c r="I163" s="251">
        <v>0.7</v>
      </c>
      <c r="J163" s="251">
        <v>0.7</v>
      </c>
      <c r="K163" s="251">
        <v>0.7</v>
      </c>
      <c r="L163" s="44">
        <v>0.7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3">
      <c r="A164" s="39" t="s">
        <v>88</v>
      </c>
      <c r="B164" s="5"/>
      <c r="C164" s="45">
        <v>6.5000000000000002E-2</v>
      </c>
      <c r="D164" s="45">
        <v>6.5000000000000002E-2</v>
      </c>
      <c r="E164" s="45">
        <v>6.5000000000000002E-2</v>
      </c>
      <c r="F164" s="45">
        <v>6.5000000000000002E-2</v>
      </c>
      <c r="G164" s="252">
        <v>6.5000000000000002E-2</v>
      </c>
      <c r="H164" s="252">
        <v>6.5000000000000002E-2</v>
      </c>
      <c r="I164" s="252">
        <v>6.5000000000000002E-2</v>
      </c>
      <c r="J164" s="252">
        <v>6.5000000000000002E-2</v>
      </c>
      <c r="K164" s="252">
        <v>6.5000000000000002E-2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3">
      <c r="A165" s="5" t="s">
        <v>89</v>
      </c>
      <c r="B165" s="5"/>
      <c r="C165" s="37">
        <f t="shared" ref="C165:K165" si="122">C157+(C164*C163)</f>
        <v>8.4199999999999997E-2</v>
      </c>
      <c r="D165" s="37">
        <f t="shared" si="122"/>
        <v>8.4199999999999997E-2</v>
      </c>
      <c r="E165" s="37">
        <f t="shared" si="122"/>
        <v>8.4199999999999997E-2</v>
      </c>
      <c r="F165" s="37">
        <f t="shared" si="122"/>
        <v>8.4199999999999997E-2</v>
      </c>
      <c r="G165" s="249">
        <f t="shared" si="122"/>
        <v>8.4199999999999997E-2</v>
      </c>
      <c r="H165" s="249">
        <f t="shared" si="122"/>
        <v>8.4199999999999997E-2</v>
      </c>
      <c r="I165" s="249">
        <f t="shared" si="122"/>
        <v>8.4199999999999997E-2</v>
      </c>
      <c r="J165" s="249">
        <f t="shared" si="122"/>
        <v>8.4199999999999997E-2</v>
      </c>
      <c r="K165" s="249">
        <f t="shared" si="122"/>
        <v>8.4199999999999997E-2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 customHeight="1" x14ac:dyDescent="0.3">
      <c r="A166" s="5" t="s">
        <v>90</v>
      </c>
      <c r="B166" s="5"/>
      <c r="C166" s="46">
        <v>131.43</v>
      </c>
      <c r="D166" s="46">
        <v>168.84</v>
      </c>
      <c r="E166" s="46">
        <v>276.22000000000003</v>
      </c>
      <c r="F166" s="46">
        <v>365.84</v>
      </c>
      <c r="G166" s="253">
        <f>G373</f>
        <v>135</v>
      </c>
      <c r="H166" s="253">
        <f t="shared" ref="H166:K166" si="123">H373</f>
        <v>135</v>
      </c>
      <c r="I166" s="253">
        <f t="shared" si="123"/>
        <v>135</v>
      </c>
      <c r="J166" s="253">
        <f t="shared" si="123"/>
        <v>135</v>
      </c>
      <c r="K166" s="253">
        <f t="shared" si="123"/>
        <v>135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3">
      <c r="A167" s="5" t="s">
        <v>91</v>
      </c>
      <c r="B167" s="5"/>
      <c r="C167" s="24">
        <f>C41</f>
        <v>957.5</v>
      </c>
      <c r="D167" s="24">
        <f t="shared" ref="D167:K167" si="124">D41</f>
        <v>956.6</v>
      </c>
      <c r="E167" s="24">
        <f t="shared" si="124"/>
        <v>953.7</v>
      </c>
      <c r="F167" s="24">
        <f t="shared" si="124"/>
        <v>950.2</v>
      </c>
      <c r="G167" s="196">
        <f t="shared" si="124"/>
        <v>954.95099999999991</v>
      </c>
      <c r="H167" s="196">
        <f t="shared" si="124"/>
        <v>959.72575499999982</v>
      </c>
      <c r="I167" s="196">
        <f t="shared" si="124"/>
        <v>964.52438377499971</v>
      </c>
      <c r="J167" s="196">
        <f t="shared" si="124"/>
        <v>969.34700569387462</v>
      </c>
      <c r="K167" s="196">
        <f t="shared" si="124"/>
        <v>974.19374072234393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75" customHeight="1" x14ac:dyDescent="0.3">
      <c r="A168" s="5" t="s">
        <v>92</v>
      </c>
      <c r="B168" s="5"/>
      <c r="C168" s="26">
        <f t="shared" ref="C168:L168" si="125">C167*C166</f>
        <v>125844.22500000001</v>
      </c>
      <c r="D168" s="26">
        <f t="shared" si="125"/>
        <v>161512.34400000001</v>
      </c>
      <c r="E168" s="26">
        <f t="shared" si="125"/>
        <v>263431.01400000002</v>
      </c>
      <c r="F168" s="26">
        <f t="shared" si="125"/>
        <v>347621.16800000001</v>
      </c>
      <c r="G168" s="254">
        <f t="shared" si="125"/>
        <v>128918.38499999999</v>
      </c>
      <c r="H168" s="254">
        <f t="shared" si="125"/>
        <v>129562.97692499998</v>
      </c>
      <c r="I168" s="254">
        <f t="shared" si="125"/>
        <v>130210.79180962496</v>
      </c>
      <c r="J168" s="254">
        <f t="shared" si="125"/>
        <v>130861.84576867307</v>
      </c>
      <c r="K168" s="254">
        <f t="shared" si="125"/>
        <v>131516.15499751642</v>
      </c>
      <c r="L168" s="26">
        <f t="shared" si="125"/>
        <v>0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3">
      <c r="A169" s="39" t="s">
        <v>93</v>
      </c>
      <c r="B169" s="5"/>
      <c r="C169" s="47">
        <f>C83+C82+C88</f>
        <v>15317.199999999999</v>
      </c>
      <c r="D169" s="47">
        <f t="shared" ref="D169:K169" si="126">D83+D82+D88</f>
        <v>16595.3</v>
      </c>
      <c r="E169" s="47">
        <f t="shared" si="126"/>
        <v>16884.7</v>
      </c>
      <c r="F169" s="47">
        <f t="shared" si="126"/>
        <v>16238.6</v>
      </c>
      <c r="G169" s="256">
        <f t="shared" si="126"/>
        <v>16710.746999999999</v>
      </c>
      <c r="H169" s="256">
        <f t="shared" si="126"/>
        <v>17227.38063</v>
      </c>
      <c r="I169" s="256">
        <f t="shared" si="126"/>
        <v>17728.278380100001</v>
      </c>
      <c r="J169" s="256">
        <f t="shared" si="126"/>
        <v>18276.368873678999</v>
      </c>
      <c r="K169" s="256">
        <f t="shared" si="126"/>
        <v>18807.76811202633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3">
      <c r="A170" s="5" t="s">
        <v>94</v>
      </c>
      <c r="B170" s="5"/>
      <c r="C170" s="26">
        <f t="shared" ref="C170:K170" si="127">SUM(C168:C169)</f>
        <v>141161.42500000002</v>
      </c>
      <c r="D170" s="26">
        <f t="shared" si="127"/>
        <v>178107.644</v>
      </c>
      <c r="E170" s="26">
        <f t="shared" si="127"/>
        <v>280315.71400000004</v>
      </c>
      <c r="F170" s="26">
        <f t="shared" si="127"/>
        <v>363859.76799999998</v>
      </c>
      <c r="G170" s="254">
        <f t="shared" si="127"/>
        <v>145629.13199999998</v>
      </c>
      <c r="H170" s="254">
        <f t="shared" si="127"/>
        <v>146790.357555</v>
      </c>
      <c r="I170" s="254">
        <f t="shared" si="127"/>
        <v>147939.07018972497</v>
      </c>
      <c r="J170" s="254">
        <f t="shared" si="127"/>
        <v>149138.21464235208</v>
      </c>
      <c r="K170" s="254">
        <f t="shared" si="127"/>
        <v>150323.92310954275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3">
      <c r="A171" s="5"/>
      <c r="B171" s="5"/>
      <c r="C171" s="25"/>
      <c r="D171" s="25"/>
      <c r="E171" s="25"/>
      <c r="F171" s="25"/>
      <c r="G171" s="197"/>
      <c r="H171" s="197"/>
      <c r="I171" s="195"/>
      <c r="J171" s="195"/>
      <c r="K171" s="19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3">
      <c r="A172" s="5" t="s">
        <v>95</v>
      </c>
      <c r="B172" s="5"/>
      <c r="C172" s="37">
        <f t="shared" ref="C172:K172" si="128">C168/C170</f>
        <v>0.89149160261027394</v>
      </c>
      <c r="D172" s="37">
        <f t="shared" si="128"/>
        <v>0.90682432473251973</v>
      </c>
      <c r="E172" s="37">
        <f t="shared" si="128"/>
        <v>0.93976541750349385</v>
      </c>
      <c r="F172" s="37">
        <f t="shared" si="128"/>
        <v>0.95537126819692808</v>
      </c>
      <c r="G172" s="249">
        <f t="shared" si="128"/>
        <v>0.88525134517728232</v>
      </c>
      <c r="H172" s="249">
        <f t="shared" si="128"/>
        <v>0.88263956218278716</v>
      </c>
      <c r="I172" s="249">
        <f t="shared" si="128"/>
        <v>0.88016500064949499</v>
      </c>
      <c r="J172" s="249">
        <f t="shared" si="128"/>
        <v>0.87745348221106501</v>
      </c>
      <c r="K172" s="249">
        <f t="shared" si="128"/>
        <v>0.87488506338195493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3">
      <c r="A173" s="5" t="s">
        <v>96</v>
      </c>
      <c r="B173" s="5"/>
      <c r="C173" s="37">
        <f t="shared" ref="C173:K173" si="129">1-C172</f>
        <v>0.10850839738972606</v>
      </c>
      <c r="D173" s="37">
        <f t="shared" si="129"/>
        <v>9.3175675267480274E-2</v>
      </c>
      <c r="E173" s="37">
        <f t="shared" si="129"/>
        <v>6.023458249650615E-2</v>
      </c>
      <c r="F173" s="37">
        <f t="shared" si="129"/>
        <v>4.4628731803071919E-2</v>
      </c>
      <c r="G173" s="249">
        <f t="shared" si="129"/>
        <v>0.11474865482271768</v>
      </c>
      <c r="H173" s="249">
        <f t="shared" si="129"/>
        <v>0.11736043781721284</v>
      </c>
      <c r="I173" s="249">
        <f t="shared" si="129"/>
        <v>0.11983499935050501</v>
      </c>
      <c r="J173" s="249">
        <f t="shared" si="129"/>
        <v>0.12254651778893499</v>
      </c>
      <c r="K173" s="249">
        <f t="shared" si="129"/>
        <v>0.12511493661804507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thickBot="1" x14ac:dyDescent="0.35">
      <c r="A174" s="18" t="s">
        <v>97</v>
      </c>
      <c r="B174" s="18"/>
      <c r="C174" s="266">
        <f t="shared" ref="C174:K174" si="130">(C173*C159*(1-C160))+(C172*C165)</f>
        <v>7.8762071343291107E-2</v>
      </c>
      <c r="D174" s="266">
        <f t="shared" si="130"/>
        <v>7.9443704030705137E-2</v>
      </c>
      <c r="E174" s="266">
        <f t="shared" si="130"/>
        <v>8.1242029322663153E-2</v>
      </c>
      <c r="F174" s="266">
        <f t="shared" si="130"/>
        <v>8.2026886049412176E-2</v>
      </c>
      <c r="G174" s="267">
        <f t="shared" si="130"/>
        <v>7.8623674370235208E-2</v>
      </c>
      <c r="H174" s="267">
        <f t="shared" si="130"/>
        <v>7.8496752163834713E-2</v>
      </c>
      <c r="I174" s="267">
        <f t="shared" si="130"/>
        <v>7.8376498371562853E-2</v>
      </c>
      <c r="J174" s="267">
        <f t="shared" si="130"/>
        <v>7.8244729421528908E-2</v>
      </c>
      <c r="K174" s="267">
        <f t="shared" si="130"/>
        <v>7.811991454010947E-2</v>
      </c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 thickTop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1" t="s">
        <v>268</v>
      </c>
      <c r="B177" s="2"/>
      <c r="C177" s="2"/>
      <c r="D177" s="2"/>
      <c r="E177" s="3"/>
      <c r="F177" s="3"/>
      <c r="G177" s="139"/>
      <c r="H177" s="153"/>
      <c r="I177" s="139"/>
      <c r="J177" s="139"/>
      <c r="K177" s="140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6" t="s">
        <v>98</v>
      </c>
      <c r="B178" s="7"/>
      <c r="C178" s="7"/>
      <c r="D178" s="7"/>
      <c r="E178" s="8"/>
      <c r="F178" s="8"/>
      <c r="G178" s="141"/>
      <c r="H178" s="155"/>
      <c r="I178" s="141"/>
      <c r="J178" s="141"/>
      <c r="K178" s="142"/>
      <c r="L178" s="29"/>
      <c r="M178" s="29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3">
      <c r="A179" s="18"/>
      <c r="B179" s="5"/>
      <c r="C179" s="5"/>
      <c r="D179" s="5"/>
      <c r="E179" s="5"/>
      <c r="F179" s="5"/>
      <c r="G179" s="5"/>
      <c r="H179" s="5"/>
      <c r="I179" s="5"/>
      <c r="J179" s="5"/>
      <c r="K179" s="29"/>
      <c r="L179" s="29"/>
      <c r="M179" s="29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3">
      <c r="A180" s="5" t="s">
        <v>99</v>
      </c>
      <c r="B180" s="37">
        <f>G165</f>
        <v>8.4199999999999997E-2</v>
      </c>
      <c r="C180" s="5"/>
      <c r="D180" s="5"/>
      <c r="E180" s="5"/>
      <c r="F180" s="5"/>
      <c r="G180" s="5"/>
      <c r="H180" s="5"/>
      <c r="I180" s="5"/>
      <c r="J180" s="5"/>
      <c r="K180" s="29"/>
      <c r="L180" s="29"/>
      <c r="M180" s="29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3">
      <c r="A181" s="5" t="s">
        <v>100</v>
      </c>
      <c r="B181" s="37">
        <f>G159*(1-G160)</f>
        <v>3.5603999999999997E-2</v>
      </c>
      <c r="C181" s="5"/>
      <c r="D181" s="5"/>
      <c r="E181" s="5"/>
      <c r="F181" s="5"/>
      <c r="G181" s="5"/>
      <c r="H181" s="5"/>
      <c r="I181" s="5"/>
      <c r="J181" s="5"/>
      <c r="K181" s="29"/>
      <c r="L181" s="29"/>
      <c r="M181" s="29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3">
      <c r="A182" s="5" t="s">
        <v>97</v>
      </c>
      <c r="B182" s="37">
        <f>G174</f>
        <v>7.8623674370235208E-2</v>
      </c>
      <c r="C182" s="5"/>
      <c r="D182" s="5"/>
      <c r="E182" s="5"/>
      <c r="F182" s="5"/>
      <c r="G182" s="5"/>
      <c r="H182" s="5"/>
      <c r="I182" s="5"/>
      <c r="J182" s="5"/>
      <c r="K182" s="29"/>
      <c r="L182" s="29"/>
      <c r="M182" s="29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3">
      <c r="A183" s="11" t="s">
        <v>101</v>
      </c>
      <c r="B183" s="48">
        <v>2.2499999999999999E-2</v>
      </c>
      <c r="C183" s="16" t="s">
        <v>102</v>
      </c>
      <c r="D183" s="5"/>
      <c r="E183" s="5"/>
      <c r="F183" s="5"/>
      <c r="G183" s="5"/>
      <c r="H183" s="5"/>
      <c r="I183" s="5"/>
      <c r="J183" s="5"/>
      <c r="K183" s="29"/>
      <c r="L183" s="29"/>
      <c r="M183" s="29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3">
      <c r="A184" s="5"/>
      <c r="B184" s="42"/>
      <c r="C184" s="5"/>
      <c r="D184" s="5"/>
      <c r="E184" s="5"/>
      <c r="F184" s="5"/>
      <c r="G184" s="5"/>
      <c r="H184" s="5"/>
      <c r="I184" s="5"/>
      <c r="J184" s="5"/>
      <c r="K184" s="29"/>
      <c r="L184" s="29"/>
      <c r="M184" s="29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3">
      <c r="A185" s="5"/>
      <c r="B185" s="5"/>
      <c r="C185" s="19">
        <v>44561</v>
      </c>
      <c r="D185" s="19">
        <v>44926</v>
      </c>
      <c r="E185" s="19">
        <v>45291</v>
      </c>
      <c r="F185" s="19">
        <v>45657</v>
      </c>
      <c r="G185" s="19">
        <v>46022</v>
      </c>
      <c r="H185" s="19">
        <v>46387</v>
      </c>
      <c r="I185" s="19">
        <v>46752</v>
      </c>
      <c r="J185" s="19"/>
      <c r="K185" s="19"/>
      <c r="L185" s="29"/>
      <c r="M185" s="29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3">
      <c r="A186" s="5"/>
      <c r="B186" s="18" t="s">
        <v>103</v>
      </c>
      <c r="C186" s="20">
        <v>0</v>
      </c>
      <c r="D186" s="20">
        <v>1</v>
      </c>
      <c r="E186" s="20">
        <v>2</v>
      </c>
      <c r="F186" s="20">
        <v>3</v>
      </c>
      <c r="G186" s="20">
        <v>4</v>
      </c>
      <c r="H186" s="20">
        <v>5</v>
      </c>
      <c r="I186" s="20">
        <v>6</v>
      </c>
      <c r="J186" s="5"/>
      <c r="K186" s="29"/>
      <c r="L186" s="29"/>
      <c r="M186" s="29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29"/>
      <c r="L187" s="29"/>
      <c r="M187" s="29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3">
      <c r="A188" s="5" t="s">
        <v>80</v>
      </c>
      <c r="B188" s="5"/>
      <c r="C188" s="38">
        <f t="shared" ref="C188:C189" si="131">F154</f>
        <v>0.40353830386881889</v>
      </c>
      <c r="D188" s="49">
        <f>(G42-G43)/G42</f>
        <v>0.53905502309502795</v>
      </c>
      <c r="E188" s="49">
        <f>(H42-H43)/H42</f>
        <v>0.62734387912380296</v>
      </c>
      <c r="F188" s="49">
        <f>(I42-I43)/I42</f>
        <v>0.69561802022893604</v>
      </c>
      <c r="G188" s="49">
        <f>(J42-J43)/J42</f>
        <v>0.75348690824918185</v>
      </c>
      <c r="H188" s="49">
        <f>(K42-K43)/K42</f>
        <v>0.79573409455366739</v>
      </c>
      <c r="I188" s="49">
        <f>H188*(1+6%)</f>
        <v>0.8434781402268875</v>
      </c>
      <c r="J188" s="5"/>
      <c r="K188" s="29"/>
      <c r="L188" s="29"/>
      <c r="M188" s="29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3">
      <c r="A189" s="5" t="s">
        <v>81</v>
      </c>
      <c r="B189" s="5"/>
      <c r="C189" s="38">
        <f t="shared" si="131"/>
        <v>0.57954229077342845</v>
      </c>
      <c r="D189" s="49">
        <f>G39/G101</f>
        <v>0.65687289356529766</v>
      </c>
      <c r="E189" s="49">
        <f>H39/H101</f>
        <v>0.72198415384100267</v>
      </c>
      <c r="F189" s="49">
        <f>I39/I101</f>
        <v>0.78321724909814261</v>
      </c>
      <c r="G189" s="49">
        <f>J39/J101</f>
        <v>0.85170726054982737</v>
      </c>
      <c r="H189" s="49">
        <f>K39/K101</f>
        <v>0.90777611048053575</v>
      </c>
      <c r="I189" s="49">
        <f>H189*(1+6%)</f>
        <v>0.96224267710936795</v>
      </c>
      <c r="J189" s="5"/>
      <c r="K189" s="29"/>
      <c r="L189" s="29"/>
      <c r="M189" s="29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3">
      <c r="A190" s="5" t="s">
        <v>104</v>
      </c>
      <c r="B190" s="5"/>
      <c r="C190" s="38">
        <f t="shared" ref="C190:I190" si="132">C188*C189</f>
        <v>0.23386751303895917</v>
      </c>
      <c r="D190" s="38">
        <f t="shared" si="132"/>
        <v>0.35409063281133935</v>
      </c>
      <c r="E190" s="38">
        <f t="shared" si="132"/>
        <v>0.45293233973653113</v>
      </c>
      <c r="F190" s="38">
        <f t="shared" si="132"/>
        <v>0.54482003222680342</v>
      </c>
      <c r="G190" s="38">
        <f t="shared" si="132"/>
        <v>0.64175027048506983</v>
      </c>
      <c r="H190" s="38">
        <f t="shared" si="132"/>
        <v>0.72234840133067901</v>
      </c>
      <c r="I190" s="38">
        <f t="shared" si="132"/>
        <v>0.81163066373515114</v>
      </c>
      <c r="J190" s="5"/>
      <c r="K190" s="29"/>
      <c r="L190" s="29"/>
      <c r="M190" s="29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0"/>
      <c r="K191" s="29"/>
      <c r="L191" s="29"/>
      <c r="M191" s="29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3">
      <c r="A192" s="5" t="s">
        <v>105</v>
      </c>
      <c r="B192" s="5"/>
      <c r="C192" s="15">
        <f>F43</f>
        <v>3.92</v>
      </c>
      <c r="D192" s="15">
        <f t="shared" ref="D192:I192" si="133">E43*(1+D190)</f>
        <v>4.6039081515585538</v>
      </c>
      <c r="E192" s="15">
        <f t="shared" si="133"/>
        <v>5.6954947717672013</v>
      </c>
      <c r="F192" s="15">
        <f t="shared" si="133"/>
        <v>6.1162514715923608</v>
      </c>
      <c r="G192" s="15">
        <f t="shared" si="133"/>
        <v>6.6300180243225784</v>
      </c>
      <c r="H192" s="15">
        <f t="shared" si="133"/>
        <v>7.0946143108865813</v>
      </c>
      <c r="I192" s="15">
        <f t="shared" si="133"/>
        <v>7.5370053069848035</v>
      </c>
      <c r="J192" s="5"/>
      <c r="K192" s="29"/>
      <c r="L192" s="29"/>
      <c r="M192" s="29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customHeight="1" x14ac:dyDescent="0.3">
      <c r="A193" s="51" t="s">
        <v>106</v>
      </c>
      <c r="B193" s="51"/>
      <c r="C193" s="51"/>
      <c r="D193" s="52">
        <f t="shared" ref="D193:I193" si="134">D192/(1+$B$180)^D186</f>
        <v>4.2463642792460377</v>
      </c>
      <c r="E193" s="52">
        <f t="shared" si="134"/>
        <v>4.8452105216062993</v>
      </c>
      <c r="F193" s="52">
        <f t="shared" si="134"/>
        <v>4.7990704393581067</v>
      </c>
      <c r="G193" s="52">
        <f t="shared" si="134"/>
        <v>4.7981861996030277</v>
      </c>
      <c r="H193" s="52">
        <f t="shared" si="134"/>
        <v>4.7356737559628757</v>
      </c>
      <c r="I193" s="52">
        <f t="shared" si="134"/>
        <v>4.6402609409043372</v>
      </c>
      <c r="J193" s="51"/>
      <c r="K193" s="53"/>
      <c r="L193" s="53"/>
      <c r="M193" s="53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21" customHeight="1" x14ac:dyDescent="0.3">
      <c r="A194" s="5" t="s">
        <v>107</v>
      </c>
      <c r="B194" s="5"/>
      <c r="C194" s="5"/>
      <c r="D194" s="15"/>
      <c r="E194" s="15"/>
      <c r="F194" s="15"/>
      <c r="G194" s="15"/>
      <c r="H194" s="15"/>
      <c r="I194" s="15">
        <f>(I192*(1+B183))/(B180-B183)</f>
        <v>124.9041803305018</v>
      </c>
      <c r="J194" s="5"/>
      <c r="K194" s="29"/>
      <c r="L194" s="29"/>
      <c r="M194" s="29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">
      <c r="A195" s="51" t="s">
        <v>108</v>
      </c>
      <c r="B195" s="51"/>
      <c r="C195" s="51"/>
      <c r="D195" s="52"/>
      <c r="E195" s="52"/>
      <c r="F195" s="52"/>
      <c r="G195" s="52"/>
      <c r="H195" s="52"/>
      <c r="I195" s="52">
        <f>I194/(1+B180)^I186</f>
        <v>76.898975884516773</v>
      </c>
      <c r="J195" s="51"/>
      <c r="K195" s="53"/>
      <c r="L195" s="53"/>
      <c r="M195" s="53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2" customHeight="1" x14ac:dyDescent="0.3">
      <c r="A196" s="5"/>
      <c r="B196" s="5"/>
      <c r="C196" s="5"/>
      <c r="D196" s="15"/>
      <c r="E196" s="15"/>
      <c r="F196" s="15"/>
      <c r="G196" s="15"/>
      <c r="H196" s="15"/>
      <c r="I196" s="15"/>
      <c r="J196" s="5"/>
      <c r="K196" s="29"/>
      <c r="L196" s="29"/>
      <c r="M196" s="29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3">
      <c r="A197" s="21" t="s">
        <v>109</v>
      </c>
      <c r="B197" s="54">
        <f>SUM(D193:I193)+I195</f>
        <v>104.96374202119745</v>
      </c>
      <c r="C197" s="5"/>
      <c r="D197" s="15"/>
      <c r="E197" s="15"/>
      <c r="F197" s="15"/>
      <c r="G197" s="15"/>
      <c r="H197" s="15"/>
      <c r="I197" s="15"/>
      <c r="J197" s="5"/>
      <c r="K197" s="29"/>
      <c r="L197" s="29"/>
      <c r="M197" s="29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29"/>
      <c r="L198" s="29"/>
      <c r="M198" s="29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29"/>
      <c r="L199" s="29"/>
      <c r="M199" s="29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3">
      <c r="A200" s="5"/>
      <c r="B200" s="55"/>
      <c r="C200" s="282" t="s">
        <v>110</v>
      </c>
      <c r="D200" s="283"/>
      <c r="E200" s="283"/>
      <c r="F200" s="283"/>
      <c r="G200" s="283"/>
      <c r="H200" s="283"/>
      <c r="I200" s="5"/>
      <c r="J200" s="5"/>
      <c r="K200" s="29"/>
      <c r="L200" s="29"/>
      <c r="M200" s="29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3">
      <c r="A201" s="5"/>
      <c r="B201" s="55"/>
      <c r="C201" s="56"/>
      <c r="D201" s="5"/>
      <c r="E201" s="5"/>
      <c r="F201" s="5"/>
      <c r="G201" s="5"/>
      <c r="H201" s="5"/>
      <c r="I201" s="5"/>
      <c r="J201" s="5"/>
      <c r="K201" s="29"/>
      <c r="L201" s="29"/>
      <c r="M201" s="29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3">
      <c r="A202" s="5"/>
      <c r="B202" s="5"/>
      <c r="C202" s="5"/>
      <c r="D202" s="280" t="s">
        <v>101</v>
      </c>
      <c r="E202" s="281"/>
      <c r="F202" s="281"/>
      <c r="G202" s="281"/>
      <c r="H202" s="281"/>
      <c r="I202" s="5"/>
      <c r="J202" s="5"/>
      <c r="K202" s="29"/>
      <c r="L202" s="29"/>
      <c r="M202" s="29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7"/>
      <c r="B203" s="57"/>
      <c r="C203" s="58">
        <f>B197</f>
        <v>104.96374202119745</v>
      </c>
      <c r="D203" s="59">
        <v>0.04</v>
      </c>
      <c r="E203" s="59">
        <v>3.5000000000000003E-2</v>
      </c>
      <c r="F203" s="259">
        <v>0.03</v>
      </c>
      <c r="G203" s="59">
        <v>2.5000000000000001E-2</v>
      </c>
      <c r="H203" s="59">
        <v>0.02</v>
      </c>
      <c r="I203" s="57"/>
      <c r="J203" s="57"/>
      <c r="K203" s="60"/>
      <c r="L203" s="60"/>
      <c r="M203" s="60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2" customHeight="1" x14ac:dyDescent="0.3">
      <c r="A204" s="5"/>
      <c r="B204" s="284" t="s">
        <v>99</v>
      </c>
      <c r="C204" s="61">
        <v>4.4999999999999998E-2</v>
      </c>
      <c r="D204" s="62">
        <v>313.11672861142699</v>
      </c>
      <c r="E204" s="63">
        <v>159.98065273144903</v>
      </c>
      <c r="F204" s="63">
        <v>108.93529410478969</v>
      </c>
      <c r="G204" s="63">
        <v>83.412614791460044</v>
      </c>
      <c r="H204" s="64">
        <v>68.09900720346225</v>
      </c>
      <c r="I204" s="5"/>
      <c r="J204" s="5"/>
      <c r="K204" s="29"/>
      <c r="L204" s="29"/>
      <c r="M204" s="29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3">
      <c r="A205" s="5"/>
      <c r="B205" s="281"/>
      <c r="C205" s="61">
        <v>5.5E-2</v>
      </c>
      <c r="D205" s="65">
        <v>103.99169550085243</v>
      </c>
      <c r="E205" s="66">
        <v>79.655907255759033</v>
      </c>
      <c r="F205" s="66">
        <v>65.054434308702994</v>
      </c>
      <c r="G205" s="66">
        <v>55.320119010665636</v>
      </c>
      <c r="H205" s="67">
        <v>48.367036654924668</v>
      </c>
      <c r="I205" s="5"/>
      <c r="J205" s="5"/>
      <c r="K205" s="29"/>
      <c r="L205" s="29"/>
      <c r="M205" s="29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3">
      <c r="A206" s="5"/>
      <c r="B206" s="281"/>
      <c r="C206" s="258">
        <v>6.5000000000000002E-2</v>
      </c>
      <c r="D206" s="65">
        <v>62.175883561641783</v>
      </c>
      <c r="E206" s="66">
        <v>52.89007622986545</v>
      </c>
      <c r="F206" s="66">
        <v>46.257356707168071</v>
      </c>
      <c r="G206" s="66">
        <v>41.282817065145032</v>
      </c>
      <c r="H206" s="67">
        <v>37.413730676904898</v>
      </c>
      <c r="I206" s="5"/>
      <c r="J206" s="5"/>
      <c r="K206" s="29"/>
      <c r="L206" s="29"/>
      <c r="M206" s="29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3">
      <c r="A207" s="5"/>
      <c r="B207" s="281"/>
      <c r="C207" s="61">
        <v>7.4999999999999997E-2</v>
      </c>
      <c r="D207" s="65">
        <v>44.261041299881789</v>
      </c>
      <c r="E207" s="66">
        <v>39.51361082049624</v>
      </c>
      <c r="F207" s="66">
        <v>35.821164892085257</v>
      </c>
      <c r="G207" s="66">
        <v>32.867208149356472</v>
      </c>
      <c r="H207" s="67">
        <v>30.450334450760195</v>
      </c>
      <c r="I207" s="5"/>
      <c r="J207" s="5"/>
      <c r="K207" s="29"/>
      <c r="L207" s="29"/>
      <c r="M207" s="29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3">
      <c r="A208" s="5"/>
      <c r="B208" s="281"/>
      <c r="C208" s="61">
        <v>8.5000000000000006E-2</v>
      </c>
      <c r="D208" s="68">
        <v>34.312935824836558</v>
      </c>
      <c r="E208" s="69">
        <v>31.492619887159176</v>
      </c>
      <c r="F208" s="69">
        <v>29.185088665423134</v>
      </c>
      <c r="G208" s="69">
        <v>27.262145980643091</v>
      </c>
      <c r="H208" s="70">
        <v>25.635040631983067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3">
      <c r="A210" s="18"/>
      <c r="B210" s="32"/>
      <c r="C210" s="32"/>
      <c r="D210" s="32"/>
      <c r="E210" s="32"/>
      <c r="F210" s="32"/>
      <c r="G210" s="31"/>
      <c r="H210" s="32"/>
      <c r="I210" s="3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1" t="s">
        <v>246</v>
      </c>
      <c r="B211" s="2"/>
      <c r="C211" s="2"/>
      <c r="D211" s="2"/>
      <c r="E211" s="3"/>
      <c r="F211" s="3"/>
      <c r="G211" s="139"/>
      <c r="H211" s="153"/>
      <c r="I211" s="139"/>
      <c r="J211" s="139"/>
      <c r="K211" s="140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6" t="s">
        <v>111</v>
      </c>
      <c r="B212" s="7"/>
      <c r="C212" s="7"/>
      <c r="D212" s="7"/>
      <c r="E212" s="8"/>
      <c r="F212" s="8"/>
      <c r="G212" s="141"/>
      <c r="H212" s="155"/>
      <c r="I212" s="141"/>
      <c r="J212" s="141"/>
      <c r="K212" s="142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3">
      <c r="A213" s="18"/>
      <c r="B213" s="32"/>
      <c r="C213" s="32"/>
      <c r="D213" s="32"/>
      <c r="E213" s="32"/>
      <c r="F213" s="32"/>
      <c r="G213" s="31"/>
      <c r="H213" s="32"/>
      <c r="I213" s="3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3">
      <c r="A214" s="18"/>
      <c r="B214" s="32"/>
      <c r="C214" s="32"/>
      <c r="D214" s="32"/>
      <c r="E214" s="32"/>
      <c r="F214" s="32"/>
      <c r="G214" s="31"/>
      <c r="H214" s="32"/>
      <c r="I214" s="3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3">
      <c r="A215" s="18" t="s">
        <v>112</v>
      </c>
      <c r="B215" s="32"/>
      <c r="C215" s="19">
        <v>43830</v>
      </c>
      <c r="D215" s="19">
        <v>44196</v>
      </c>
      <c r="E215" s="19">
        <v>44561</v>
      </c>
      <c r="F215" s="19">
        <v>44926</v>
      </c>
      <c r="G215" s="156">
        <v>45291</v>
      </c>
      <c r="H215" s="156">
        <v>45657</v>
      </c>
      <c r="I215" s="156">
        <v>46022</v>
      </c>
      <c r="J215" s="156">
        <v>46387</v>
      </c>
      <c r="K215" s="156">
        <v>46752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3">
      <c r="A216" s="18" t="s">
        <v>113</v>
      </c>
      <c r="B216" s="32"/>
      <c r="C216" s="20" t="s">
        <v>11</v>
      </c>
      <c r="D216" s="20" t="s">
        <v>11</v>
      </c>
      <c r="E216" s="20" t="s">
        <v>11</v>
      </c>
      <c r="F216" s="20" t="s">
        <v>11</v>
      </c>
      <c r="G216" s="157" t="s">
        <v>12</v>
      </c>
      <c r="H216" s="157" t="s">
        <v>12</v>
      </c>
      <c r="I216" s="157" t="s">
        <v>12</v>
      </c>
      <c r="J216" s="157" t="s">
        <v>12</v>
      </c>
      <c r="K216" s="157" t="s">
        <v>12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3">
      <c r="A217" s="23"/>
      <c r="B217" s="32"/>
      <c r="C217" s="20"/>
      <c r="D217" s="20"/>
      <c r="E217" s="20"/>
      <c r="F217" s="20"/>
      <c r="G217" s="173"/>
      <c r="H217" s="174"/>
      <c r="I217" s="174"/>
      <c r="J217" s="152"/>
      <c r="K217" s="15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3">
      <c r="A218" s="21" t="s">
        <v>114</v>
      </c>
      <c r="B218" s="32"/>
      <c r="C218" s="37"/>
      <c r="D218" s="37">
        <f>(D25-C25)/C25</f>
        <v>9.9478034902215517E-2</v>
      </c>
      <c r="E218" s="37">
        <f>(E25-D25)/D25</f>
        <v>0.15397843503207045</v>
      </c>
      <c r="F218" s="37">
        <f>(F25-E25)/E25</f>
        <v>7.8747386858014565E-3</v>
      </c>
      <c r="G218" s="249">
        <f t="shared" ref="G218:K218" si="135">(G25-F25)/F25</f>
        <v>0.11000000000000013</v>
      </c>
      <c r="H218" s="249">
        <f t="shared" si="135"/>
        <v>0.12000000000000005</v>
      </c>
      <c r="I218" s="249">
        <f t="shared" si="135"/>
        <v>0.12999999999999981</v>
      </c>
      <c r="J218" s="249">
        <f t="shared" si="135"/>
        <v>0.12999999999999995</v>
      </c>
      <c r="K218" s="249">
        <f t="shared" si="135"/>
        <v>0.12000000000000008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3">
      <c r="A219" s="21" t="s">
        <v>115</v>
      </c>
      <c r="B219" s="32"/>
      <c r="C219" s="37">
        <f>C227/C25</f>
        <v>0.30863146575864153</v>
      </c>
      <c r="D219" s="37">
        <f>D227/D25</f>
        <v>0.31137988084662471</v>
      </c>
      <c r="E219" s="37">
        <f>E227/E25</f>
        <v>0.34366701508559805</v>
      </c>
      <c r="F219" s="37">
        <f>F227/F25</f>
        <v>0.31699916612359597</v>
      </c>
      <c r="G219" s="249">
        <f t="shared" ref="G219:K219" si="136">G227/G25</f>
        <v>0.35640147534698613</v>
      </c>
      <c r="H219" s="249">
        <f t="shared" si="136"/>
        <v>0.39425716843943531</v>
      </c>
      <c r="I219" s="249">
        <f t="shared" si="136"/>
        <v>0.43001047954665117</v>
      </c>
      <c r="J219" s="249">
        <f t="shared" si="136"/>
        <v>0.46908166211758956</v>
      </c>
      <c r="K219" s="249">
        <f t="shared" si="136"/>
        <v>0.5059348297010251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3">
      <c r="A220" s="21" t="s">
        <v>116</v>
      </c>
      <c r="B220" s="32"/>
      <c r="C220" s="37">
        <f t="shared" ref="C220:K220" si="137">C160</f>
        <v>0.11925786665147461</v>
      </c>
      <c r="D220" s="37">
        <f t="shared" si="137"/>
        <v>0.14332148439120873</v>
      </c>
      <c r="E220" s="37">
        <f t="shared" si="137"/>
        <v>9.3217447810900814E-2</v>
      </c>
      <c r="F220" s="37">
        <f t="shared" si="137"/>
        <v>8.2510578279266569E-2</v>
      </c>
      <c r="G220" s="249">
        <f t="shared" si="137"/>
        <v>0.08</v>
      </c>
      <c r="H220" s="249">
        <f t="shared" si="137"/>
        <v>0.08</v>
      </c>
      <c r="I220" s="249">
        <f t="shared" si="137"/>
        <v>0.08</v>
      </c>
      <c r="J220" s="249">
        <f t="shared" si="137"/>
        <v>0.08</v>
      </c>
      <c r="K220" s="249">
        <f t="shared" si="137"/>
        <v>0.08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3">
      <c r="A221" s="21" t="s">
        <v>117</v>
      </c>
      <c r="B221" s="32"/>
      <c r="C221" s="37">
        <f>C229/C25</f>
        <v>-0.11730549519478482</v>
      </c>
      <c r="D221" s="37">
        <f>D229/D25</f>
        <v>3.7416767862818771E-2</v>
      </c>
      <c r="E221" s="37">
        <f t="shared" ref="E221:K221" si="138">E229/E25</f>
        <v>0.13621179162664557</v>
      </c>
      <c r="F221" s="37">
        <f t="shared" si="138"/>
        <v>1.4266994611336507E-2</v>
      </c>
      <c r="G221" s="249">
        <f t="shared" si="138"/>
        <v>1.4697237336981696E-2</v>
      </c>
      <c r="H221" s="249">
        <f t="shared" si="138"/>
        <v>3.1925530083469042E-3</v>
      </c>
      <c r="I221" s="249">
        <f t="shared" si="138"/>
        <v>-7.1425932308886884E-3</v>
      </c>
      <c r="J221" s="249">
        <f t="shared" si="138"/>
        <v>-1.62864970702239E-2</v>
      </c>
      <c r="K221" s="249">
        <f t="shared" si="138"/>
        <v>-2.4760969117289117E-2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3">
      <c r="A222" s="21" t="s">
        <v>118</v>
      </c>
      <c r="B222" s="32"/>
      <c r="C222" s="37">
        <f>-C230/C25</f>
        <v>3.8692623042630887E-2</v>
      </c>
      <c r="D222" s="37">
        <f>-D230/D25</f>
        <v>2.4951303596606328E-2</v>
      </c>
      <c r="E222" s="37">
        <f t="shared" ref="E222:K222" si="139">-E230/E25</f>
        <v>7.6921718741171818E-2</v>
      </c>
      <c r="F222" s="37">
        <f t="shared" si="139"/>
        <v>-1.5149922568619618E-2</v>
      </c>
      <c r="G222" s="249">
        <f t="shared" si="139"/>
        <v>-1.4331007835180718E-2</v>
      </c>
      <c r="H222" s="249">
        <f t="shared" si="139"/>
        <v>-1.3435319845481923E-2</v>
      </c>
      <c r="I222" s="249">
        <f t="shared" si="139"/>
        <v>-1.2484146759076125E-2</v>
      </c>
      <c r="J222" s="249">
        <f t="shared" si="139"/>
        <v>-1.1600313360203479E-2</v>
      </c>
      <c r="K222" s="249">
        <f t="shared" si="139"/>
        <v>-1.0875293775190762E-2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3">
      <c r="A223" s="21" t="s">
        <v>119</v>
      </c>
      <c r="B223" s="32"/>
      <c r="C223" s="37">
        <f>-C231/C25</f>
        <v>0.36214520934608746</v>
      </c>
      <c r="D223" s="37">
        <f>-D231/D25</f>
        <v>9.2050464958964628E-2</v>
      </c>
      <c r="E223" s="37">
        <f t="shared" ref="E223:K223" si="140">-E231/E25</f>
        <v>9.7544352788293126E-2</v>
      </c>
      <c r="F223" s="37">
        <f t="shared" si="140"/>
        <v>0.11427610418549895</v>
      </c>
      <c r="G223" s="249">
        <f t="shared" si="140"/>
        <v>8.7344781347177852E-2</v>
      </c>
      <c r="H223" s="249">
        <f t="shared" si="140"/>
        <v>7.5322658765263187E-2</v>
      </c>
      <c r="I223" s="249">
        <f t="shared" si="140"/>
        <v>6.7219904170965905E-2</v>
      </c>
      <c r="J223" s="249">
        <f t="shared" si="140"/>
        <v>6.1724030002845827E-2</v>
      </c>
      <c r="K223" s="249">
        <f t="shared" si="140"/>
        <v>5.7698285386319978E-2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3">
      <c r="A224" s="5"/>
      <c r="B224" s="32"/>
      <c r="C224" s="37"/>
      <c r="D224" s="37"/>
      <c r="E224" s="37"/>
      <c r="F224" s="37"/>
      <c r="G224" s="265"/>
      <c r="H224" s="199"/>
      <c r="I224" s="199"/>
      <c r="J224" s="182"/>
      <c r="K224" s="18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3">
      <c r="A225" s="5"/>
      <c r="B225" s="32"/>
      <c r="C225" s="37"/>
      <c r="D225" s="37"/>
      <c r="E225" s="37"/>
      <c r="F225" s="37"/>
      <c r="G225" s="265"/>
      <c r="H225" s="199"/>
      <c r="I225" s="199"/>
      <c r="J225" s="182"/>
      <c r="K225" s="18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3">
      <c r="A226" s="18" t="s">
        <v>120</v>
      </c>
      <c r="B226" s="32"/>
      <c r="C226" s="37"/>
      <c r="D226" s="37"/>
      <c r="E226" s="37"/>
      <c r="F226" s="37"/>
      <c r="G226" s="265"/>
      <c r="H226" s="199"/>
      <c r="I226" s="199"/>
      <c r="J226" s="182"/>
      <c r="K226" s="18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3">
      <c r="A227" s="21" t="s">
        <v>121</v>
      </c>
      <c r="B227" s="32"/>
      <c r="C227" s="24">
        <f>C30+C33</f>
        <v>6888.5</v>
      </c>
      <c r="D227" s="26">
        <f>D30+D33</f>
        <v>7641.2000000000007</v>
      </c>
      <c r="E227" s="26">
        <f>E30+E33</f>
        <v>9732.1</v>
      </c>
      <c r="F227" s="26">
        <f t="shared" ref="F227:K227" si="141">F30+F33</f>
        <v>9047.6000000000022</v>
      </c>
      <c r="G227" s="254">
        <f t="shared" si="141"/>
        <v>11291.138746000004</v>
      </c>
      <c r="H227" s="254">
        <f t="shared" si="141"/>
        <v>13989.296403600005</v>
      </c>
      <c r="I227" s="254">
        <f t="shared" si="141"/>
        <v>17241.448796207998</v>
      </c>
      <c r="J227" s="254">
        <f t="shared" si="141"/>
        <v>21253.067222684636</v>
      </c>
      <c r="K227" s="254">
        <f t="shared" si="141"/>
        <v>25673.54034919928</v>
      </c>
      <c r="L227" s="2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3">
      <c r="A228" s="21" t="s">
        <v>122</v>
      </c>
      <c r="B228" s="32"/>
      <c r="C228" s="24">
        <f t="shared" ref="C228:K228" si="142">-(C227*C160)</f>
        <v>-821.50781442868288</v>
      </c>
      <c r="D228" s="24">
        <f t="shared" si="142"/>
        <v>-1095.1481265301043</v>
      </c>
      <c r="E228" s="24">
        <f t="shared" si="142"/>
        <v>-907.20152384046787</v>
      </c>
      <c r="F228" s="24">
        <f t="shared" si="142"/>
        <v>-746.52270803949239</v>
      </c>
      <c r="G228" s="196">
        <f t="shared" si="142"/>
        <v>-903.29109968000034</v>
      </c>
      <c r="H228" s="196">
        <f t="shared" si="142"/>
        <v>-1119.1437122880004</v>
      </c>
      <c r="I228" s="196">
        <f t="shared" si="142"/>
        <v>-1379.3159036966399</v>
      </c>
      <c r="J228" s="196">
        <f t="shared" si="142"/>
        <v>-1700.245377814771</v>
      </c>
      <c r="K228" s="196">
        <f t="shared" si="142"/>
        <v>-2053.8832279359426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3">
      <c r="A229" s="21" t="s">
        <v>123</v>
      </c>
      <c r="B229" s="31"/>
      <c r="C229" s="25">
        <f t="shared" ref="C229:K229" si="143">SUM(C116:C118)</f>
        <v>-2618.1999999999998</v>
      </c>
      <c r="D229" s="25">
        <f t="shared" si="143"/>
        <v>918.2</v>
      </c>
      <c r="E229" s="25">
        <f t="shared" si="143"/>
        <v>3857.2999999999997</v>
      </c>
      <c r="F229" s="25">
        <f t="shared" si="143"/>
        <v>407.19999999999982</v>
      </c>
      <c r="G229" s="197">
        <f t="shared" si="143"/>
        <v>465.62249999999972</v>
      </c>
      <c r="H229" s="197">
        <f t="shared" si="143"/>
        <v>113.2802999999999</v>
      </c>
      <c r="I229" s="197">
        <f t="shared" si="143"/>
        <v>-286.38524250000046</v>
      </c>
      <c r="J229" s="197">
        <f t="shared" si="143"/>
        <v>-737.90566762500066</v>
      </c>
      <c r="K229" s="197">
        <f t="shared" si="143"/>
        <v>-1256.4893784712513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3">
      <c r="A230" s="21" t="s">
        <v>124</v>
      </c>
      <c r="B230" s="31"/>
      <c r="C230" s="25">
        <f t="shared" ref="C230:K230" si="144">C119</f>
        <v>-863.6</v>
      </c>
      <c r="D230" s="25">
        <f t="shared" si="144"/>
        <v>-612.29999999999995</v>
      </c>
      <c r="E230" s="25">
        <f t="shared" si="144"/>
        <v>-2178.3000000000002</v>
      </c>
      <c r="F230" s="25">
        <f t="shared" si="144"/>
        <v>432.4</v>
      </c>
      <c r="G230" s="197">
        <f t="shared" si="144"/>
        <v>454.02</v>
      </c>
      <c r="H230" s="197">
        <f t="shared" si="144"/>
        <v>476.721</v>
      </c>
      <c r="I230" s="197">
        <f t="shared" si="144"/>
        <v>500.55705</v>
      </c>
      <c r="J230" s="197">
        <f t="shared" si="144"/>
        <v>525.5849025</v>
      </c>
      <c r="K230" s="197">
        <f t="shared" si="144"/>
        <v>551.86414762499999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3">
      <c r="A231" s="21" t="s">
        <v>125</v>
      </c>
      <c r="B231" s="31"/>
      <c r="C231" s="71">
        <f t="shared" ref="C231:K231" si="145">C130</f>
        <v>-8082.9</v>
      </c>
      <c r="D231" s="71">
        <f t="shared" si="145"/>
        <v>-2258.9</v>
      </c>
      <c r="E231" s="71">
        <f t="shared" si="145"/>
        <v>-2762.3</v>
      </c>
      <c r="F231" s="71">
        <f t="shared" si="145"/>
        <v>-3261.6</v>
      </c>
      <c r="G231" s="197">
        <f t="shared" si="145"/>
        <v>-2767.1660000000002</v>
      </c>
      <c r="H231" s="197">
        <f t="shared" si="145"/>
        <v>-2672.6489300000003</v>
      </c>
      <c r="I231" s="197">
        <f t="shared" si="145"/>
        <v>-2695.2099797000005</v>
      </c>
      <c r="J231" s="197">
        <f t="shared" si="145"/>
        <v>-2796.5812029050007</v>
      </c>
      <c r="K231" s="197">
        <f t="shared" si="145"/>
        <v>-2927.8855120938506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thickBot="1" x14ac:dyDescent="0.35">
      <c r="A232" s="23" t="s">
        <v>126</v>
      </c>
      <c r="B232" s="32"/>
      <c r="C232" s="270">
        <f t="shared" ref="C232:K232" si="146">SUM(C227:C231)</f>
        <v>-5497.7078144286825</v>
      </c>
      <c r="D232" s="270">
        <f t="shared" si="146"/>
        <v>4593.0518734698962</v>
      </c>
      <c r="E232" s="270">
        <f t="shared" si="146"/>
        <v>7741.5984761595309</v>
      </c>
      <c r="F232" s="270">
        <f t="shared" si="146"/>
        <v>5879.0772919605079</v>
      </c>
      <c r="G232" s="271">
        <f t="shared" si="146"/>
        <v>8540.3241463200029</v>
      </c>
      <c r="H232" s="271">
        <f t="shared" si="146"/>
        <v>10787.505061312004</v>
      </c>
      <c r="I232" s="271">
        <f t="shared" si="146"/>
        <v>13381.094720311357</v>
      </c>
      <c r="J232" s="271">
        <f t="shared" si="146"/>
        <v>16543.919876839864</v>
      </c>
      <c r="K232" s="271">
        <f t="shared" si="146"/>
        <v>19987.146378323239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thickTop="1" x14ac:dyDescent="0.3">
      <c r="A233" s="5"/>
      <c r="B233" s="31"/>
      <c r="C233" s="31"/>
      <c r="D233" s="31"/>
      <c r="E233" s="31"/>
      <c r="F233" s="31"/>
      <c r="G233" s="31"/>
      <c r="H233" s="32"/>
      <c r="I233" s="3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3">
      <c r="A234" s="5"/>
      <c r="B234" s="31"/>
      <c r="C234" s="31"/>
      <c r="D234" s="31"/>
      <c r="E234" s="31"/>
      <c r="F234" s="31"/>
      <c r="G234" s="31"/>
      <c r="H234" s="32"/>
      <c r="I234" s="3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3">
      <c r="A235" s="5"/>
      <c r="B235" s="31"/>
      <c r="C235" s="31"/>
      <c r="D235" s="31"/>
      <c r="E235" s="31"/>
      <c r="F235" s="31"/>
      <c r="G235" s="31"/>
      <c r="H235" s="32"/>
      <c r="I235" s="3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3">
      <c r="A236" s="18" t="s">
        <v>127</v>
      </c>
      <c r="B236" s="31"/>
      <c r="C236" s="19">
        <v>43830</v>
      </c>
      <c r="D236" s="19">
        <v>44196</v>
      </c>
      <c r="E236" s="19">
        <v>44561</v>
      </c>
      <c r="F236" s="19">
        <v>44926</v>
      </c>
      <c r="G236" s="263">
        <v>45291</v>
      </c>
      <c r="H236" s="263">
        <v>45657</v>
      </c>
      <c r="I236" s="263">
        <v>46022</v>
      </c>
      <c r="J236" s="263">
        <v>46387</v>
      </c>
      <c r="K236" s="263">
        <v>46752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3">
      <c r="A237" s="18" t="s">
        <v>128</v>
      </c>
      <c r="B237" s="31"/>
      <c r="C237" s="20" t="s">
        <v>11</v>
      </c>
      <c r="D237" s="20" t="s">
        <v>11</v>
      </c>
      <c r="E237" s="20" t="s">
        <v>11</v>
      </c>
      <c r="F237" s="72" t="s">
        <v>11</v>
      </c>
      <c r="G237" s="264" t="s">
        <v>11</v>
      </c>
      <c r="H237" s="264" t="s">
        <v>11</v>
      </c>
      <c r="I237" s="264" t="s">
        <v>11</v>
      </c>
      <c r="J237" s="264" t="s">
        <v>11</v>
      </c>
      <c r="K237" s="264" t="s">
        <v>11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3">
      <c r="A238" s="18"/>
      <c r="B238" s="31"/>
      <c r="C238" s="72" t="s">
        <v>129</v>
      </c>
      <c r="D238" s="72" t="s">
        <v>129</v>
      </c>
      <c r="E238" s="72" t="s">
        <v>129</v>
      </c>
      <c r="F238" s="72" t="s">
        <v>129</v>
      </c>
      <c r="G238" s="264" t="s">
        <v>130</v>
      </c>
      <c r="H238" s="264" t="s">
        <v>130</v>
      </c>
      <c r="I238" s="264" t="s">
        <v>130</v>
      </c>
      <c r="J238" s="264" t="s">
        <v>130</v>
      </c>
      <c r="K238" s="264" t="s">
        <v>130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3">
      <c r="A239" s="5"/>
      <c r="B239" s="31"/>
      <c r="C239" s="37"/>
      <c r="D239" s="37">
        <v>9.9478034902215517E-2</v>
      </c>
      <c r="E239" s="37">
        <v>0.15397843503207045</v>
      </c>
      <c r="F239" s="72"/>
      <c r="G239" s="260"/>
      <c r="H239" s="260"/>
      <c r="I239" s="260"/>
      <c r="J239" s="260"/>
      <c r="K239" s="198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3">
      <c r="A240" s="21" t="s">
        <v>114</v>
      </c>
      <c r="B240" s="32"/>
      <c r="C240" s="37">
        <v>0.30863146575864153</v>
      </c>
      <c r="D240" s="37">
        <v>0.31137988084662471</v>
      </c>
      <c r="E240" s="37">
        <v>0.34366701508559805</v>
      </c>
      <c r="F240" s="37">
        <f t="shared" ref="F240:F245" si="147">F218</f>
        <v>7.8747386858014565E-3</v>
      </c>
      <c r="G240" s="249">
        <f>(G25-F25)/F25</f>
        <v>0.11000000000000013</v>
      </c>
      <c r="H240" s="249">
        <f t="shared" ref="H240:K240" si="148">(H25-G25)/G25</f>
        <v>0.12000000000000005</v>
      </c>
      <c r="I240" s="249">
        <f t="shared" si="148"/>
        <v>0.12999999999999981</v>
      </c>
      <c r="J240" s="249">
        <f t="shared" si="148"/>
        <v>0.12999999999999995</v>
      </c>
      <c r="K240" s="249">
        <f t="shared" si="148"/>
        <v>0.12000000000000008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3">
      <c r="A241" s="21" t="s">
        <v>115</v>
      </c>
      <c r="B241" s="32"/>
      <c r="C241" s="37">
        <v>0.11925786665147461</v>
      </c>
      <c r="D241" s="37">
        <v>0.14332148439120873</v>
      </c>
      <c r="E241" s="37">
        <v>9.3217447810900814E-2</v>
      </c>
      <c r="F241" s="37">
        <f t="shared" si="147"/>
        <v>0.31699916612359597</v>
      </c>
      <c r="G241" s="249">
        <f>G30/G25</f>
        <v>0.33058354240216387</v>
      </c>
      <c r="H241" s="249">
        <f t="shared" ref="H241:K241" si="149">H30/H25</f>
        <v>0.36838833830572149</v>
      </c>
      <c r="I241" s="249">
        <f t="shared" si="149"/>
        <v>0.40373086897874266</v>
      </c>
      <c r="J241" s="249">
        <f t="shared" si="149"/>
        <v>0.44236166999696663</v>
      </c>
      <c r="K241" s="249">
        <f t="shared" si="149"/>
        <v>0.47880197987473239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3">
      <c r="A242" s="21" t="s">
        <v>116</v>
      </c>
      <c r="B242" s="32"/>
      <c r="C242" s="37">
        <v>-0.11730549519478482</v>
      </c>
      <c r="D242" s="37">
        <v>3.7416767862818771E-2</v>
      </c>
      <c r="E242" s="37">
        <v>0.13621179162664557</v>
      </c>
      <c r="F242" s="37">
        <f t="shared" si="147"/>
        <v>8.2510578279266569E-2</v>
      </c>
      <c r="G242" s="249">
        <f t="shared" ref="G242:K242" si="150">G220</f>
        <v>0.08</v>
      </c>
      <c r="H242" s="249">
        <f t="shared" si="150"/>
        <v>0.08</v>
      </c>
      <c r="I242" s="249">
        <f t="shared" si="150"/>
        <v>0.08</v>
      </c>
      <c r="J242" s="249">
        <f t="shared" si="150"/>
        <v>0.08</v>
      </c>
      <c r="K242" s="249">
        <f t="shared" si="150"/>
        <v>0.08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3">
      <c r="A243" s="21" t="s">
        <v>117</v>
      </c>
      <c r="B243" s="32"/>
      <c r="C243" s="37">
        <v>3.8692623042630887E-2</v>
      </c>
      <c r="D243" s="37">
        <v>2.4951303596606328E-2</v>
      </c>
      <c r="E243" s="37">
        <v>7.6921718741171818E-2</v>
      </c>
      <c r="F243" s="37">
        <f t="shared" si="147"/>
        <v>1.4266994611336507E-2</v>
      </c>
      <c r="G243" s="261">
        <f>G221</f>
        <v>1.4697237336981696E-2</v>
      </c>
      <c r="H243" s="261">
        <f t="shared" ref="H243:K243" si="151">H221</f>
        <v>3.1925530083469042E-3</v>
      </c>
      <c r="I243" s="261">
        <f t="shared" si="151"/>
        <v>-7.1425932308886884E-3</v>
      </c>
      <c r="J243" s="261">
        <f t="shared" si="151"/>
        <v>-1.62864970702239E-2</v>
      </c>
      <c r="K243" s="261">
        <f t="shared" si="151"/>
        <v>-2.4760969117289117E-2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3">
      <c r="A244" s="21" t="s">
        <v>118</v>
      </c>
      <c r="B244" s="32"/>
      <c r="C244" s="37">
        <v>0.36214520934608746</v>
      </c>
      <c r="D244" s="37">
        <v>9.2050464958964628E-2</v>
      </c>
      <c r="E244" s="37">
        <v>9.7544352788293126E-2</v>
      </c>
      <c r="F244" s="37">
        <f t="shared" si="147"/>
        <v>-1.5149922568619618E-2</v>
      </c>
      <c r="G244" s="261">
        <f>G222</f>
        <v>-1.4331007835180718E-2</v>
      </c>
      <c r="H244" s="261">
        <f t="shared" ref="H244:K244" si="152">H222</f>
        <v>-1.3435319845481923E-2</v>
      </c>
      <c r="I244" s="261">
        <f t="shared" si="152"/>
        <v>-1.2484146759076125E-2</v>
      </c>
      <c r="J244" s="261">
        <f t="shared" si="152"/>
        <v>-1.1600313360203479E-2</v>
      </c>
      <c r="K244" s="261">
        <f t="shared" si="152"/>
        <v>-1.0875293775190762E-2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3">
      <c r="A245" s="21" t="s">
        <v>119</v>
      </c>
      <c r="B245" s="32"/>
      <c r="C245" s="37"/>
      <c r="D245" s="37"/>
      <c r="E245" s="37"/>
      <c r="F245" s="37">
        <f t="shared" si="147"/>
        <v>0.11427610418549895</v>
      </c>
      <c r="G245" s="249">
        <f>-G130/G25</f>
        <v>8.7344781347177852E-2</v>
      </c>
      <c r="H245" s="249">
        <f t="shared" ref="H245:K245" si="153">-H130/H25</f>
        <v>7.5322658765263187E-2</v>
      </c>
      <c r="I245" s="249">
        <f t="shared" si="153"/>
        <v>6.7219904170965905E-2</v>
      </c>
      <c r="J245" s="249">
        <f t="shared" si="153"/>
        <v>6.1724030002845827E-2</v>
      </c>
      <c r="K245" s="249">
        <f t="shared" si="153"/>
        <v>5.7698285386319978E-2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3">
      <c r="A246" s="5"/>
      <c r="B246" s="31"/>
      <c r="C246" s="37"/>
      <c r="D246" s="37"/>
      <c r="E246" s="37"/>
      <c r="F246" s="73"/>
      <c r="G246" s="262"/>
      <c r="H246" s="262"/>
      <c r="I246" s="262"/>
      <c r="J246" s="262"/>
      <c r="K246" s="262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3">
      <c r="A247" s="21" t="s">
        <v>131</v>
      </c>
      <c r="B247" s="31"/>
      <c r="C247" s="37"/>
      <c r="D247" s="37"/>
      <c r="E247" s="37"/>
      <c r="F247" s="26">
        <f>F25</f>
        <v>28541.4</v>
      </c>
      <c r="G247" s="254">
        <f t="shared" ref="G247" si="154">F247*(1+G240)</f>
        <v>31680.954000000005</v>
      </c>
      <c r="H247" s="254">
        <f t="shared" ref="H247" si="155">G247*(1+H240)</f>
        <v>35482.668480000008</v>
      </c>
      <c r="I247" s="254">
        <f t="shared" ref="I247" si="156">H247*(1+I240)</f>
        <v>40095.415382400002</v>
      </c>
      <c r="J247" s="254">
        <f t="shared" ref="J247" si="157">I247*(1+J240)</f>
        <v>45307.819382112</v>
      </c>
      <c r="K247" s="254">
        <f t="shared" ref="K247" si="158">J247*(1+K240)</f>
        <v>50744.757707965444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21.75" customHeight="1" x14ac:dyDescent="0.3">
      <c r="A248" s="21" t="s">
        <v>121</v>
      </c>
      <c r="B248" s="31"/>
      <c r="C248" s="24">
        <v>6888.5</v>
      </c>
      <c r="D248" s="26">
        <v>7641.2000000000007</v>
      </c>
      <c r="E248" s="26">
        <v>9732.1</v>
      </c>
      <c r="F248" s="26">
        <f t="shared" ref="F248:F253" si="159">F227</f>
        <v>9047.6000000000022</v>
      </c>
      <c r="G248" s="254">
        <f t="shared" ref="G248:K248" si="160">G247*G241</f>
        <v>10473.202000000005</v>
      </c>
      <c r="H248" s="254">
        <f t="shared" si="160"/>
        <v>13071.401280000004</v>
      </c>
      <c r="I248" s="254">
        <f t="shared" si="160"/>
        <v>16187.756894399998</v>
      </c>
      <c r="J248" s="254">
        <f t="shared" si="160"/>
        <v>20042.442645791998</v>
      </c>
      <c r="K248" s="254">
        <f t="shared" si="160"/>
        <v>24296.690458837442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3">
      <c r="A249" s="21" t="s">
        <v>122</v>
      </c>
      <c r="B249" s="31"/>
      <c r="C249" s="24">
        <v>-821.50781442868288</v>
      </c>
      <c r="D249" s="24">
        <v>-1095.1481265301043</v>
      </c>
      <c r="E249" s="24">
        <v>-907.20152384046787</v>
      </c>
      <c r="F249" s="24">
        <f t="shared" si="159"/>
        <v>-746.52270803949239</v>
      </c>
      <c r="G249" s="196">
        <f t="shared" ref="G249:K249" si="161">-(G248*G242)</f>
        <v>-837.85616000000039</v>
      </c>
      <c r="H249" s="196">
        <f t="shared" si="161"/>
        <v>-1045.7121024000003</v>
      </c>
      <c r="I249" s="196">
        <f t="shared" si="161"/>
        <v>-1295.0205515519999</v>
      </c>
      <c r="J249" s="196">
        <f t="shared" si="161"/>
        <v>-1603.3954116633599</v>
      </c>
      <c r="K249" s="196">
        <f t="shared" si="161"/>
        <v>-1943.7352367069955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3">
      <c r="A250" s="21" t="s">
        <v>123</v>
      </c>
      <c r="B250" s="31"/>
      <c r="C250" s="25">
        <v>-2618.1999999999998</v>
      </c>
      <c r="D250" s="25">
        <v>918.2</v>
      </c>
      <c r="E250" s="25">
        <v>3857.2999999999997</v>
      </c>
      <c r="F250" s="24">
        <f t="shared" si="159"/>
        <v>407.19999999999982</v>
      </c>
      <c r="G250" s="196">
        <f t="shared" ref="G250:K250" si="162">G243*G247</f>
        <v>465.62249999999972</v>
      </c>
      <c r="H250" s="196">
        <f t="shared" si="162"/>
        <v>113.2802999999999</v>
      </c>
      <c r="I250" s="196">
        <f t="shared" si="162"/>
        <v>-286.38524250000046</v>
      </c>
      <c r="J250" s="196">
        <f t="shared" si="162"/>
        <v>-737.90566762500077</v>
      </c>
      <c r="K250" s="196">
        <f t="shared" si="162"/>
        <v>-1256.4893784712513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3">
      <c r="A251" s="21" t="s">
        <v>124</v>
      </c>
      <c r="B251" s="31"/>
      <c r="C251" s="25">
        <v>-863.6</v>
      </c>
      <c r="D251" s="25">
        <v>-612.29999999999995</v>
      </c>
      <c r="E251" s="25">
        <v>-2178.3000000000002</v>
      </c>
      <c r="F251" s="24">
        <f t="shared" si="159"/>
        <v>432.4</v>
      </c>
      <c r="G251" s="196">
        <f t="shared" ref="G251:K251" si="163">-G244*G247</f>
        <v>454.02</v>
      </c>
      <c r="H251" s="196">
        <f t="shared" si="163"/>
        <v>476.721</v>
      </c>
      <c r="I251" s="196">
        <f t="shared" si="163"/>
        <v>500.55705</v>
      </c>
      <c r="J251" s="196">
        <f t="shared" si="163"/>
        <v>525.5849025</v>
      </c>
      <c r="K251" s="196">
        <f t="shared" si="163"/>
        <v>551.86414762499999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3">
      <c r="A252" s="21" t="s">
        <v>125</v>
      </c>
      <c r="B252" s="31"/>
      <c r="C252" s="71">
        <v>-8082.9</v>
      </c>
      <c r="D252" s="71">
        <v>-2258.9</v>
      </c>
      <c r="E252" s="71">
        <v>-2762.3</v>
      </c>
      <c r="F252" s="24">
        <f t="shared" si="159"/>
        <v>-3261.6</v>
      </c>
      <c r="G252" s="196">
        <f t="shared" ref="G252:K252" si="164">-G245*G247</f>
        <v>-2767.1660000000002</v>
      </c>
      <c r="H252" s="196">
        <f t="shared" si="164"/>
        <v>-2672.6489300000003</v>
      </c>
      <c r="I252" s="196">
        <f t="shared" si="164"/>
        <v>-2695.2099797000005</v>
      </c>
      <c r="J252" s="196">
        <f t="shared" si="164"/>
        <v>-2796.5812029050007</v>
      </c>
      <c r="K252" s="196">
        <f t="shared" si="164"/>
        <v>-2927.8855120938506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thickBot="1" x14ac:dyDescent="0.35">
      <c r="A253" s="23" t="s">
        <v>126</v>
      </c>
      <c r="B253" s="31"/>
      <c r="C253" s="270">
        <v>-5497.7078144286825</v>
      </c>
      <c r="D253" s="270">
        <v>4593.0518734698962</v>
      </c>
      <c r="E253" s="270">
        <v>7741.5984761595309</v>
      </c>
      <c r="F253" s="272">
        <f t="shared" si="159"/>
        <v>5879.0772919605079</v>
      </c>
      <c r="G253" s="273">
        <f t="shared" ref="G253" si="165">SUM(G248:G252)</f>
        <v>7787.8223400000034</v>
      </c>
      <c r="H253" s="273">
        <f t="shared" ref="H253:K253" si="166">SUM(H248:H252)</f>
        <v>9943.0415476000016</v>
      </c>
      <c r="I253" s="273">
        <f t="shared" si="166"/>
        <v>12411.698170647996</v>
      </c>
      <c r="J253" s="273">
        <f t="shared" si="166"/>
        <v>15430.145266098634</v>
      </c>
      <c r="K253" s="273">
        <f t="shared" si="166"/>
        <v>18720.444479190348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thickTop="1" x14ac:dyDescent="0.3">
      <c r="A254" s="5"/>
      <c r="B254" s="31"/>
      <c r="C254" s="24"/>
      <c r="D254" s="24"/>
      <c r="E254" s="24"/>
      <c r="F254" s="24"/>
      <c r="G254" s="24"/>
      <c r="H254" s="32"/>
      <c r="I254" s="32"/>
      <c r="J254" s="29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3">
      <c r="A255" s="5"/>
      <c r="B255" s="31"/>
      <c r="C255" s="24"/>
      <c r="D255" s="24"/>
      <c r="E255" s="24"/>
      <c r="F255" s="24"/>
      <c r="G255" s="24"/>
      <c r="H255" s="32"/>
      <c r="I255" s="32"/>
      <c r="J255" s="29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3">
      <c r="A256" s="18" t="s">
        <v>132</v>
      </c>
      <c r="B256" s="31"/>
      <c r="C256" s="24"/>
      <c r="D256" s="31"/>
      <c r="E256" s="31"/>
      <c r="F256" s="31"/>
      <c r="G256" s="31"/>
      <c r="H256" s="32"/>
      <c r="I256" s="32"/>
      <c r="J256" s="29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3">
      <c r="A257" s="5"/>
      <c r="B257" s="31"/>
      <c r="C257" s="31"/>
      <c r="D257" s="31"/>
      <c r="E257" s="31"/>
      <c r="F257" s="31"/>
      <c r="G257" s="31"/>
      <c r="H257" s="32"/>
      <c r="I257" s="32"/>
      <c r="J257" s="29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3">
      <c r="A258" s="21" t="s">
        <v>97</v>
      </c>
      <c r="B258" s="38">
        <f>G174</f>
        <v>7.8623674370235208E-2</v>
      </c>
      <c r="C258" s="31"/>
      <c r="D258" s="31"/>
      <c r="E258" s="31"/>
      <c r="F258" s="31"/>
      <c r="G258" s="31"/>
      <c r="H258" s="32"/>
      <c r="I258" s="32"/>
      <c r="J258" s="29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3">
      <c r="A259" s="21" t="s">
        <v>101</v>
      </c>
      <c r="B259" s="37">
        <f>B183</f>
        <v>2.2499999999999999E-2</v>
      </c>
      <c r="C259" s="31"/>
      <c r="D259" s="31"/>
      <c r="E259" s="31"/>
      <c r="F259" s="31"/>
      <c r="G259" s="31"/>
      <c r="H259" s="32"/>
      <c r="I259" s="32"/>
      <c r="J259" s="29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3">
      <c r="A260" s="5"/>
      <c r="B260" s="38"/>
      <c r="C260" s="31"/>
      <c r="D260" s="31"/>
      <c r="E260" s="31"/>
      <c r="F260" s="31"/>
      <c r="G260" s="31"/>
      <c r="H260" s="32"/>
      <c r="I260" s="32"/>
      <c r="J260" s="29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3">
      <c r="A261" s="5"/>
      <c r="B261" s="5"/>
      <c r="C261" s="19">
        <v>44926</v>
      </c>
      <c r="D261" s="19">
        <v>45291</v>
      </c>
      <c r="E261" s="19">
        <v>45657</v>
      </c>
      <c r="F261" s="19">
        <v>46022</v>
      </c>
      <c r="G261" s="19">
        <v>46387</v>
      </c>
      <c r="H261" s="19">
        <v>46752</v>
      </c>
      <c r="I261" s="74"/>
      <c r="J261" s="29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3">
      <c r="A262" s="5"/>
      <c r="B262" s="18" t="s">
        <v>103</v>
      </c>
      <c r="C262" s="20">
        <v>0</v>
      </c>
      <c r="D262" s="20">
        <v>1</v>
      </c>
      <c r="E262" s="20">
        <v>2</v>
      </c>
      <c r="F262" s="20">
        <v>3</v>
      </c>
      <c r="G262" s="20">
        <v>4</v>
      </c>
      <c r="H262" s="20">
        <v>5</v>
      </c>
      <c r="I262" s="20"/>
      <c r="J262" s="29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3">
      <c r="A263" s="5"/>
      <c r="B263" s="31"/>
      <c r="C263" s="31"/>
      <c r="D263" s="31"/>
      <c r="E263" s="31"/>
      <c r="F263" s="31"/>
      <c r="G263" s="31"/>
      <c r="H263" s="32"/>
      <c r="I263" s="32"/>
      <c r="J263" s="29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3">
      <c r="A264" s="24" t="s">
        <v>133</v>
      </c>
      <c r="B264" s="24"/>
      <c r="C264" s="26">
        <f>F253</f>
        <v>5879.0772919605079</v>
      </c>
      <c r="D264" s="26">
        <f t="shared" ref="D264:H264" si="167">G253</f>
        <v>7787.8223400000034</v>
      </c>
      <c r="E264" s="26">
        <f t="shared" si="167"/>
        <v>9943.0415476000016</v>
      </c>
      <c r="F264" s="26">
        <f t="shared" si="167"/>
        <v>12411.698170647996</v>
      </c>
      <c r="G264" s="26">
        <f t="shared" si="167"/>
        <v>15430.145266098634</v>
      </c>
      <c r="H264" s="26">
        <f t="shared" si="167"/>
        <v>18720.444479190348</v>
      </c>
      <c r="I264" s="32"/>
      <c r="J264" s="29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35">
      <c r="A265" s="75" t="s">
        <v>134</v>
      </c>
      <c r="B265" s="75"/>
      <c r="C265" s="75"/>
      <c r="D265" s="76">
        <f>D264/((1+$B$258)^D262)</f>
        <v>7220.147791162658</v>
      </c>
      <c r="E265" s="76">
        <f>E264/((1+$B$258)^E262)</f>
        <v>8546.3240845951786</v>
      </c>
      <c r="F265" s="76">
        <f>F264/((1+$B$258)^F262)</f>
        <v>9890.5709125187896</v>
      </c>
      <c r="G265" s="76">
        <f>G264/((1+$B$258)^G262)</f>
        <v>11399.615986868432</v>
      </c>
      <c r="H265" s="76">
        <f>H264/((1+$B$258)^H262)</f>
        <v>12822.314200797835</v>
      </c>
      <c r="I265" s="77"/>
      <c r="J265" s="53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2" customHeight="1" x14ac:dyDescent="0.3">
      <c r="A266" s="24"/>
      <c r="B266" s="24"/>
      <c r="C266" s="24"/>
      <c r="D266" s="26"/>
      <c r="E266" s="26"/>
      <c r="F266" s="26"/>
      <c r="G266" s="26"/>
      <c r="H266" s="32"/>
      <c r="I266" s="32"/>
      <c r="J266" s="29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3">
      <c r="A267" s="24" t="s">
        <v>107</v>
      </c>
      <c r="B267" s="24"/>
      <c r="C267" s="24"/>
      <c r="D267" s="26"/>
      <c r="E267" s="26"/>
      <c r="F267" s="26"/>
      <c r="G267" s="26"/>
      <c r="H267" s="32">
        <f>(H264*(1+B259))/(B258-B259)</f>
        <v>341062.03299696592</v>
      </c>
      <c r="I267" s="32"/>
      <c r="J267" s="29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35">
      <c r="A268" s="75" t="s">
        <v>108</v>
      </c>
      <c r="B268" s="75"/>
      <c r="C268" s="75"/>
      <c r="D268" s="26"/>
      <c r="E268" s="26"/>
      <c r="F268" s="26"/>
      <c r="G268" s="26"/>
      <c r="H268" s="77">
        <f>H267/((1+$B$258)^H262)</f>
        <v>233605.80748556647</v>
      </c>
      <c r="I268" s="77"/>
      <c r="J268" s="53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2" customHeight="1" x14ac:dyDescent="0.3">
      <c r="A269" s="24"/>
      <c r="B269" s="26"/>
      <c r="C269" s="24"/>
      <c r="D269" s="24"/>
      <c r="E269" s="24"/>
      <c r="F269" s="24"/>
      <c r="G269" s="24"/>
      <c r="H269" s="32"/>
      <c r="I269" s="32"/>
      <c r="J269" s="29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3">
      <c r="A270" s="24" t="s">
        <v>135</v>
      </c>
      <c r="B270" s="26">
        <f>SUM(D265:H265)+H268</f>
        <v>283484.78046150936</v>
      </c>
      <c r="C270" s="24"/>
      <c r="D270" s="24"/>
      <c r="E270" s="24"/>
      <c r="F270" s="24"/>
      <c r="G270" s="24"/>
      <c r="H270" s="32"/>
      <c r="I270" s="32"/>
      <c r="J270" s="29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3">
      <c r="A271" s="24" t="s">
        <v>266</v>
      </c>
      <c r="B271" s="26">
        <f>-F169</f>
        <v>-16238.6</v>
      </c>
      <c r="C271" s="24"/>
      <c r="D271" s="24"/>
      <c r="E271" s="24"/>
      <c r="F271" s="24"/>
      <c r="G271" s="24"/>
      <c r="H271" s="32"/>
      <c r="I271" s="32"/>
      <c r="J271" s="29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3">
      <c r="A272" s="24" t="s">
        <v>136</v>
      </c>
      <c r="B272" s="26">
        <f>SUM(B270:B271)</f>
        <v>267246.18046150939</v>
      </c>
      <c r="C272" s="24"/>
      <c r="D272" s="24"/>
      <c r="E272" s="24"/>
      <c r="F272" s="24"/>
      <c r="G272" s="24"/>
      <c r="H272" s="32"/>
      <c r="I272" s="32"/>
      <c r="J272" s="29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3">
      <c r="A273" s="24"/>
      <c r="B273" s="24"/>
      <c r="C273" s="24"/>
      <c r="D273" s="24"/>
      <c r="E273" s="24"/>
      <c r="F273" s="24"/>
      <c r="G273" s="24"/>
      <c r="H273" s="32"/>
      <c r="I273" s="32"/>
      <c r="J273" s="29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3">
      <c r="A274" s="24" t="s">
        <v>137</v>
      </c>
      <c r="B274" s="24">
        <f>F41</f>
        <v>950.2</v>
      </c>
      <c r="C274" s="24"/>
      <c r="D274" s="24"/>
      <c r="E274" s="24"/>
      <c r="F274" s="24"/>
      <c r="G274" s="24"/>
      <c r="H274" s="32"/>
      <c r="I274" s="32"/>
      <c r="J274" s="29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3">
      <c r="A275" s="22" t="s">
        <v>138</v>
      </c>
      <c r="B275" s="54">
        <f>B272/B274</f>
        <v>281.25255784204313</v>
      </c>
      <c r="C275" s="24"/>
      <c r="D275" s="24"/>
      <c r="E275" s="24"/>
      <c r="F275" s="24"/>
      <c r="G275" s="24"/>
      <c r="H275" s="32"/>
      <c r="I275" s="32"/>
      <c r="J275" s="29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3">
      <c r="A276" s="5"/>
      <c r="B276" s="31"/>
      <c r="C276" s="31"/>
      <c r="D276" s="31"/>
      <c r="E276" s="31"/>
      <c r="F276" s="31"/>
      <c r="G276" s="31"/>
      <c r="H276" s="32"/>
      <c r="I276" s="32"/>
      <c r="J276" s="29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3">
      <c r="A277" s="5"/>
      <c r="B277" s="31"/>
      <c r="C277" s="31"/>
      <c r="D277" s="31"/>
      <c r="E277" s="31"/>
      <c r="F277" s="31"/>
      <c r="G277" s="31"/>
      <c r="H277" s="32"/>
      <c r="I277" s="32"/>
      <c r="J277" s="29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3">
      <c r="A278" s="5"/>
      <c r="B278" s="55"/>
      <c r="C278" s="282" t="s">
        <v>110</v>
      </c>
      <c r="D278" s="283"/>
      <c r="E278" s="283"/>
      <c r="F278" s="283"/>
      <c r="G278" s="283"/>
      <c r="H278" s="283"/>
      <c r="I278" s="32"/>
      <c r="J278" s="29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3">
      <c r="A279" s="5"/>
      <c r="B279" s="55"/>
      <c r="C279" s="56"/>
      <c r="D279" s="5"/>
      <c r="E279" s="5"/>
      <c r="F279" s="5"/>
      <c r="G279" s="5"/>
      <c r="H279" s="5"/>
      <c r="I279" s="32"/>
      <c r="J279" s="29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3">
      <c r="A280" s="5"/>
      <c r="B280" s="5"/>
      <c r="C280" s="5"/>
      <c r="D280" s="280" t="s">
        <v>101</v>
      </c>
      <c r="E280" s="281"/>
      <c r="F280" s="281"/>
      <c r="G280" s="281"/>
      <c r="H280" s="281"/>
      <c r="I280" s="32"/>
      <c r="J280" s="29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3">
      <c r="A281" s="5"/>
      <c r="B281" s="57"/>
      <c r="C281" s="58">
        <f>B275</f>
        <v>281.25255784204313</v>
      </c>
      <c r="D281" s="59">
        <v>0.04</v>
      </c>
      <c r="E281" s="59">
        <v>3.5000000000000003E-2</v>
      </c>
      <c r="F281" s="259">
        <v>0.03</v>
      </c>
      <c r="G281" s="59">
        <v>2.5000000000000001E-2</v>
      </c>
      <c r="H281" s="59">
        <v>0.02</v>
      </c>
      <c r="I281" s="32"/>
      <c r="J281" s="29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3">
      <c r="A282" s="5"/>
      <c r="B282" s="284" t="s">
        <v>97</v>
      </c>
      <c r="C282" s="61">
        <v>4.4999999999999998E-2</v>
      </c>
      <c r="D282" s="78">
        <v>280.03031187603125</v>
      </c>
      <c r="E282" s="79">
        <v>137.31580770903631</v>
      </c>
      <c r="F282" s="79">
        <v>89.744306320037992</v>
      </c>
      <c r="G282" s="79">
        <v>65.95855562553885</v>
      </c>
      <c r="H282" s="80">
        <v>51.687105208839355</v>
      </c>
      <c r="I282" s="32"/>
      <c r="J282" s="29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3">
      <c r="A283" s="5"/>
      <c r="B283" s="281"/>
      <c r="C283" s="61">
        <v>5.5E-2</v>
      </c>
      <c r="D283" s="81">
        <v>86.989011886810189</v>
      </c>
      <c r="E283" s="82">
        <v>63.873242396693549</v>
      </c>
      <c r="F283" s="82">
        <v>50.003780702623537</v>
      </c>
      <c r="G283" s="82">
        <v>40.757472906576872</v>
      </c>
      <c r="H283" s="83">
        <v>34.152967337972122</v>
      </c>
      <c r="I283" s="32"/>
      <c r="J283" s="29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3">
      <c r="A284" s="5"/>
      <c r="B284" s="281"/>
      <c r="C284" s="258">
        <v>6.5000000000000002E-2</v>
      </c>
      <c r="D284" s="81">
        <v>48.382628724826233</v>
      </c>
      <c r="E284" s="82">
        <v>39.394342329933693</v>
      </c>
      <c r="F284" s="82">
        <v>32.974137762153298</v>
      </c>
      <c r="G284" s="82">
        <v>28.158984336318007</v>
      </c>
      <c r="H284" s="83">
        <v>24.413865005112779</v>
      </c>
      <c r="I284" s="32"/>
      <c r="J284" s="29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3">
      <c r="A285" s="5"/>
      <c r="B285" s="281"/>
      <c r="C285" s="61">
        <v>7.4999999999999997E-2</v>
      </c>
      <c r="D285" s="81">
        <v>31.838320811787774</v>
      </c>
      <c r="E285" s="82">
        <v>27.156297623847919</v>
      </c>
      <c r="F285" s="82">
        <v>23.514724033228042</v>
      </c>
      <c r="G285" s="82">
        <v>20.60146516073214</v>
      </c>
      <c r="H285" s="83">
        <v>18.217889719599135</v>
      </c>
      <c r="I285" s="32"/>
      <c r="J285" s="29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3">
      <c r="A286" s="5"/>
      <c r="B286" s="281"/>
      <c r="C286" s="61">
        <v>8.5000000000000006E-2</v>
      </c>
      <c r="D286" s="84">
        <v>22.647996858841488</v>
      </c>
      <c r="E286" s="85">
        <v>19.81454879878094</v>
      </c>
      <c r="F286" s="85">
        <v>17.496273113276853</v>
      </c>
      <c r="G286" s="85">
        <v>15.564376708690114</v>
      </c>
      <c r="H286" s="86">
        <v>13.929695135578264</v>
      </c>
      <c r="I286" s="3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3">
      <c r="A287" s="5"/>
      <c r="B287" s="31"/>
      <c r="C287" s="31"/>
      <c r="D287" s="31"/>
      <c r="E287" s="31"/>
      <c r="F287" s="31"/>
      <c r="G287" s="31"/>
      <c r="H287" s="32"/>
      <c r="I287" s="3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1" t="s">
        <v>246</v>
      </c>
      <c r="B288" s="2"/>
      <c r="C288" s="2"/>
      <c r="D288" s="2"/>
      <c r="E288" s="3"/>
      <c r="F288" s="3"/>
      <c r="G288" s="3"/>
      <c r="H288" s="2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6" t="s">
        <v>139</v>
      </c>
      <c r="B289" s="7"/>
      <c r="C289" s="7"/>
      <c r="D289" s="7"/>
      <c r="E289" s="8"/>
      <c r="F289" s="8"/>
      <c r="G289" s="8"/>
      <c r="H289" s="7"/>
      <c r="I289" s="9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3">
      <c r="A290" s="5"/>
      <c r="B290" s="31"/>
      <c r="C290" s="31"/>
      <c r="D290" s="31"/>
      <c r="E290" s="31"/>
      <c r="F290" s="31"/>
      <c r="G290" s="31"/>
      <c r="H290" s="32"/>
      <c r="I290" s="3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3">
      <c r="A291" s="5"/>
      <c r="B291" s="31"/>
      <c r="C291" s="31"/>
      <c r="D291" s="31"/>
      <c r="E291" s="31"/>
      <c r="F291" s="31"/>
      <c r="G291" s="31"/>
      <c r="H291" s="32"/>
      <c r="I291" s="3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3">
      <c r="A292" s="18" t="s">
        <v>112</v>
      </c>
      <c r="B292" s="32"/>
      <c r="C292" s="19">
        <v>43830</v>
      </c>
      <c r="D292" s="19">
        <v>44196</v>
      </c>
      <c r="E292" s="19">
        <v>44561</v>
      </c>
      <c r="F292" s="19">
        <v>44926</v>
      </c>
      <c r="G292" s="19"/>
      <c r="H292" s="32"/>
      <c r="I292" s="3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3">
      <c r="A293" s="18" t="s">
        <v>113</v>
      </c>
      <c r="B293" s="32"/>
      <c r="C293" s="20" t="s">
        <v>11</v>
      </c>
      <c r="D293" s="20" t="s">
        <v>11</v>
      </c>
      <c r="E293" s="20" t="s">
        <v>11</v>
      </c>
      <c r="F293" s="20" t="s">
        <v>11</v>
      </c>
      <c r="G293" s="31"/>
      <c r="H293" s="32"/>
      <c r="I293" s="3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3">
      <c r="A294" s="18"/>
      <c r="B294" s="32"/>
      <c r="C294" s="20"/>
      <c r="D294" s="20"/>
      <c r="E294" s="20"/>
      <c r="F294" s="20"/>
      <c r="G294" s="31"/>
      <c r="H294" s="32"/>
      <c r="I294" s="3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3">
      <c r="A295" s="5" t="s">
        <v>140</v>
      </c>
      <c r="B295" s="32"/>
      <c r="C295" s="87">
        <f>C303/C25</f>
        <v>0.37269652097941253</v>
      </c>
      <c r="D295" s="87">
        <f>D303/D25</f>
        <v>0.25239407004132064</v>
      </c>
      <c r="E295" s="87">
        <f>E303/E25</f>
        <v>0.19710506243290579</v>
      </c>
      <c r="F295" s="87">
        <f>F303/F25</f>
        <v>0.2187979566524417</v>
      </c>
      <c r="G295" s="31"/>
      <c r="H295" s="32"/>
      <c r="I295" s="3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3">
      <c r="A296" s="5" t="s">
        <v>141</v>
      </c>
      <c r="B296" s="32"/>
      <c r="C296" s="87">
        <f>C304/C25</f>
        <v>-0.11730549519478482</v>
      </c>
      <c r="D296" s="87">
        <f>D304/D25</f>
        <v>3.7416767862818771E-2</v>
      </c>
      <c r="E296" s="87">
        <f>E304/E25</f>
        <v>0.13621179162664557</v>
      </c>
      <c r="F296" s="87">
        <f>F304/F25</f>
        <v>1.4266994611336507E-2</v>
      </c>
      <c r="G296" s="31"/>
      <c r="H296" s="32"/>
      <c r="I296" s="3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3">
      <c r="A297" s="5" t="s">
        <v>142</v>
      </c>
      <c r="B297" s="32"/>
      <c r="C297" s="87">
        <f>-C305/C25</f>
        <v>0.36214520934608746</v>
      </c>
      <c r="D297" s="87">
        <f>-D305/D25</f>
        <v>9.2050464958964628E-2</v>
      </c>
      <c r="E297" s="87">
        <f>-E305/E25</f>
        <v>9.7544352788293126E-2</v>
      </c>
      <c r="F297" s="87">
        <f>-F305/F25</f>
        <v>0.11427610418549895</v>
      </c>
      <c r="G297" s="31"/>
      <c r="H297" s="32"/>
      <c r="I297" s="3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3">
      <c r="A298" s="5" t="s">
        <v>143</v>
      </c>
      <c r="B298" s="32"/>
      <c r="C298" s="87">
        <f>-C306/C25</f>
        <v>3.8692623042630887E-2</v>
      </c>
      <c r="D298" s="87">
        <f>-D306/D25</f>
        <v>2.4951303596606328E-2</v>
      </c>
      <c r="E298" s="87">
        <f>-E306/E25</f>
        <v>7.6921718741171818E-2</v>
      </c>
      <c r="F298" s="87">
        <f>-F306/F25</f>
        <v>-1.5149922568619618E-2</v>
      </c>
      <c r="G298" s="31"/>
      <c r="H298" s="32"/>
      <c r="I298" s="32"/>
      <c r="J298" s="29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3">
      <c r="A299" s="5" t="s">
        <v>144</v>
      </c>
      <c r="B299" s="32"/>
      <c r="C299" s="285" t="s">
        <v>145</v>
      </c>
      <c r="D299" s="281"/>
      <c r="E299" s="281"/>
      <c r="F299" s="281"/>
      <c r="G299" s="31"/>
      <c r="H299" s="32"/>
      <c r="I299" s="32"/>
      <c r="J299" s="29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3">
      <c r="A300" s="18"/>
      <c r="B300" s="32"/>
      <c r="C300" s="20"/>
      <c r="D300" s="20"/>
      <c r="E300" s="20"/>
      <c r="F300" s="20"/>
      <c r="G300" s="31"/>
      <c r="H300" s="32"/>
      <c r="I300" s="32"/>
      <c r="J300" s="29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3">
      <c r="A301" s="18" t="s">
        <v>146</v>
      </c>
      <c r="B301" s="32"/>
      <c r="C301" s="20"/>
      <c r="D301" s="20"/>
      <c r="E301" s="20"/>
      <c r="F301" s="20"/>
      <c r="G301" s="31"/>
      <c r="H301" s="32"/>
      <c r="I301" s="32"/>
      <c r="J301" s="29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3">
      <c r="A302" s="5"/>
      <c r="B302" s="31"/>
      <c r="C302" s="31"/>
      <c r="D302" s="31"/>
      <c r="E302" s="31"/>
      <c r="F302" s="31"/>
      <c r="G302" s="31"/>
      <c r="H302" s="32"/>
      <c r="I302" s="32"/>
      <c r="J302" s="29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3">
      <c r="A303" s="5" t="s">
        <v>61</v>
      </c>
      <c r="B303" s="31"/>
      <c r="C303" s="26">
        <f>C39</f>
        <v>8318.3999999999978</v>
      </c>
      <c r="D303" s="26">
        <f>D39</f>
        <v>6193.7</v>
      </c>
      <c r="E303" s="26">
        <f>E39</f>
        <v>5581.7</v>
      </c>
      <c r="F303" s="26">
        <f>F39</f>
        <v>6244.8</v>
      </c>
      <c r="G303" s="25"/>
      <c r="H303" s="32"/>
      <c r="I303" s="32"/>
      <c r="J303" s="29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3">
      <c r="A304" s="5" t="s">
        <v>147</v>
      </c>
      <c r="B304" s="31"/>
      <c r="C304" s="25">
        <f>SUM(C116:C118)</f>
        <v>-2618.1999999999998</v>
      </c>
      <c r="D304" s="25">
        <f>SUM(D116:D118)</f>
        <v>918.2</v>
      </c>
      <c r="E304" s="25">
        <f>SUM(E116:E118)</f>
        <v>3857.2999999999997</v>
      </c>
      <c r="F304" s="25">
        <f>SUM(F116:F118)</f>
        <v>407.19999999999982</v>
      </c>
      <c r="G304" s="25"/>
      <c r="H304" s="32"/>
      <c r="I304" s="32"/>
      <c r="J304" s="29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3">
      <c r="A305" s="5" t="s">
        <v>148</v>
      </c>
      <c r="B305" s="31"/>
      <c r="C305" s="25">
        <f t="shared" ref="C305:F305" si="168">C130</f>
        <v>-8082.9</v>
      </c>
      <c r="D305" s="25">
        <f t="shared" si="168"/>
        <v>-2258.9</v>
      </c>
      <c r="E305" s="25">
        <f t="shared" si="168"/>
        <v>-2762.3</v>
      </c>
      <c r="F305" s="25">
        <f t="shared" si="168"/>
        <v>-3261.6</v>
      </c>
      <c r="G305" s="25"/>
      <c r="H305" s="32"/>
      <c r="I305" s="32"/>
      <c r="J305" s="29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3">
      <c r="A306" s="5" t="s">
        <v>149</v>
      </c>
      <c r="B306" s="31"/>
      <c r="C306" s="25">
        <f t="shared" ref="C306:F306" si="169">C119</f>
        <v>-863.6</v>
      </c>
      <c r="D306" s="25">
        <f t="shared" si="169"/>
        <v>-612.29999999999995</v>
      </c>
      <c r="E306" s="25">
        <f t="shared" si="169"/>
        <v>-2178.3000000000002</v>
      </c>
      <c r="F306" s="25">
        <f t="shared" si="169"/>
        <v>432.4</v>
      </c>
      <c r="G306" s="25"/>
      <c r="H306" s="32"/>
      <c r="I306" s="32"/>
      <c r="J306" s="29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24" customHeight="1" x14ac:dyDescent="0.3">
      <c r="A307" s="21" t="s">
        <v>150</v>
      </c>
      <c r="B307" s="31"/>
      <c r="C307" s="25">
        <f t="shared" ref="C307:F307" si="170">C135</f>
        <v>4685.3999999999996</v>
      </c>
      <c r="D307" s="25">
        <f t="shared" si="170"/>
        <v>291.60000000000002</v>
      </c>
      <c r="E307" s="25">
        <f t="shared" si="170"/>
        <v>501.4</v>
      </c>
      <c r="F307" s="25">
        <f t="shared" si="170"/>
        <v>-62</v>
      </c>
      <c r="G307" s="25"/>
      <c r="H307" s="32"/>
      <c r="I307" s="32"/>
      <c r="J307" s="29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3">
      <c r="A308" s="88" t="s">
        <v>151</v>
      </c>
      <c r="B308" s="89"/>
      <c r="C308" s="27">
        <f t="shared" ref="C308:F308" si="171">C134</f>
        <v>-2409.8000000000002</v>
      </c>
      <c r="D308" s="27">
        <f t="shared" si="171"/>
        <v>-2687.1</v>
      </c>
      <c r="E308" s="27">
        <f t="shared" si="171"/>
        <v>-3086.8</v>
      </c>
      <c r="F308" s="27">
        <f t="shared" si="171"/>
        <v>-3535.8</v>
      </c>
      <c r="G308" s="25"/>
      <c r="H308" s="32"/>
      <c r="I308" s="32"/>
      <c r="J308" s="29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21" t="s">
        <v>152</v>
      </c>
      <c r="B309" s="31"/>
      <c r="C309" s="25">
        <f t="shared" ref="C309:F309" si="172">SUM(C$307:C$308)</f>
        <v>2275.5999999999995</v>
      </c>
      <c r="D309" s="25">
        <f t="shared" si="172"/>
        <v>-2395.5</v>
      </c>
      <c r="E309" s="25">
        <f t="shared" si="172"/>
        <v>-2585.4</v>
      </c>
      <c r="F309" s="25">
        <f t="shared" si="172"/>
        <v>-3597.8</v>
      </c>
      <c r="G309" s="25"/>
      <c r="H309" s="32"/>
      <c r="I309" s="32"/>
      <c r="J309" s="29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75" customHeight="1" x14ac:dyDescent="0.3">
      <c r="A310" s="18" t="s">
        <v>153</v>
      </c>
      <c r="B310" s="32"/>
      <c r="C310" s="28">
        <f t="shared" ref="C310:F310" si="173">SUM(C303:C306)+C309</f>
        <v>-970.70000000000209</v>
      </c>
      <c r="D310" s="28">
        <f t="shared" si="173"/>
        <v>1845.1999999999998</v>
      </c>
      <c r="E310" s="28">
        <f t="shared" si="173"/>
        <v>1912.9999999999995</v>
      </c>
      <c r="F310" s="28">
        <f t="shared" si="173"/>
        <v>225</v>
      </c>
      <c r="G310" s="25"/>
      <c r="H310" s="32"/>
      <c r="I310" s="32"/>
      <c r="J310" s="29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3">
      <c r="A311" s="5"/>
      <c r="B311" s="31"/>
      <c r="C311" s="31"/>
      <c r="D311" s="31"/>
      <c r="E311" s="31"/>
      <c r="F311" s="31"/>
      <c r="G311" s="31"/>
      <c r="H311" s="32"/>
      <c r="I311" s="32"/>
      <c r="J311" s="29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3">
      <c r="A312" s="5"/>
      <c r="B312" s="31"/>
      <c r="C312" s="31"/>
      <c r="D312" s="31"/>
      <c r="E312" s="31"/>
      <c r="F312" s="31"/>
      <c r="G312" s="31"/>
      <c r="H312" s="32"/>
      <c r="I312" s="32"/>
      <c r="J312" s="29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3">
      <c r="A313" s="18" t="s">
        <v>154</v>
      </c>
      <c r="B313" s="31"/>
      <c r="C313" s="19">
        <v>44926</v>
      </c>
      <c r="D313" s="19">
        <v>45291</v>
      </c>
      <c r="E313" s="19">
        <v>45657</v>
      </c>
      <c r="F313" s="19">
        <v>46022</v>
      </c>
      <c r="G313" s="19">
        <v>46387</v>
      </c>
      <c r="H313" s="19">
        <v>46752</v>
      </c>
      <c r="I313" s="32"/>
      <c r="J313" s="29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3">
      <c r="A314" s="18" t="s">
        <v>128</v>
      </c>
      <c r="B314" s="31"/>
      <c r="C314" s="72" t="s">
        <v>11</v>
      </c>
      <c r="D314" s="72" t="s">
        <v>11</v>
      </c>
      <c r="E314" s="72" t="s">
        <v>11</v>
      </c>
      <c r="F314" s="72" t="s">
        <v>11</v>
      </c>
      <c r="G314" s="72" t="s">
        <v>11</v>
      </c>
      <c r="H314" s="72" t="s">
        <v>11</v>
      </c>
      <c r="I314" s="32"/>
      <c r="J314" s="29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3">
      <c r="A315" s="18"/>
      <c r="B315" s="31"/>
      <c r="C315" s="72" t="s">
        <v>129</v>
      </c>
      <c r="D315" s="72" t="s">
        <v>130</v>
      </c>
      <c r="E315" s="72" t="s">
        <v>130</v>
      </c>
      <c r="F315" s="72" t="s">
        <v>130</v>
      </c>
      <c r="G315" s="72" t="s">
        <v>130</v>
      </c>
      <c r="H315" s="72" t="s">
        <v>130</v>
      </c>
      <c r="I315" s="32"/>
      <c r="J315" s="29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3">
      <c r="A316" s="18"/>
      <c r="B316" s="31"/>
      <c r="C316" s="72"/>
      <c r="D316" s="72"/>
      <c r="E316" s="72"/>
      <c r="F316" s="72"/>
      <c r="G316" s="72"/>
      <c r="H316" s="32"/>
      <c r="I316" s="32"/>
      <c r="J316" s="29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3">
      <c r="A317" s="18"/>
      <c r="B317" s="31"/>
      <c r="C317" s="72"/>
      <c r="D317" s="72"/>
      <c r="E317" s="72"/>
      <c r="F317" s="72"/>
      <c r="G317" s="72"/>
      <c r="H317" s="32"/>
      <c r="I317" s="32"/>
      <c r="J317" s="29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3">
      <c r="A318" s="5" t="s">
        <v>114</v>
      </c>
      <c r="B318" s="31"/>
      <c r="C318" s="87">
        <f>F240</f>
        <v>7.8747386858014565E-3</v>
      </c>
      <c r="D318" s="90">
        <f>G240</f>
        <v>0.11000000000000013</v>
      </c>
      <c r="E318" s="90">
        <f t="shared" ref="E318:H318" si="174">H240</f>
        <v>0.12000000000000005</v>
      </c>
      <c r="F318" s="90">
        <f t="shared" si="174"/>
        <v>0.12999999999999981</v>
      </c>
      <c r="G318" s="90">
        <f t="shared" si="174"/>
        <v>0.12999999999999995</v>
      </c>
      <c r="H318" s="90">
        <f t="shared" si="174"/>
        <v>0.12000000000000008</v>
      </c>
      <c r="I318" s="32"/>
      <c r="J318" s="29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3">
      <c r="A319" s="5" t="s">
        <v>140</v>
      </c>
      <c r="B319" s="31"/>
      <c r="C319" s="87">
        <f t="shared" ref="C319:C322" si="175">F295</f>
        <v>0.2187979566524417</v>
      </c>
      <c r="D319" s="90">
        <f>(G39/G25)</f>
        <v>0.2589054491505528</v>
      </c>
      <c r="E319" s="90">
        <f t="shared" ref="E319:H319" si="176">(H39/H25)</f>
        <v>0.29310972612642916</v>
      </c>
      <c r="F319" s="90">
        <f t="shared" si="176"/>
        <v>0.32554223527346271</v>
      </c>
      <c r="G319" s="90">
        <f t="shared" si="176"/>
        <v>0.36107322257110963</v>
      </c>
      <c r="H319" s="90">
        <f t="shared" si="176"/>
        <v>0.39491970150337552</v>
      </c>
      <c r="I319" s="32"/>
      <c r="J319" s="29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3">
      <c r="A320" s="5" t="s">
        <v>141</v>
      </c>
      <c r="B320" s="31"/>
      <c r="C320" s="87">
        <f t="shared" si="175"/>
        <v>1.4266994611336507E-2</v>
      </c>
      <c r="D320" s="87">
        <f>G243</f>
        <v>1.4697237336981696E-2</v>
      </c>
      <c r="E320" s="87">
        <f t="shared" ref="E320:H320" si="177">H243</f>
        <v>3.1925530083469042E-3</v>
      </c>
      <c r="F320" s="87">
        <f t="shared" si="177"/>
        <v>-7.1425932308886884E-3</v>
      </c>
      <c r="G320" s="87">
        <f t="shared" si="177"/>
        <v>-1.62864970702239E-2</v>
      </c>
      <c r="H320" s="87">
        <f t="shared" si="177"/>
        <v>-2.4760969117289117E-2</v>
      </c>
      <c r="I320" s="32"/>
      <c r="J320" s="29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3">
      <c r="A321" s="5" t="s">
        <v>142</v>
      </c>
      <c r="B321" s="31"/>
      <c r="C321" s="87">
        <f t="shared" si="175"/>
        <v>0.11427610418549895</v>
      </c>
      <c r="D321" s="87">
        <f>G245</f>
        <v>8.7344781347177852E-2</v>
      </c>
      <c r="E321" s="87">
        <f t="shared" ref="E321:H321" si="178">H245</f>
        <v>7.5322658765263187E-2</v>
      </c>
      <c r="F321" s="87">
        <f t="shared" si="178"/>
        <v>6.7219904170965905E-2</v>
      </c>
      <c r="G321" s="87">
        <f t="shared" si="178"/>
        <v>6.1724030002845827E-2</v>
      </c>
      <c r="H321" s="87">
        <f t="shared" si="178"/>
        <v>5.7698285386319978E-2</v>
      </c>
      <c r="I321" s="32"/>
      <c r="J321" s="29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3">
      <c r="A322" s="5" t="s">
        <v>143</v>
      </c>
      <c r="B322" s="31"/>
      <c r="C322" s="87">
        <f t="shared" si="175"/>
        <v>-1.5149922568619618E-2</v>
      </c>
      <c r="D322" s="87">
        <f>G244</f>
        <v>-1.4331007835180718E-2</v>
      </c>
      <c r="E322" s="87">
        <f t="shared" ref="E322:H322" si="179">H244</f>
        <v>-1.3435319845481923E-2</v>
      </c>
      <c r="F322" s="87">
        <f t="shared" si="179"/>
        <v>-1.2484146759076125E-2</v>
      </c>
      <c r="G322" s="87">
        <f t="shared" si="179"/>
        <v>-1.1600313360203479E-2</v>
      </c>
      <c r="H322" s="87">
        <f t="shared" si="179"/>
        <v>-1.0875293775190762E-2</v>
      </c>
      <c r="I322" s="32"/>
      <c r="J322" s="29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3">
      <c r="A323" s="5" t="s">
        <v>144</v>
      </c>
      <c r="B323" s="31"/>
      <c r="C323" s="24">
        <f>F40+F41</f>
        <v>950.2</v>
      </c>
      <c r="D323" s="24">
        <f>G40+G41</f>
        <v>954.95099999999991</v>
      </c>
      <c r="E323" s="24">
        <f t="shared" ref="E323:H323" si="180">H40+H41</f>
        <v>959.72575499999982</v>
      </c>
      <c r="F323" s="24">
        <f t="shared" si="180"/>
        <v>964.52438377499971</v>
      </c>
      <c r="G323" s="24">
        <f t="shared" si="180"/>
        <v>969.34700569387462</v>
      </c>
      <c r="H323" s="24">
        <f t="shared" si="180"/>
        <v>974.19374072234393</v>
      </c>
      <c r="I323" s="32"/>
      <c r="J323" s="29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3">
      <c r="A324" s="5"/>
      <c r="B324" s="31"/>
      <c r="C324" s="87"/>
      <c r="D324" s="87"/>
      <c r="E324" s="87"/>
      <c r="F324" s="87"/>
      <c r="G324" s="87"/>
      <c r="H324" s="32"/>
      <c r="I324" s="32"/>
      <c r="J324" s="29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3">
      <c r="A325" s="5" t="s">
        <v>155</v>
      </c>
      <c r="B325" s="31"/>
      <c r="C325" s="91">
        <f>F25</f>
        <v>28541.4</v>
      </c>
      <c r="D325" s="91">
        <f t="shared" ref="D325:G325" si="181">C325*(1+D318)</f>
        <v>31680.954000000005</v>
      </c>
      <c r="E325" s="91">
        <f t="shared" si="181"/>
        <v>35482.668480000008</v>
      </c>
      <c r="F325" s="91">
        <f t="shared" si="181"/>
        <v>40095.415382400002</v>
      </c>
      <c r="G325" s="91">
        <f t="shared" si="181"/>
        <v>45307.819382112</v>
      </c>
      <c r="H325" s="32"/>
      <c r="I325" s="32"/>
      <c r="J325" s="29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3">
      <c r="A326" s="5"/>
      <c r="B326" s="31"/>
      <c r="C326" s="5"/>
      <c r="D326" s="87"/>
      <c r="E326" s="87"/>
      <c r="F326" s="87"/>
      <c r="G326" s="87"/>
      <c r="H326" s="32"/>
      <c r="I326" s="32"/>
      <c r="J326" s="29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3">
      <c r="A327" s="5" t="s">
        <v>61</v>
      </c>
      <c r="B327" s="31"/>
      <c r="C327" s="92">
        <f t="shared" ref="C327:C330" si="182">F303</f>
        <v>6244.8</v>
      </c>
      <c r="D327" s="92">
        <f t="shared" ref="D327:G327" si="183">D325*D319</f>
        <v>8202.3716248880046</v>
      </c>
      <c r="E327" s="92">
        <f t="shared" si="183"/>
        <v>10400.315240407683</v>
      </c>
      <c r="F327" s="92">
        <f t="shared" si="183"/>
        <v>13052.751147804478</v>
      </c>
      <c r="G327" s="92">
        <f t="shared" si="183"/>
        <v>16359.44035196896</v>
      </c>
      <c r="H327" s="32"/>
      <c r="I327" s="32"/>
      <c r="J327" s="29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3">
      <c r="A328" s="5" t="s">
        <v>147</v>
      </c>
      <c r="B328" s="31"/>
      <c r="C328" s="91">
        <f t="shared" si="182"/>
        <v>407.19999999999982</v>
      </c>
      <c r="D328" s="91">
        <f t="shared" ref="D328:G328" si="184">D325*D320</f>
        <v>465.62249999999972</v>
      </c>
      <c r="E328" s="91">
        <f t="shared" si="184"/>
        <v>113.2802999999999</v>
      </c>
      <c r="F328" s="91">
        <f t="shared" si="184"/>
        <v>-286.38524250000046</v>
      </c>
      <c r="G328" s="91">
        <f t="shared" si="184"/>
        <v>-737.90566762500077</v>
      </c>
      <c r="H328" s="32"/>
      <c r="I328" s="32"/>
      <c r="J328" s="29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3">
      <c r="A329" s="5" t="s">
        <v>148</v>
      </c>
      <c r="B329" s="31"/>
      <c r="C329" s="91">
        <f t="shared" si="182"/>
        <v>-3261.6</v>
      </c>
      <c r="D329" s="91">
        <f t="shared" ref="D329:G329" si="185">-D321*D325</f>
        <v>-2767.1660000000002</v>
      </c>
      <c r="E329" s="91">
        <f t="shared" si="185"/>
        <v>-2672.6489300000003</v>
      </c>
      <c r="F329" s="91">
        <f t="shared" si="185"/>
        <v>-2695.2099797000005</v>
      </c>
      <c r="G329" s="91">
        <f t="shared" si="185"/>
        <v>-2796.5812029050007</v>
      </c>
      <c r="H329" s="32"/>
      <c r="I329" s="32"/>
      <c r="J329" s="29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3">
      <c r="A330" s="5" t="s">
        <v>149</v>
      </c>
      <c r="B330" s="31"/>
      <c r="C330" s="91">
        <f t="shared" si="182"/>
        <v>432.4</v>
      </c>
      <c r="D330" s="91">
        <f t="shared" ref="D330:G330" si="186">-D322*D325</f>
        <v>454.02</v>
      </c>
      <c r="E330" s="91">
        <f t="shared" si="186"/>
        <v>476.721</v>
      </c>
      <c r="F330" s="91">
        <f t="shared" si="186"/>
        <v>500.55705</v>
      </c>
      <c r="G330" s="91">
        <f t="shared" si="186"/>
        <v>525.5849025</v>
      </c>
      <c r="H330" s="32"/>
      <c r="I330" s="32"/>
      <c r="J330" s="29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3">
      <c r="A331" s="5" t="s">
        <v>144</v>
      </c>
      <c r="B331" s="31"/>
      <c r="C331" s="93">
        <f t="shared" ref="C331:G331" si="187">C323</f>
        <v>950.2</v>
      </c>
      <c r="D331" s="93">
        <f t="shared" si="187"/>
        <v>954.95099999999991</v>
      </c>
      <c r="E331" s="93">
        <f t="shared" si="187"/>
        <v>959.72575499999982</v>
      </c>
      <c r="F331" s="93">
        <f t="shared" si="187"/>
        <v>964.52438377499971</v>
      </c>
      <c r="G331" s="93">
        <f t="shared" si="187"/>
        <v>969.34700569387462</v>
      </c>
      <c r="H331" s="32"/>
      <c r="I331" s="32"/>
      <c r="J331" s="29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3">
      <c r="A332" s="18" t="s">
        <v>153</v>
      </c>
      <c r="B332" s="32"/>
      <c r="C332" s="94">
        <f t="shared" ref="C332:G332" si="188">SUM(C327:C331)</f>
        <v>4773</v>
      </c>
      <c r="D332" s="94">
        <f t="shared" si="188"/>
        <v>7309.7991248880035</v>
      </c>
      <c r="E332" s="94">
        <f t="shared" si="188"/>
        <v>9277.3933654076827</v>
      </c>
      <c r="F332" s="94">
        <f t="shared" si="188"/>
        <v>11536.237359379476</v>
      </c>
      <c r="G332" s="94">
        <f t="shared" si="188"/>
        <v>14319.885389632835</v>
      </c>
      <c r="H332" s="32"/>
      <c r="I332" s="32"/>
      <c r="J332" s="29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3">
      <c r="A333" s="5"/>
      <c r="B333" s="31"/>
      <c r="C333" s="87"/>
      <c r="D333" s="87"/>
      <c r="E333" s="87"/>
      <c r="F333" s="87"/>
      <c r="G333" s="87"/>
      <c r="H333" s="32"/>
      <c r="I333" s="32"/>
      <c r="J333" s="29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3">
      <c r="A334" s="5"/>
      <c r="B334" s="31"/>
      <c r="C334" s="87"/>
      <c r="D334" s="87"/>
      <c r="E334" s="87"/>
      <c r="F334" s="87"/>
      <c r="G334" s="87"/>
      <c r="H334" s="32"/>
      <c r="I334" s="32"/>
      <c r="J334" s="29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3">
      <c r="A335" s="18" t="s">
        <v>156</v>
      </c>
      <c r="B335" s="31"/>
      <c r="C335" s="87"/>
      <c r="D335" s="87"/>
      <c r="E335" s="87"/>
      <c r="F335" s="87"/>
      <c r="G335" s="87"/>
      <c r="H335" s="32"/>
      <c r="I335" s="32"/>
      <c r="J335" s="29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3">
      <c r="A336" s="5"/>
      <c r="B336" s="31"/>
      <c r="C336" s="87"/>
      <c r="D336" s="87"/>
      <c r="E336" s="87"/>
      <c r="F336" s="87"/>
      <c r="G336" s="87"/>
      <c r="H336" s="32"/>
      <c r="I336" s="32"/>
      <c r="J336" s="29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3">
      <c r="A337" s="5" t="s">
        <v>99</v>
      </c>
      <c r="B337" s="87">
        <f>G165</f>
        <v>8.4199999999999997E-2</v>
      </c>
      <c r="C337" s="87"/>
      <c r="D337" s="87"/>
      <c r="E337" s="87"/>
      <c r="F337" s="87"/>
      <c r="G337" s="87"/>
      <c r="H337" s="32"/>
      <c r="I337" s="32"/>
      <c r="J337" s="29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3">
      <c r="A338" s="5" t="s">
        <v>101</v>
      </c>
      <c r="B338" s="87">
        <f>B183</f>
        <v>2.2499999999999999E-2</v>
      </c>
      <c r="C338" s="87"/>
      <c r="D338" s="87"/>
      <c r="E338" s="87"/>
      <c r="F338" s="87"/>
      <c r="G338" s="87"/>
      <c r="H338" s="32"/>
      <c r="I338" s="32"/>
      <c r="J338" s="29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3">
      <c r="A339" s="5"/>
      <c r="B339" s="87"/>
      <c r="C339" s="87"/>
      <c r="D339" s="87"/>
      <c r="E339" s="87"/>
      <c r="F339" s="87"/>
      <c r="G339" s="87"/>
      <c r="H339" s="32"/>
      <c r="I339" s="32"/>
      <c r="J339" s="29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3">
      <c r="A340" s="5"/>
      <c r="B340" s="5"/>
      <c r="C340" s="19">
        <v>43830</v>
      </c>
      <c r="D340" s="19">
        <v>44196</v>
      </c>
      <c r="E340" s="19">
        <v>44561</v>
      </c>
      <c r="F340" s="19">
        <v>44926</v>
      </c>
      <c r="G340" s="19">
        <v>45291</v>
      </c>
      <c r="H340" s="32"/>
      <c r="I340" s="32"/>
      <c r="J340" s="29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3">
      <c r="A341" s="5"/>
      <c r="B341" s="18" t="s">
        <v>103</v>
      </c>
      <c r="C341" s="20">
        <v>0</v>
      </c>
      <c r="D341" s="20">
        <v>1</v>
      </c>
      <c r="E341" s="20">
        <v>2</v>
      </c>
      <c r="F341" s="20">
        <v>3</v>
      </c>
      <c r="G341" s="20">
        <v>4</v>
      </c>
      <c r="H341" s="32"/>
      <c r="I341" s="32"/>
      <c r="J341" s="29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3">
      <c r="A342" s="5"/>
      <c r="B342" s="87"/>
      <c r="C342" s="87"/>
      <c r="D342" s="87"/>
      <c r="E342" s="87"/>
      <c r="F342" s="87"/>
      <c r="G342" s="87"/>
      <c r="H342" s="32"/>
      <c r="I342" s="32"/>
      <c r="J342" s="29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3">
      <c r="A343" s="5" t="s">
        <v>157</v>
      </c>
      <c r="B343" s="87"/>
      <c r="C343" s="26">
        <f t="shared" ref="C343:G343" si="189">C332</f>
        <v>4773</v>
      </c>
      <c r="D343" s="26">
        <f t="shared" si="189"/>
        <v>7309.7991248880035</v>
      </c>
      <c r="E343" s="26">
        <f t="shared" si="189"/>
        <v>9277.3933654076827</v>
      </c>
      <c r="F343" s="26">
        <f t="shared" si="189"/>
        <v>11536.237359379476</v>
      </c>
      <c r="G343" s="26">
        <f t="shared" si="189"/>
        <v>14319.885389632835</v>
      </c>
      <c r="H343" s="32"/>
      <c r="I343" s="32"/>
      <c r="J343" s="29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35">
      <c r="A344" s="51" t="s">
        <v>158</v>
      </c>
      <c r="B344" s="95"/>
      <c r="C344" s="95"/>
      <c r="D344" s="76">
        <f t="shared" ref="D344:G344" si="190">D343/((1+$B$337)^D341)</f>
        <v>6742.1131939568377</v>
      </c>
      <c r="E344" s="76">
        <f t="shared" si="190"/>
        <v>7892.3650619393648</v>
      </c>
      <c r="F344" s="76">
        <f t="shared" si="190"/>
        <v>9051.8213565870428</v>
      </c>
      <c r="G344" s="76">
        <f t="shared" si="190"/>
        <v>10363.392106080086</v>
      </c>
      <c r="H344" s="77"/>
      <c r="I344" s="77"/>
      <c r="J344" s="53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2" customHeight="1" x14ac:dyDescent="0.3">
      <c r="A345" s="5"/>
      <c r="B345" s="87"/>
      <c r="C345" s="87"/>
      <c r="D345" s="26"/>
      <c r="E345" s="26"/>
      <c r="F345" s="26"/>
      <c r="G345" s="26"/>
      <c r="H345" s="32"/>
      <c r="I345" s="32"/>
      <c r="J345" s="29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3">
      <c r="A346" s="5" t="s">
        <v>107</v>
      </c>
      <c r="B346" s="87"/>
      <c r="C346" s="87"/>
      <c r="D346" s="26"/>
      <c r="E346" s="26"/>
      <c r="F346" s="26"/>
      <c r="G346" s="26">
        <f>(G343*(1+B338))/(B337-B338)</f>
        <v>237310.90455266731</v>
      </c>
      <c r="H346" s="32"/>
      <c r="I346" s="32"/>
      <c r="J346" s="29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35">
      <c r="A347" s="51" t="s">
        <v>108</v>
      </c>
      <c r="B347" s="95"/>
      <c r="C347" s="95"/>
      <c r="D347" s="76"/>
      <c r="E347" s="76"/>
      <c r="F347" s="76"/>
      <c r="G347" s="76">
        <f>G346/((1+B337)^G341)</f>
        <v>171743.41050999818</v>
      </c>
      <c r="H347" s="77"/>
      <c r="I347" s="77"/>
      <c r="J347" s="53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2" customHeight="1" x14ac:dyDescent="0.3">
      <c r="A348" s="5"/>
      <c r="B348" s="87"/>
      <c r="C348" s="87"/>
      <c r="D348" s="87"/>
      <c r="E348" s="87"/>
      <c r="F348" s="87"/>
      <c r="G348" s="87"/>
      <c r="H348" s="32"/>
      <c r="I348" s="32"/>
      <c r="J348" s="29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3">
      <c r="A349" s="5" t="s">
        <v>159</v>
      </c>
      <c r="B349" s="92">
        <f>SUM(D344:G344)+G347</f>
        <v>205793.10222856153</v>
      </c>
      <c r="C349" s="87"/>
      <c r="D349" s="87"/>
      <c r="E349" s="87"/>
      <c r="F349" s="87"/>
      <c r="G349" s="87"/>
      <c r="H349" s="32"/>
      <c r="I349" s="32"/>
      <c r="J349" s="29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 customHeight="1" x14ac:dyDescent="0.3">
      <c r="A350" s="5" t="s">
        <v>160</v>
      </c>
      <c r="B350" s="96">
        <f>B274</f>
        <v>950.2</v>
      </c>
      <c r="C350" s="87"/>
      <c r="D350" s="87"/>
      <c r="E350" s="87"/>
      <c r="F350" s="87"/>
      <c r="G350" s="87"/>
      <c r="H350" s="32"/>
      <c r="I350" s="32"/>
      <c r="J350" s="29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3">
      <c r="A351" s="18" t="s">
        <v>161</v>
      </c>
      <c r="B351" s="97">
        <f>B349/B350</f>
        <v>216.57872261477743</v>
      </c>
      <c r="C351" s="87"/>
      <c r="D351" s="87"/>
      <c r="E351" s="87"/>
      <c r="F351" s="87"/>
      <c r="G351" s="87"/>
      <c r="H351" s="32"/>
      <c r="I351" s="32"/>
      <c r="J351" s="29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3">
      <c r="A352" s="5"/>
      <c r="B352" s="87"/>
      <c r="C352" s="87"/>
      <c r="D352" s="87"/>
      <c r="E352" s="87"/>
      <c r="F352" s="87"/>
      <c r="G352" s="87"/>
      <c r="H352" s="32"/>
      <c r="I352" s="32"/>
      <c r="J352" s="29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3">
      <c r="A353" s="5"/>
      <c r="B353" s="87"/>
      <c r="C353" s="87"/>
      <c r="D353" s="87"/>
      <c r="E353" s="87"/>
      <c r="F353" s="87"/>
      <c r="G353" s="87"/>
      <c r="H353" s="32"/>
      <c r="I353" s="32"/>
      <c r="J353" s="29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3">
      <c r="A354" s="5"/>
      <c r="B354" s="55"/>
      <c r="C354" s="282" t="s">
        <v>110</v>
      </c>
      <c r="D354" s="283"/>
      <c r="E354" s="283"/>
      <c r="F354" s="283"/>
      <c r="G354" s="283"/>
      <c r="H354" s="283"/>
      <c r="I354" s="32"/>
      <c r="J354" s="29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3">
      <c r="A355" s="5"/>
      <c r="B355" s="55"/>
      <c r="C355" s="56"/>
      <c r="D355" s="5"/>
      <c r="E355" s="5"/>
      <c r="F355" s="5"/>
      <c r="G355" s="5"/>
      <c r="H355" s="5"/>
      <c r="I355" s="32"/>
      <c r="J355" s="29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3">
      <c r="A356" s="5"/>
      <c r="B356" s="5"/>
      <c r="C356" s="5"/>
      <c r="D356" s="280" t="s">
        <v>101</v>
      </c>
      <c r="E356" s="281"/>
      <c r="F356" s="281"/>
      <c r="G356" s="281"/>
      <c r="H356" s="281"/>
      <c r="I356" s="32"/>
      <c r="J356" s="29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3">
      <c r="A357" s="5"/>
      <c r="B357" s="57"/>
      <c r="C357" s="58">
        <f>B351</f>
        <v>216.57872261477743</v>
      </c>
      <c r="D357" s="59">
        <v>0.04</v>
      </c>
      <c r="E357" s="59">
        <v>3.5000000000000003E-2</v>
      </c>
      <c r="F357" s="59">
        <v>0.03</v>
      </c>
      <c r="G357" s="59">
        <v>2.5000000000000001E-2</v>
      </c>
      <c r="H357" s="59">
        <v>0.02</v>
      </c>
      <c r="I357" s="32"/>
      <c r="J357" s="29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3">
      <c r="A358" s="5"/>
      <c r="B358" s="284" t="s">
        <v>99</v>
      </c>
      <c r="C358" s="61">
        <v>4.4999999999999998E-2</v>
      </c>
      <c r="D358" s="78">
        <v>301.26031116282138</v>
      </c>
      <c r="E358" s="79">
        <v>152.59936932220174</v>
      </c>
      <c r="F358" s="79">
        <v>103.04572204199515</v>
      </c>
      <c r="G358" s="79">
        <v>78.268898401891903</v>
      </c>
      <c r="H358" s="80">
        <v>63.402804217829939</v>
      </c>
      <c r="I358" s="32"/>
      <c r="J358" s="29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3">
      <c r="A359" s="5"/>
      <c r="B359" s="281"/>
      <c r="C359" s="61">
        <v>5.5E-2</v>
      </c>
      <c r="D359" s="81">
        <v>100.17761135213138</v>
      </c>
      <c r="E359" s="82">
        <v>76.098684799926531</v>
      </c>
      <c r="F359" s="82">
        <v>61.651328868603628</v>
      </c>
      <c r="G359" s="82">
        <v>52.019758247721683</v>
      </c>
      <c r="H359" s="83">
        <v>45.14006494709173</v>
      </c>
      <c r="I359" s="32"/>
      <c r="J359" s="29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3">
      <c r="A360" s="5"/>
      <c r="B360" s="281"/>
      <c r="C360" s="61">
        <v>6.5000000000000002E-2</v>
      </c>
      <c r="D360" s="81">
        <v>59.964579242525332</v>
      </c>
      <c r="E360" s="82">
        <v>50.601780914512261</v>
      </c>
      <c r="F360" s="82">
        <v>43.914067823074362</v>
      </c>
      <c r="G360" s="82">
        <v>38.89828300449593</v>
      </c>
      <c r="H360" s="83">
        <v>34.997117034490486</v>
      </c>
      <c r="I360" s="3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3">
      <c r="A361" s="5"/>
      <c r="B361" s="281"/>
      <c r="C361" s="61">
        <v>7.4999999999999997E-2</v>
      </c>
      <c r="D361" s="81">
        <v>42.732839231641343</v>
      </c>
      <c r="E361" s="82">
        <v>37.855731744204</v>
      </c>
      <c r="F361" s="82">
        <v>34.06242592064163</v>
      </c>
      <c r="G361" s="82">
        <v>31.027781261791727</v>
      </c>
      <c r="H361" s="83">
        <v>28.544890177278177</v>
      </c>
      <c r="I361" s="3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3">
      <c r="A362" s="5"/>
      <c r="B362" s="281"/>
      <c r="C362" s="61">
        <v>8.5000000000000006E-2</v>
      </c>
      <c r="D362" s="84">
        <v>33.161463896878907</v>
      </c>
      <c r="E362" s="85">
        <v>30.209955500982502</v>
      </c>
      <c r="F362" s="85">
        <v>27.795084995249088</v>
      </c>
      <c r="G362" s="85">
        <v>25.782692907137896</v>
      </c>
      <c r="H362" s="86">
        <v>24.07989960181305</v>
      </c>
      <c r="I362" s="3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3">
      <c r="A363" s="5"/>
      <c r="B363" s="31"/>
      <c r="C363" s="31"/>
      <c r="D363" s="31"/>
      <c r="E363" s="31"/>
      <c r="F363" s="31"/>
      <c r="G363" s="31"/>
      <c r="H363" s="32"/>
      <c r="I363" s="3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1" t="s">
        <v>218</v>
      </c>
      <c r="B364" s="2"/>
      <c r="C364" s="2"/>
      <c r="D364" s="2"/>
      <c r="E364" s="3"/>
      <c r="F364" s="3"/>
      <c r="G364" s="3"/>
      <c r="H364" s="2"/>
      <c r="I364" s="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6" t="s">
        <v>219</v>
      </c>
      <c r="B365" s="7"/>
      <c r="C365" s="7"/>
      <c r="D365" s="7"/>
      <c r="E365" s="8"/>
      <c r="F365" s="8"/>
      <c r="G365" s="8"/>
      <c r="H365" s="7"/>
      <c r="I365" s="9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35"/>
      <c r="B366" s="18"/>
      <c r="C366" s="18"/>
      <c r="D366" s="18"/>
      <c r="E366" s="5"/>
      <c r="F366" s="5"/>
      <c r="G366" s="5"/>
      <c r="H366" s="18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35"/>
      <c r="B367" s="18"/>
      <c r="C367" s="19">
        <v>43830</v>
      </c>
      <c r="D367" s="19">
        <v>44196</v>
      </c>
      <c r="E367" s="19">
        <v>44561</v>
      </c>
      <c r="F367" s="19">
        <v>44926</v>
      </c>
      <c r="G367" s="19">
        <v>45291</v>
      </c>
      <c r="H367" s="19">
        <v>45657</v>
      </c>
      <c r="I367" s="19">
        <v>46022</v>
      </c>
      <c r="J367" s="19">
        <v>46387</v>
      </c>
      <c r="K367" s="19">
        <v>46752</v>
      </c>
      <c r="L367" s="20" t="s">
        <v>162</v>
      </c>
      <c r="M367" s="1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35"/>
      <c r="B368" s="18"/>
      <c r="C368" s="20" t="s">
        <v>11</v>
      </c>
      <c r="D368" s="20" t="s">
        <v>11</v>
      </c>
      <c r="E368" s="20" t="s">
        <v>11</v>
      </c>
      <c r="F368" s="20" t="s">
        <v>11</v>
      </c>
      <c r="G368" s="20" t="s">
        <v>12</v>
      </c>
      <c r="H368" s="20" t="s">
        <v>12</v>
      </c>
      <c r="I368" s="20" t="s">
        <v>12</v>
      </c>
      <c r="J368" s="20" t="s">
        <v>12</v>
      </c>
      <c r="K368" s="20" t="s">
        <v>12</v>
      </c>
      <c r="L368" s="20" t="s">
        <v>6</v>
      </c>
      <c r="M368" s="1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35"/>
      <c r="B369" s="18"/>
      <c r="C369" s="18"/>
      <c r="D369" s="18"/>
      <c r="E369" s="5"/>
      <c r="F369" s="5"/>
      <c r="K369" s="5"/>
      <c r="L369" s="5"/>
      <c r="M369" s="1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3">
      <c r="A370" s="18" t="s">
        <v>163</v>
      </c>
      <c r="B370" s="32"/>
      <c r="C370" s="32"/>
      <c r="D370" s="32"/>
      <c r="E370" s="32"/>
      <c r="F370" s="32"/>
      <c r="K370" s="31"/>
      <c r="L370" s="31"/>
      <c r="M370" s="32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3">
      <c r="A371" s="5"/>
      <c r="B371" s="32"/>
      <c r="C371" s="32"/>
      <c r="D371" s="32"/>
      <c r="E371" s="32"/>
      <c r="F371" s="32"/>
      <c r="K371" s="31"/>
      <c r="L371" s="31"/>
      <c r="M371" s="32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3">
      <c r="A372" s="21" t="s">
        <v>165</v>
      </c>
      <c r="B372" s="32"/>
      <c r="C372" s="98">
        <v>5.87</v>
      </c>
      <c r="D372" s="98">
        <v>7.58</v>
      </c>
      <c r="E372" s="98">
        <v>7.78</v>
      </c>
      <c r="F372" s="98">
        <v>7.57</v>
      </c>
      <c r="G372" s="98">
        <f>F372*(1+G378/100)</f>
        <v>8.932599999999999</v>
      </c>
      <c r="H372" s="98">
        <f>G372*(1+H378/100)</f>
        <v>10.451141999999999</v>
      </c>
      <c r="I372" s="98">
        <f t="shared" ref="I372:K372" si="191">H372*(1+I378/100)</f>
        <v>12.018813299999998</v>
      </c>
      <c r="J372" s="98">
        <f t="shared" si="191"/>
        <v>13.821635294999997</v>
      </c>
      <c r="K372" s="98">
        <f t="shared" si="191"/>
        <v>15.618447883349994</v>
      </c>
      <c r="L372" s="31"/>
      <c r="M372" s="32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3">
      <c r="A373" s="21" t="s">
        <v>164</v>
      </c>
      <c r="B373" s="32"/>
      <c r="C373" s="98">
        <v>131.43</v>
      </c>
      <c r="D373" s="98">
        <v>168.84</v>
      </c>
      <c r="E373" s="98">
        <v>276.22000000000003</v>
      </c>
      <c r="F373" s="98">
        <v>365.84</v>
      </c>
      <c r="G373" s="98">
        <v>135</v>
      </c>
      <c r="H373" s="98">
        <v>135</v>
      </c>
      <c r="I373" s="98">
        <v>135</v>
      </c>
      <c r="J373" s="98">
        <v>135</v>
      </c>
      <c r="K373" s="98">
        <v>135</v>
      </c>
      <c r="L373" s="31"/>
      <c r="M373" s="32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3">
      <c r="A374" s="21"/>
      <c r="B374" s="32"/>
      <c r="C374" s="98"/>
      <c r="D374" s="98"/>
      <c r="E374" s="98"/>
      <c r="F374" s="98"/>
      <c r="G374" s="98"/>
      <c r="H374" s="98"/>
      <c r="I374" s="98"/>
      <c r="J374" s="98"/>
      <c r="K374" s="98"/>
      <c r="L374" s="31"/>
      <c r="M374" s="32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1.25" customHeight="1" x14ac:dyDescent="0.35">
      <c r="A375" s="23" t="s">
        <v>166</v>
      </c>
      <c r="B375" s="32"/>
      <c r="C375" s="99">
        <f t="shared" ref="C375:K375" si="192">C373/C372</f>
        <v>22.390119250425894</v>
      </c>
      <c r="D375" s="99">
        <f t="shared" si="192"/>
        <v>22.274406332453825</v>
      </c>
      <c r="E375" s="99">
        <f t="shared" si="192"/>
        <v>35.503856041131108</v>
      </c>
      <c r="F375" s="99">
        <f t="shared" si="192"/>
        <v>48.327608982826945</v>
      </c>
      <c r="G375" s="99">
        <f t="shared" si="192"/>
        <v>15.113180932763139</v>
      </c>
      <c r="H375" s="99">
        <f t="shared" si="192"/>
        <v>12.917248660481315</v>
      </c>
      <c r="I375" s="99">
        <f t="shared" si="192"/>
        <v>11.23239013954897</v>
      </c>
      <c r="J375" s="99">
        <f t="shared" si="192"/>
        <v>9.7672957735208445</v>
      </c>
      <c r="K375" s="99">
        <f t="shared" si="192"/>
        <v>8.6436245783370325</v>
      </c>
      <c r="L375" s="100">
        <v>24.15</v>
      </c>
      <c r="M375" s="32" t="s">
        <v>221</v>
      </c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3">
      <c r="A376" s="5" t="s">
        <v>225</v>
      </c>
      <c r="B376" s="32"/>
      <c r="C376" s="32"/>
      <c r="D376" s="32"/>
      <c r="E376" s="32"/>
      <c r="F376" s="136">
        <f>(C375+D375+E375+F375)/4</f>
        <v>32.123997651709445</v>
      </c>
      <c r="G376" s="136">
        <f>F376</f>
        <v>32.123997651709445</v>
      </c>
      <c r="H376" s="136">
        <f>F376</f>
        <v>32.123997651709445</v>
      </c>
      <c r="I376" s="136">
        <f>F376</f>
        <v>32.123997651709445</v>
      </c>
      <c r="J376" s="136">
        <f>F376</f>
        <v>32.123997651709445</v>
      </c>
      <c r="K376" s="136">
        <f>F376</f>
        <v>32.123997651709445</v>
      </c>
      <c r="L376" s="31"/>
      <c r="M376" s="32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3">
      <c r="A377" s="5" t="s">
        <v>233</v>
      </c>
      <c r="B377" s="32"/>
      <c r="C377" s="32"/>
      <c r="D377" s="32"/>
      <c r="E377" s="32"/>
      <c r="F377" s="32"/>
      <c r="G377" s="136">
        <f>G376*G372</f>
        <v>286.95082142365976</v>
      </c>
      <c r="H377" s="136">
        <f>H376*H372</f>
        <v>335.73246106568195</v>
      </c>
      <c r="I377" s="136">
        <f>I376*I372</f>
        <v>386.09233022553417</v>
      </c>
      <c r="J377" s="136">
        <f>J376*J372</f>
        <v>444.00617975936427</v>
      </c>
      <c r="K377" s="136">
        <f>K376*K372</f>
        <v>501.72698312808154</v>
      </c>
      <c r="L377" s="135"/>
      <c r="M377" s="32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3">
      <c r="A378" s="5" t="s">
        <v>104</v>
      </c>
      <c r="B378" s="32"/>
      <c r="C378" s="32"/>
      <c r="D378" s="137">
        <v>20</v>
      </c>
      <c r="E378" s="135">
        <v>18</v>
      </c>
      <c r="F378" s="135">
        <v>18</v>
      </c>
      <c r="G378" s="135">
        <v>18</v>
      </c>
      <c r="H378" s="135">
        <v>17</v>
      </c>
      <c r="I378" s="135">
        <v>15</v>
      </c>
      <c r="J378" s="135">
        <v>15</v>
      </c>
      <c r="K378" s="135">
        <v>13</v>
      </c>
      <c r="L378" s="135"/>
      <c r="M378" s="32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3">
      <c r="A379" s="5" t="s">
        <v>235</v>
      </c>
      <c r="B379" s="32"/>
      <c r="C379" s="32"/>
      <c r="D379" s="135">
        <f t="shared" ref="D379:K379" si="193">D375/D378</f>
        <v>1.1137203166226912</v>
      </c>
      <c r="E379" s="135">
        <f t="shared" si="193"/>
        <v>1.9724364467295059</v>
      </c>
      <c r="F379" s="135">
        <f t="shared" si="193"/>
        <v>2.6848671657126082</v>
      </c>
      <c r="G379" s="135">
        <f t="shared" si="193"/>
        <v>0.83962116293128553</v>
      </c>
      <c r="H379" s="135">
        <f t="shared" si="193"/>
        <v>0.75983815649890085</v>
      </c>
      <c r="I379" s="135">
        <f t="shared" si="193"/>
        <v>0.74882600930326471</v>
      </c>
      <c r="J379" s="135">
        <f t="shared" si="193"/>
        <v>0.65115305156805625</v>
      </c>
      <c r="K379" s="135">
        <f t="shared" si="193"/>
        <v>0.66489419833361785</v>
      </c>
      <c r="L379" s="135"/>
      <c r="M379" s="32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3">
      <c r="A380" s="5" t="s">
        <v>231</v>
      </c>
      <c r="B380" s="32"/>
      <c r="C380" s="32"/>
      <c r="D380" s="32"/>
      <c r="E380" s="32"/>
      <c r="F380" s="136">
        <f>(C379+D379+E379+F379)/3</f>
        <v>1.9236746430216016</v>
      </c>
      <c r="G380" s="136">
        <f>F380</f>
        <v>1.9236746430216016</v>
      </c>
      <c r="H380" s="136">
        <f>F380</f>
        <v>1.9236746430216016</v>
      </c>
      <c r="I380" s="136">
        <f>F380</f>
        <v>1.9236746430216016</v>
      </c>
      <c r="J380" s="136">
        <f>F380</f>
        <v>1.9236746430216016</v>
      </c>
      <c r="K380" s="136">
        <f>F380</f>
        <v>1.9236746430216016</v>
      </c>
      <c r="L380" s="135"/>
      <c r="M380" s="32"/>
      <c r="N380" s="5"/>
      <c r="O380" s="13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3">
      <c r="A381" s="5" t="s">
        <v>232</v>
      </c>
      <c r="B381" s="32"/>
      <c r="C381" s="32"/>
      <c r="D381" s="135">
        <f t="shared" ref="D381:K381" si="194">D378</f>
        <v>20</v>
      </c>
      <c r="E381" s="135">
        <f t="shared" si="194"/>
        <v>18</v>
      </c>
      <c r="F381" s="135">
        <f t="shared" si="194"/>
        <v>18</v>
      </c>
      <c r="G381" s="135">
        <f t="shared" si="194"/>
        <v>18</v>
      </c>
      <c r="H381" s="135">
        <f t="shared" si="194"/>
        <v>17</v>
      </c>
      <c r="I381" s="135">
        <f t="shared" si="194"/>
        <v>15</v>
      </c>
      <c r="J381" s="135">
        <f t="shared" si="194"/>
        <v>15</v>
      </c>
      <c r="K381" s="135">
        <f t="shared" si="194"/>
        <v>13</v>
      </c>
      <c r="L381" s="135"/>
      <c r="M381" s="32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3">
      <c r="A382" s="5" t="s">
        <v>234</v>
      </c>
      <c r="B382" s="32"/>
      <c r="C382" s="32"/>
      <c r="D382" s="135"/>
      <c r="E382" s="135"/>
      <c r="F382" s="135"/>
      <c r="G382" s="135">
        <f>G381*G372</f>
        <v>160.78679999999997</v>
      </c>
      <c r="H382" s="135">
        <f>H381*H372</f>
        <v>177.66941399999999</v>
      </c>
      <c r="I382" s="135">
        <f>I381*I372</f>
        <v>180.28219949999996</v>
      </c>
      <c r="J382" s="135">
        <f>J381*J372</f>
        <v>207.32452942499995</v>
      </c>
      <c r="K382" s="135">
        <f>K381*K372</f>
        <v>203.03982248354993</v>
      </c>
      <c r="L382" s="135"/>
      <c r="M382" s="32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35">
      <c r="A383" s="5"/>
      <c r="B383" s="32"/>
      <c r="C383" s="32"/>
      <c r="D383" s="135"/>
      <c r="E383" s="135"/>
      <c r="F383" s="135"/>
      <c r="G383" s="135"/>
      <c r="H383" s="135"/>
      <c r="I383" s="135"/>
      <c r="J383" s="135"/>
      <c r="K383" s="135"/>
      <c r="L383" s="100"/>
      <c r="M383" s="32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35">
      <c r="A384" s="5"/>
      <c r="B384" s="32"/>
      <c r="C384" s="32"/>
      <c r="D384" s="135"/>
      <c r="E384" s="135"/>
      <c r="F384" s="135"/>
      <c r="G384" s="135"/>
      <c r="H384" s="135"/>
      <c r="I384" s="135"/>
      <c r="J384" s="135"/>
      <c r="K384" s="135"/>
      <c r="L384" s="100"/>
      <c r="M384" s="32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35">
      <c r="A385" s="18" t="s">
        <v>167</v>
      </c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100"/>
      <c r="M385" s="32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35">
      <c r="A386" s="5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100"/>
      <c r="M386" s="32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35">
      <c r="A387" s="21" t="s">
        <v>168</v>
      </c>
      <c r="B387" s="32"/>
      <c r="C387" s="31">
        <v>2699.1</v>
      </c>
      <c r="D387" s="31">
        <v>5825.2</v>
      </c>
      <c r="E387" s="31">
        <v>9154.7999999999993</v>
      </c>
      <c r="F387" s="31">
        <v>10775.4</v>
      </c>
      <c r="G387" s="31">
        <v>14500</v>
      </c>
      <c r="H387" s="31">
        <v>15500</v>
      </c>
      <c r="I387" s="31">
        <v>16500</v>
      </c>
      <c r="J387" s="31">
        <v>17700</v>
      </c>
      <c r="K387" s="31">
        <v>19000</v>
      </c>
      <c r="L387" s="100"/>
      <c r="M387" s="32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x14ac:dyDescent="0.35">
      <c r="A388" s="88" t="s">
        <v>169</v>
      </c>
      <c r="B388" s="101"/>
      <c r="C388" s="102">
        <v>957.5</v>
      </c>
      <c r="D388" s="102">
        <v>956.6</v>
      </c>
      <c r="E388" s="102">
        <v>953.7</v>
      </c>
      <c r="F388" s="102">
        <v>950.2</v>
      </c>
      <c r="G388" s="102">
        <v>441.47774999999996</v>
      </c>
      <c r="H388" s="102">
        <v>443.46439987499991</v>
      </c>
      <c r="I388" s="102">
        <v>445.4599896744374</v>
      </c>
      <c r="J388" s="102">
        <v>447.46455962797233</v>
      </c>
      <c r="K388" s="102">
        <v>449.47815014629816</v>
      </c>
      <c r="L388" s="100"/>
      <c r="M388" s="32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x14ac:dyDescent="0.35">
      <c r="A389" s="21" t="s">
        <v>170</v>
      </c>
      <c r="B389" s="32"/>
      <c r="C389" s="103">
        <f>C387/C388</f>
        <v>2.8189033942558748</v>
      </c>
      <c r="D389" s="103">
        <f t="shared" ref="D389:F389" si="195">D387/D388</f>
        <v>6.0894835877064599</v>
      </c>
      <c r="E389" s="103">
        <f t="shared" si="195"/>
        <v>9.599245045611827</v>
      </c>
      <c r="F389" s="103">
        <f t="shared" si="195"/>
        <v>11.3401389181225</v>
      </c>
      <c r="G389" s="103">
        <f>G387/G388</f>
        <v>32.844237336989238</v>
      </c>
      <c r="H389" s="103">
        <f t="shared" ref="H389:K389" si="196">H387/H388</f>
        <v>34.952072825618046</v>
      </c>
      <c r="I389" s="103">
        <f t="shared" si="196"/>
        <v>37.040363629647089</v>
      </c>
      <c r="J389" s="103">
        <f t="shared" si="196"/>
        <v>39.556205333258127</v>
      </c>
      <c r="K389" s="103">
        <f t="shared" si="196"/>
        <v>42.271242759666507</v>
      </c>
      <c r="L389" s="100"/>
      <c r="M389" s="32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35">
      <c r="A390" s="21" t="str">
        <f>A373</f>
        <v>Market Price per Share (end of period)</v>
      </c>
      <c r="B390" s="32"/>
      <c r="C390" s="103">
        <f>$C$373</f>
        <v>131.43</v>
      </c>
      <c r="D390" s="103">
        <f>$D$373</f>
        <v>168.84</v>
      </c>
      <c r="E390" s="103">
        <f>$E$373</f>
        <v>276.22000000000003</v>
      </c>
      <c r="F390" s="103">
        <f>$F$373</f>
        <v>365.84</v>
      </c>
      <c r="G390" s="103">
        <f>$G$373</f>
        <v>135</v>
      </c>
      <c r="H390" s="103">
        <f>$H$373</f>
        <v>135</v>
      </c>
      <c r="I390" s="103">
        <f>$I$373</f>
        <v>135</v>
      </c>
      <c r="J390" s="103">
        <f>$J$373</f>
        <v>135</v>
      </c>
      <c r="K390" s="103">
        <f>$K$373</f>
        <v>135</v>
      </c>
      <c r="L390" s="100">
        <v>6.17</v>
      </c>
      <c r="M390" s="100">
        <v>5.5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3">
      <c r="A391" s="2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1"/>
      <c r="M391" s="32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3">
      <c r="A392" s="23" t="s">
        <v>171</v>
      </c>
      <c r="B392" s="32"/>
      <c r="C392" s="99">
        <f t="shared" ref="C392:K392" si="197">C390/C389</f>
        <v>46.624513726797822</v>
      </c>
      <c r="D392" s="99">
        <f t="shared" si="197"/>
        <v>27.726489047586352</v>
      </c>
      <c r="E392" s="99">
        <f t="shared" si="197"/>
        <v>28.775179577926338</v>
      </c>
      <c r="F392" s="99">
        <f t="shared" si="197"/>
        <v>32.260627726116894</v>
      </c>
      <c r="G392" s="99">
        <f t="shared" si="197"/>
        <v>4.110310086206896</v>
      </c>
      <c r="H392" s="99">
        <f t="shared" si="197"/>
        <v>3.8624318698790319</v>
      </c>
      <c r="I392" s="99">
        <f t="shared" si="197"/>
        <v>3.6446726427908516</v>
      </c>
      <c r="J392" s="99">
        <f t="shared" si="197"/>
        <v>3.4128652852980945</v>
      </c>
      <c r="K392" s="99">
        <f t="shared" si="197"/>
        <v>3.1936605405131711</v>
      </c>
      <c r="L392" s="31"/>
      <c r="M392" s="32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3">
      <c r="A393" s="5" t="s">
        <v>226</v>
      </c>
      <c r="B393" s="32"/>
      <c r="C393" s="32"/>
      <c r="D393" s="32"/>
      <c r="E393" s="32"/>
      <c r="F393" s="136">
        <f>(C392+D392+E392+F392)/4</f>
        <v>33.846702519606851</v>
      </c>
      <c r="G393" s="136">
        <f>F393</f>
        <v>33.846702519606851</v>
      </c>
      <c r="H393" s="136">
        <f>F393</f>
        <v>33.846702519606851</v>
      </c>
      <c r="I393" s="136">
        <f>F393</f>
        <v>33.846702519606851</v>
      </c>
      <c r="J393" s="136">
        <f>F393</f>
        <v>33.846702519606851</v>
      </c>
      <c r="K393" s="136">
        <f>F393</f>
        <v>33.846702519606851</v>
      </c>
      <c r="L393" s="31"/>
      <c r="M393" s="32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3">
      <c r="A394" s="5" t="s">
        <v>222</v>
      </c>
      <c r="B394" s="32"/>
      <c r="C394" s="32"/>
      <c r="D394" s="32"/>
      <c r="E394" s="32"/>
      <c r="F394" s="32"/>
      <c r="G394" s="136">
        <f>G393*G389</f>
        <v>1111.669130628439</v>
      </c>
      <c r="H394" s="136">
        <f t="shared" ref="H394:K394" si="198">H393*H389</f>
        <v>1183.0124113723284</v>
      </c>
      <c r="I394" s="136">
        <f t="shared" si="198"/>
        <v>1253.6941689907301</v>
      </c>
      <c r="J394" s="136">
        <f t="shared" si="198"/>
        <v>1338.8471147192738</v>
      </c>
      <c r="K394" s="136">
        <f t="shared" si="198"/>
        <v>1430.7421788205172</v>
      </c>
      <c r="L394" s="31"/>
      <c r="M394" s="32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3">
      <c r="A395" s="5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1"/>
      <c r="M395" s="32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3">
      <c r="A396" s="5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1"/>
      <c r="M396" s="32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3">
      <c r="A397" s="18" t="s">
        <v>230</v>
      </c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1"/>
      <c r="M397" s="32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3">
      <c r="A398" s="5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1"/>
      <c r="M398" s="32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3">
      <c r="A399" s="21" t="s">
        <v>172</v>
      </c>
      <c r="B399" s="32"/>
      <c r="C399" s="138">
        <v>3707</v>
      </c>
      <c r="D399" s="31">
        <v>3999</v>
      </c>
      <c r="E399" s="31">
        <v>4249</v>
      </c>
      <c r="F399" s="31">
        <v>4751</v>
      </c>
      <c r="G399" s="31">
        <v>4813.344349</v>
      </c>
      <c r="H399" s="31">
        <v>5113.4111841800004</v>
      </c>
      <c r="I399" s="31">
        <v>5433.063307956475</v>
      </c>
      <c r="J399" s="31">
        <v>5731.9088539551331</v>
      </c>
      <c r="K399" s="31">
        <v>6047.6403099932777</v>
      </c>
      <c r="L399" s="31"/>
      <c r="M399" s="32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3">
      <c r="A400" s="88" t="s">
        <v>169</v>
      </c>
      <c r="B400" s="101"/>
      <c r="C400" s="102">
        <v>957.5</v>
      </c>
      <c r="D400" s="102">
        <v>956.6</v>
      </c>
      <c r="E400" s="102">
        <v>953.7</v>
      </c>
      <c r="F400" s="102">
        <v>950.2</v>
      </c>
      <c r="G400" s="102">
        <v>441.47774999999996</v>
      </c>
      <c r="H400" s="102">
        <v>443.46439987499991</v>
      </c>
      <c r="I400" s="102">
        <v>445.4599896744374</v>
      </c>
      <c r="J400" s="102">
        <v>447.46455962797233</v>
      </c>
      <c r="K400" s="102">
        <v>449.47815014629816</v>
      </c>
      <c r="L400" s="31"/>
      <c r="M400" s="32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3">
      <c r="A401" s="21" t="s">
        <v>173</v>
      </c>
      <c r="B401" s="32"/>
      <c r="C401" s="103">
        <f t="shared" ref="C401:K401" si="199">C399/C400</f>
        <v>3.8715404699738905</v>
      </c>
      <c r="D401" s="103">
        <f t="shared" si="199"/>
        <v>4.180430692034288</v>
      </c>
      <c r="E401" s="103">
        <f t="shared" si="199"/>
        <v>4.4552794379783993</v>
      </c>
      <c r="F401" s="103">
        <f t="shared" si="199"/>
        <v>5</v>
      </c>
      <c r="G401" s="103">
        <f t="shared" si="199"/>
        <v>10.902801667807722</v>
      </c>
      <c r="H401" s="103">
        <f t="shared" si="199"/>
        <v>11.530601296567045</v>
      </c>
      <c r="I401" s="103">
        <f t="shared" si="199"/>
        <v>12.196523669672796</v>
      </c>
      <c r="J401" s="103">
        <f t="shared" si="199"/>
        <v>12.809749354721443</v>
      </c>
      <c r="K401" s="103">
        <f t="shared" si="199"/>
        <v>13.45480377194056</v>
      </c>
      <c r="L401" s="73"/>
      <c r="M401" s="32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35">
      <c r="A402" s="21" t="str">
        <f>A373</f>
        <v>Market Price per Share (end of period)</v>
      </c>
      <c r="B402" s="32"/>
      <c r="C402" s="103">
        <f>$C$373</f>
        <v>131.43</v>
      </c>
      <c r="D402" s="103">
        <f>$D$373</f>
        <v>168.84</v>
      </c>
      <c r="E402" s="103">
        <f>$E$373</f>
        <v>276.22000000000003</v>
      </c>
      <c r="F402" s="103">
        <f>$F$373</f>
        <v>365.84</v>
      </c>
      <c r="G402" s="103">
        <f>$G$373</f>
        <v>135</v>
      </c>
      <c r="H402" s="103">
        <f>$H$373</f>
        <v>135</v>
      </c>
      <c r="I402" s="103">
        <f>$I$373</f>
        <v>135</v>
      </c>
      <c r="J402" s="103">
        <f>$J$373</f>
        <v>135</v>
      </c>
      <c r="K402" s="103">
        <f>$K$373</f>
        <v>135</v>
      </c>
      <c r="L402" s="100">
        <v>34.01</v>
      </c>
      <c r="M402" s="100">
        <v>25.01</v>
      </c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" customHeight="1" x14ac:dyDescent="0.35">
      <c r="A403" s="2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100"/>
      <c r="M403" s="32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35">
      <c r="A404" s="23" t="s">
        <v>174</v>
      </c>
      <c r="B404" s="32"/>
      <c r="C404" s="99">
        <f t="shared" ref="C404:K404" si="200">C402/C401</f>
        <v>33.947727272727271</v>
      </c>
      <c r="D404" s="99">
        <f t="shared" si="200"/>
        <v>40.388183045761444</v>
      </c>
      <c r="E404" s="99">
        <f t="shared" si="200"/>
        <v>61.99835584843494</v>
      </c>
      <c r="F404" s="99">
        <f t="shared" si="200"/>
        <v>73.167999999999992</v>
      </c>
      <c r="G404" s="99">
        <f t="shared" si="200"/>
        <v>12.382138473508991</v>
      </c>
      <c r="H404" s="99">
        <f t="shared" si="200"/>
        <v>11.707975718507667</v>
      </c>
      <c r="I404" s="99">
        <f t="shared" si="200"/>
        <v>11.068727750324756</v>
      </c>
      <c r="J404" s="99">
        <f t="shared" si="200"/>
        <v>10.538847893244798</v>
      </c>
      <c r="K404" s="99">
        <f t="shared" si="200"/>
        <v>10.033591146199914</v>
      </c>
      <c r="L404" s="100"/>
      <c r="M404" s="32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35">
      <c r="A405" s="5" t="s">
        <v>227</v>
      </c>
      <c r="B405" s="32"/>
      <c r="C405" s="32"/>
      <c r="D405" s="32"/>
      <c r="E405" s="32"/>
      <c r="F405" s="136">
        <f>(C404+D404+E404+F404)/4</f>
        <v>52.375566541730919</v>
      </c>
      <c r="G405" s="136">
        <f>F405</f>
        <v>52.375566541730919</v>
      </c>
      <c r="H405" s="136">
        <f>F405</f>
        <v>52.375566541730919</v>
      </c>
      <c r="I405" s="136">
        <f>F405</f>
        <v>52.375566541730919</v>
      </c>
      <c r="J405" s="136">
        <f>F405</f>
        <v>52.375566541730919</v>
      </c>
      <c r="K405" s="136">
        <f>F405</f>
        <v>52.375566541730919</v>
      </c>
      <c r="L405" s="100"/>
      <c r="M405" s="32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35">
      <c r="A406" s="5" t="s">
        <v>223</v>
      </c>
      <c r="B406" s="32"/>
      <c r="C406" s="32"/>
      <c r="D406" s="32"/>
      <c r="E406" s="32"/>
      <c r="F406" s="32"/>
      <c r="G406" s="136">
        <f>G405*G401</f>
        <v>571.04041424355819</v>
      </c>
      <c r="H406" s="136">
        <f t="shared" ref="H406" si="201">H405*H401</f>
        <v>603.92177547451615</v>
      </c>
      <c r="I406" s="136">
        <f t="shared" ref="I406" si="202">I405*I401</f>
        <v>638.7998370387437</v>
      </c>
      <c r="J406" s="136">
        <f t="shared" ref="J406" si="203">J405*J401</f>
        <v>670.91787971110762</v>
      </c>
      <c r="K406" s="136">
        <f t="shared" ref="K406" si="204">K405*K401</f>
        <v>704.70297026320497</v>
      </c>
      <c r="L406" s="100"/>
      <c r="M406" s="32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3">
      <c r="A407" s="5"/>
      <c r="B407" s="32"/>
      <c r="C407" s="99"/>
      <c r="D407" s="99"/>
      <c r="E407" s="99"/>
      <c r="F407" s="99"/>
      <c r="G407" s="99"/>
      <c r="H407" s="99"/>
      <c r="I407" s="99"/>
      <c r="J407" s="99"/>
      <c r="K407" s="99"/>
      <c r="L407" s="31"/>
      <c r="M407" s="32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3">
      <c r="A408" s="5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1"/>
      <c r="M408" s="32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3">
      <c r="A409" s="18" t="s">
        <v>175</v>
      </c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1"/>
      <c r="M409" s="32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3">
      <c r="A410" s="5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1"/>
      <c r="M410" s="32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3">
      <c r="A411" s="21" t="s">
        <v>176</v>
      </c>
      <c r="B411" s="32"/>
      <c r="C411" s="138" t="s">
        <v>256</v>
      </c>
      <c r="D411" s="31">
        <v>105156</v>
      </c>
      <c r="E411" s="31">
        <v>112640</v>
      </c>
      <c r="F411" s="31">
        <v>116199</v>
      </c>
      <c r="G411" s="31">
        <v>124332.93000000001</v>
      </c>
      <c r="H411" s="31">
        <v>133036.23510000002</v>
      </c>
      <c r="I411" s="31">
        <v>142348.77155700003</v>
      </c>
      <c r="J411" s="31">
        <v>150889.69785042005</v>
      </c>
      <c r="K411" s="31">
        <v>159943.07972144528</v>
      </c>
      <c r="L411" s="31"/>
      <c r="M411" s="32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3">
      <c r="A412" s="88" t="s">
        <v>169</v>
      </c>
      <c r="B412" s="101"/>
      <c r="C412" s="102">
        <v>957.5</v>
      </c>
      <c r="D412" s="102">
        <v>956.6</v>
      </c>
      <c r="E412" s="102">
        <v>953.7</v>
      </c>
      <c r="F412" s="102">
        <v>950.2</v>
      </c>
      <c r="G412" s="102">
        <v>441.47774999999996</v>
      </c>
      <c r="H412" s="102">
        <v>443.46439987499991</v>
      </c>
      <c r="I412" s="102">
        <v>445.4599896744374</v>
      </c>
      <c r="J412" s="102">
        <v>447.46455962797233</v>
      </c>
      <c r="K412" s="102">
        <v>449.47815014629816</v>
      </c>
      <c r="L412" s="31"/>
      <c r="M412" s="32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3">
      <c r="A413" s="21" t="s">
        <v>177</v>
      </c>
      <c r="B413" s="32"/>
      <c r="C413" s="103" t="e">
        <f t="shared" ref="C413:K413" si="205">C411/C412</f>
        <v>#VALUE!</v>
      </c>
      <c r="D413" s="103">
        <f t="shared" si="205"/>
        <v>109.92682416893163</v>
      </c>
      <c r="E413" s="103">
        <f t="shared" si="205"/>
        <v>118.10841983852364</v>
      </c>
      <c r="F413" s="103">
        <f t="shared" si="205"/>
        <v>122.28899179120185</v>
      </c>
      <c r="G413" s="103">
        <f t="shared" si="205"/>
        <v>281.62898356712208</v>
      </c>
      <c r="H413" s="103">
        <f t="shared" si="205"/>
        <v>299.99304372008032</v>
      </c>
      <c r="I413" s="103">
        <f t="shared" si="205"/>
        <v>319.55456125483914</v>
      </c>
      <c r="J413" s="103">
        <f t="shared" si="205"/>
        <v>337.2103881833047</v>
      </c>
      <c r="K413" s="103">
        <f t="shared" si="205"/>
        <v>355.84172371757398</v>
      </c>
      <c r="L413" s="31"/>
      <c r="M413" s="32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35">
      <c r="A414" s="21" t="str">
        <f>A373</f>
        <v>Market Price per Share (end of period)</v>
      </c>
      <c r="B414" s="32"/>
      <c r="C414" s="103">
        <f>$C$373</f>
        <v>131.43</v>
      </c>
      <c r="D414" s="103">
        <f>$D$373</f>
        <v>168.84</v>
      </c>
      <c r="E414" s="103">
        <f>$E$373</f>
        <v>276.22000000000003</v>
      </c>
      <c r="F414" s="103">
        <f>$F$373</f>
        <v>365.84</v>
      </c>
      <c r="G414" s="103">
        <f>$G$373</f>
        <v>135</v>
      </c>
      <c r="H414" s="103">
        <f>$H$373</f>
        <v>135</v>
      </c>
      <c r="I414" s="103">
        <f>$I$373</f>
        <v>135</v>
      </c>
      <c r="J414" s="103">
        <f>$J$373</f>
        <v>135</v>
      </c>
      <c r="K414" s="103">
        <f>$K$373</f>
        <v>135</v>
      </c>
      <c r="L414" s="100">
        <v>1.26</v>
      </c>
      <c r="M414" s="77" t="s">
        <v>229</v>
      </c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35">
      <c r="A415" s="21"/>
      <c r="B415" s="3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0"/>
      <c r="M415" s="32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35">
      <c r="A416" s="23" t="s">
        <v>178</v>
      </c>
      <c r="B416" s="32"/>
      <c r="C416" s="99" t="e">
        <f t="shared" ref="C416:K416" si="206">C414/C413</f>
        <v>#VALUE!</v>
      </c>
      <c r="D416" s="99">
        <f t="shared" si="206"/>
        <v>1.5359308456008216</v>
      </c>
      <c r="E416" s="99">
        <f t="shared" si="206"/>
        <v>2.3386986328125001</v>
      </c>
      <c r="F416" s="99">
        <f t="shared" si="206"/>
        <v>2.9916020619798793</v>
      </c>
      <c r="G416" s="99">
        <f t="shared" si="206"/>
        <v>0.47935407176521927</v>
      </c>
      <c r="H416" s="99">
        <f t="shared" si="206"/>
        <v>0.45001043466183427</v>
      </c>
      <c r="I416" s="99">
        <f t="shared" si="206"/>
        <v>0.4224630669325351</v>
      </c>
      <c r="J416" s="99">
        <f t="shared" si="206"/>
        <v>0.40034353842804848</v>
      </c>
      <c r="K416" s="99">
        <f t="shared" si="206"/>
        <v>0.37938215504808925</v>
      </c>
      <c r="L416" s="100"/>
      <c r="M416" s="32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35">
      <c r="A417" s="5" t="s">
        <v>228</v>
      </c>
      <c r="B417" s="32"/>
      <c r="C417" s="32"/>
      <c r="D417" s="32"/>
      <c r="E417" s="32"/>
      <c r="F417" s="136" t="e">
        <f>(C416+D416+E416+F416)/4</f>
        <v>#VALUE!</v>
      </c>
      <c r="G417" s="136" t="e">
        <f>F417</f>
        <v>#VALUE!</v>
      </c>
      <c r="H417" s="136" t="e">
        <f>F417</f>
        <v>#VALUE!</v>
      </c>
      <c r="I417" s="136" t="e">
        <f>F417</f>
        <v>#VALUE!</v>
      </c>
      <c r="J417" s="136" t="e">
        <f>F417</f>
        <v>#VALUE!</v>
      </c>
      <c r="K417" s="136" t="e">
        <f>F417</f>
        <v>#VALUE!</v>
      </c>
      <c r="L417" s="100"/>
      <c r="M417" s="77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35">
      <c r="A418" s="5" t="s">
        <v>224</v>
      </c>
      <c r="B418" s="32"/>
      <c r="C418" s="32"/>
      <c r="D418" s="32"/>
      <c r="E418" s="32"/>
      <c r="F418" s="32"/>
      <c r="G418" s="136" t="e">
        <f>G417*G413</f>
        <v>#VALUE!</v>
      </c>
      <c r="H418" s="136" t="e">
        <f t="shared" ref="H418" si="207">H417*H413</f>
        <v>#VALUE!</v>
      </c>
      <c r="I418" s="136" t="e">
        <f t="shared" ref="I418" si="208">I417*I413</f>
        <v>#VALUE!</v>
      </c>
      <c r="J418" s="136" t="e">
        <f t="shared" ref="J418" si="209">J417*J413</f>
        <v>#VALUE!</v>
      </c>
      <c r="K418" s="136" t="e">
        <f t="shared" ref="K418" si="210">K417*K413</f>
        <v>#VALUE!</v>
      </c>
      <c r="L418" s="100"/>
      <c r="M418" s="77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35">
      <c r="A419" s="23"/>
      <c r="B419" s="32"/>
      <c r="C419" s="99"/>
      <c r="D419" s="99"/>
      <c r="E419" s="99"/>
      <c r="F419" s="99"/>
      <c r="G419" s="99"/>
      <c r="H419" s="99"/>
      <c r="I419" s="99"/>
      <c r="J419" s="99"/>
      <c r="K419" s="99"/>
      <c r="L419" s="100"/>
      <c r="M419" s="77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35">
      <c r="A420" s="23"/>
      <c r="B420" s="32"/>
      <c r="C420" s="99"/>
      <c r="D420" s="99"/>
      <c r="E420" s="99"/>
      <c r="F420" s="99"/>
      <c r="G420" s="99"/>
      <c r="H420" s="99"/>
      <c r="I420" s="99"/>
      <c r="J420" s="99"/>
      <c r="K420" s="99"/>
      <c r="L420" s="100"/>
      <c r="M420" s="77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35">
      <c r="A421" s="23"/>
      <c r="B421" s="32"/>
      <c r="C421" s="99"/>
      <c r="D421" s="99"/>
      <c r="E421" s="99"/>
      <c r="F421" s="99"/>
      <c r="G421" s="99"/>
      <c r="H421" s="99"/>
      <c r="I421" s="99"/>
      <c r="J421" s="99"/>
      <c r="K421" s="99"/>
      <c r="L421" s="100"/>
      <c r="M421" s="77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35">
      <c r="A422" s="23"/>
      <c r="B422" s="32"/>
      <c r="C422" s="99"/>
      <c r="D422" s="99"/>
      <c r="E422" s="99"/>
      <c r="F422" s="99"/>
      <c r="G422" s="99"/>
      <c r="H422" s="99"/>
      <c r="I422" s="99"/>
      <c r="J422" s="99"/>
      <c r="K422" s="99"/>
      <c r="L422" s="100"/>
      <c r="M422" s="77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35">
      <c r="A423" s="23"/>
      <c r="B423" s="32"/>
      <c r="C423" s="99"/>
      <c r="D423" s="99"/>
      <c r="E423" s="99"/>
      <c r="F423" s="99"/>
      <c r="G423" s="99"/>
      <c r="H423" s="99"/>
      <c r="I423" s="99"/>
      <c r="J423" s="99"/>
      <c r="K423" s="99"/>
      <c r="L423" s="100"/>
      <c r="M423" s="77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35">
      <c r="A424" s="23"/>
      <c r="B424" s="32"/>
      <c r="C424" s="99"/>
      <c r="D424" s="99"/>
      <c r="E424" s="99"/>
      <c r="F424" s="99"/>
      <c r="G424" s="99"/>
      <c r="H424" s="99"/>
      <c r="I424" s="99"/>
      <c r="J424" s="99"/>
      <c r="K424" s="99"/>
      <c r="L424" s="100"/>
      <c r="M424" s="77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35">
      <c r="A425" s="23"/>
      <c r="B425" s="32"/>
      <c r="C425" s="99"/>
      <c r="D425" s="99"/>
      <c r="E425" s="99"/>
      <c r="F425" s="99"/>
      <c r="G425" s="99"/>
      <c r="H425" s="99"/>
      <c r="I425" s="99"/>
      <c r="J425" s="99"/>
      <c r="K425" s="99"/>
      <c r="L425" s="100"/>
      <c r="M425" s="77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35">
      <c r="A426" s="23"/>
      <c r="B426" s="32"/>
      <c r="C426" s="99"/>
      <c r="D426" s="99"/>
      <c r="E426" s="99"/>
      <c r="F426" s="99"/>
      <c r="G426" s="99"/>
      <c r="H426" s="99"/>
      <c r="I426" s="99"/>
      <c r="J426" s="99"/>
      <c r="K426" s="99"/>
      <c r="L426" s="100"/>
      <c r="M426" s="77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3">
      <c r="A427" s="23"/>
      <c r="B427" s="32"/>
      <c r="C427" s="99"/>
      <c r="D427" s="99"/>
      <c r="E427" s="99"/>
      <c r="F427" s="99"/>
      <c r="G427" s="99"/>
      <c r="H427" s="99"/>
      <c r="I427" s="99"/>
      <c r="J427" s="99"/>
      <c r="K427" s="99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23"/>
      <c r="B428" s="32"/>
      <c r="C428" s="99"/>
      <c r="D428" s="99"/>
      <c r="E428" s="99"/>
      <c r="F428" s="99"/>
      <c r="G428" s="99"/>
      <c r="H428" s="99"/>
      <c r="I428" s="99"/>
      <c r="J428" s="99"/>
      <c r="K428" s="99"/>
      <c r="L428" s="2"/>
      <c r="M428" s="4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 t="s">
        <v>220</v>
      </c>
      <c r="B429" s="5"/>
      <c r="C429" s="5"/>
      <c r="D429" s="5"/>
      <c r="E429" s="5"/>
      <c r="F429" s="5"/>
      <c r="K429" s="5"/>
      <c r="L429" s="7"/>
      <c r="M429" s="9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3">
      <c r="A430" s="1" t="s">
        <v>246</v>
      </c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35">
      <c r="A431" s="6" t="s">
        <v>179</v>
      </c>
      <c r="B431" s="7"/>
      <c r="C431" s="7"/>
      <c r="D431" s="7"/>
      <c r="E431" s="8"/>
      <c r="F431" s="8"/>
      <c r="G431" s="8"/>
      <c r="H431" s="8"/>
      <c r="I431" s="8"/>
      <c r="J431" s="8"/>
      <c r="K431" s="8"/>
      <c r="L431" s="104" t="s">
        <v>162</v>
      </c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35">
      <c r="A432" s="5"/>
      <c r="B432" s="5"/>
      <c r="C432" s="5"/>
      <c r="D432" s="5"/>
      <c r="E432" s="5"/>
      <c r="F432" s="5"/>
      <c r="K432" s="5"/>
      <c r="L432" s="104" t="s">
        <v>6</v>
      </c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3">
      <c r="A433" s="5"/>
      <c r="B433" s="5"/>
      <c r="C433" s="19">
        <v>43830</v>
      </c>
      <c r="D433" s="19">
        <v>44196</v>
      </c>
      <c r="E433" s="19">
        <v>44561</v>
      </c>
      <c r="F433" s="19">
        <v>44926</v>
      </c>
      <c r="G433" s="19">
        <v>45291</v>
      </c>
      <c r="H433" s="19">
        <v>45657</v>
      </c>
      <c r="I433" s="19">
        <v>46022</v>
      </c>
      <c r="J433" s="19">
        <v>46387</v>
      </c>
      <c r="K433" s="19">
        <v>46752</v>
      </c>
      <c r="L433" s="51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3">
      <c r="A434" s="5"/>
      <c r="B434" s="5"/>
      <c r="C434" s="20" t="s">
        <v>11</v>
      </c>
      <c r="D434" s="20" t="s">
        <v>11</v>
      </c>
      <c r="E434" s="20" t="s">
        <v>11</v>
      </c>
      <c r="F434" s="20" t="s">
        <v>11</v>
      </c>
      <c r="G434" s="20" t="s">
        <v>12</v>
      </c>
      <c r="H434" s="20" t="s">
        <v>12</v>
      </c>
      <c r="I434" s="20" t="s">
        <v>12</v>
      </c>
      <c r="J434" s="20" t="s">
        <v>12</v>
      </c>
      <c r="K434" s="20" t="s">
        <v>12</v>
      </c>
      <c r="L434" s="51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3">
      <c r="A435" s="5"/>
      <c r="B435" s="5"/>
      <c r="C435" s="50"/>
      <c r="D435" s="50"/>
      <c r="E435" s="50"/>
      <c r="F435" s="50"/>
      <c r="L435" s="108">
        <v>1.66</v>
      </c>
      <c r="M435" s="10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35">
      <c r="A436" s="105" t="s">
        <v>180</v>
      </c>
      <c r="B436" s="5"/>
      <c r="C436" s="5"/>
      <c r="D436" s="5"/>
      <c r="E436" s="5"/>
      <c r="F436" s="5"/>
      <c r="L436" s="110">
        <v>0.32</v>
      </c>
      <c r="M436" s="10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3">
      <c r="A437" s="21" t="s">
        <v>181</v>
      </c>
      <c r="B437" s="15"/>
      <c r="C437" s="106">
        <f t="shared" ref="C437:K437" si="211">C59/C86</f>
        <v>1.1642774645016642</v>
      </c>
      <c r="D437" s="106">
        <f t="shared" si="211"/>
        <v>1.3990273682861172</v>
      </c>
      <c r="E437" s="106">
        <f t="shared" si="211"/>
        <v>1.2258531691988814</v>
      </c>
      <c r="F437" s="106">
        <f t="shared" si="211"/>
        <v>1.05229837439171</v>
      </c>
      <c r="G437" s="107">
        <f t="shared" si="211"/>
        <v>1.054861575978147</v>
      </c>
      <c r="H437" s="107">
        <f t="shared" si="211"/>
        <v>1.0548528258319299</v>
      </c>
      <c r="I437" s="107">
        <f t="shared" si="211"/>
        <v>1.0549132064998603</v>
      </c>
      <c r="J437" s="107">
        <f t="shared" si="211"/>
        <v>1.054258287577847</v>
      </c>
      <c r="K437" s="107">
        <f t="shared" si="211"/>
        <v>1.0561660309278154</v>
      </c>
      <c r="L437" s="110"/>
      <c r="M437" s="10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3">
      <c r="A438" s="21" t="s">
        <v>182</v>
      </c>
      <c r="B438" s="5"/>
      <c r="C438" s="106">
        <f t="shared" ref="C438:K438" si="212">(C55+C56)/C86</f>
        <v>0.59170120252734559</v>
      </c>
      <c r="D438" s="106">
        <f t="shared" si="212"/>
        <v>0.76236219715421105</v>
      </c>
      <c r="E438" s="106">
        <f t="shared" si="212"/>
        <v>0.70198037561367743</v>
      </c>
      <c r="F438" s="106">
        <f t="shared" si="212"/>
        <v>0.51643113045710765</v>
      </c>
      <c r="G438" s="109">
        <f t="shared" si="212"/>
        <v>0.52838282701035844</v>
      </c>
      <c r="H438" s="109">
        <f t="shared" si="212"/>
        <v>0.54030210080907892</v>
      </c>
      <c r="I438" s="109">
        <f t="shared" si="212"/>
        <v>0.55219690838655322</v>
      </c>
      <c r="J438" s="109">
        <f t="shared" si="212"/>
        <v>0.56364070047166359</v>
      </c>
      <c r="K438" s="109">
        <f t="shared" si="212"/>
        <v>0.57638954651252239</v>
      </c>
      <c r="L438" s="111">
        <v>97.98</v>
      </c>
      <c r="M438" s="10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3">
      <c r="A439" s="21" t="s">
        <v>183</v>
      </c>
      <c r="B439" s="5"/>
      <c r="C439" s="106">
        <f t="shared" ref="C439:K439" si="213">C55/C86</f>
        <v>0.20708777770228953</v>
      </c>
      <c r="D439" s="106">
        <f t="shared" si="213"/>
        <v>0.29493814895526216</v>
      </c>
      <c r="E439" s="106">
        <f t="shared" si="213"/>
        <v>0.25966105748470375</v>
      </c>
      <c r="F439" s="106">
        <f t="shared" si="213"/>
        <v>0.12905672707752275</v>
      </c>
      <c r="G439" s="109">
        <f t="shared" si="213"/>
        <v>0.13624227272805794</v>
      </c>
      <c r="H439" s="109">
        <f t="shared" si="213"/>
        <v>0.14368240276543739</v>
      </c>
      <c r="I439" s="109">
        <f t="shared" si="213"/>
        <v>0.15142170418832374</v>
      </c>
      <c r="J439" s="109">
        <f t="shared" si="213"/>
        <v>0.15934480352759323</v>
      </c>
      <c r="K439" s="109">
        <f t="shared" si="213"/>
        <v>0.1679570441361227</v>
      </c>
      <c r="L439" s="113">
        <f t="shared" ref="C439:L441" si="214">365/L438</f>
        <v>3.7252500510308226</v>
      </c>
      <c r="M439" s="112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3">
      <c r="A440" s="21" t="s">
        <v>184</v>
      </c>
      <c r="B440" s="5"/>
      <c r="C440" s="106">
        <f t="shared" ref="C440:K440" si="215">C25/AVERAGE(B56,C56)</f>
        <v>4.9305248740832388</v>
      </c>
      <c r="D440" s="106">
        <f t="shared" si="215"/>
        <v>4.7359959857571585</v>
      </c>
      <c r="E440" s="106">
        <f t="shared" si="215"/>
        <v>4.5337367818576251</v>
      </c>
      <c r="F440" s="106">
        <f t="shared" si="215"/>
        <v>4.2929081747762652</v>
      </c>
      <c r="G440" s="106">
        <f t="shared" si="215"/>
        <v>4.6330277255253574</v>
      </c>
      <c r="H440" s="106">
        <f t="shared" si="215"/>
        <v>4.8716259084550648</v>
      </c>
      <c r="I440" s="106">
        <f t="shared" si="215"/>
        <v>5.1448011930413298</v>
      </c>
      <c r="J440" s="106">
        <f t="shared" si="215"/>
        <v>5.4332947178847686</v>
      </c>
      <c r="K440" s="106">
        <f t="shared" si="215"/>
        <v>5.6871869944214408</v>
      </c>
      <c r="L440" s="114">
        <v>4.1399999999999997</v>
      </c>
      <c r="M440" s="10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3">
      <c r="A441" s="21" t="s">
        <v>185</v>
      </c>
      <c r="B441" s="5"/>
      <c r="C441" s="112">
        <f t="shared" si="214"/>
        <v>74.028629673603788</v>
      </c>
      <c r="D441" s="112">
        <f t="shared" si="214"/>
        <v>77.069322080864538</v>
      </c>
      <c r="E441" s="112">
        <f t="shared" si="214"/>
        <v>80.507541033391703</v>
      </c>
      <c r="F441" s="112">
        <f t="shared" si="214"/>
        <v>85.023947669000123</v>
      </c>
      <c r="G441" s="112">
        <f t="shared" si="214"/>
        <v>78.782174772893512</v>
      </c>
      <c r="H441" s="112">
        <f t="shared" si="214"/>
        <v>74.923651129803645</v>
      </c>
      <c r="I441" s="112">
        <f t="shared" si="214"/>
        <v>70.945404167159211</v>
      </c>
      <c r="J441" s="112">
        <f t="shared" si="214"/>
        <v>67.178391556513589</v>
      </c>
      <c r="K441" s="112">
        <f t="shared" si="214"/>
        <v>64.179356219169222</v>
      </c>
      <c r="L441" s="113">
        <f t="shared" ref="C441:L443" si="216">365/L440</f>
        <v>88.164251207729478</v>
      </c>
      <c r="M441" s="112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 customHeight="1" x14ac:dyDescent="0.3">
      <c r="A442" s="21" t="s">
        <v>186</v>
      </c>
      <c r="B442" s="5"/>
      <c r="C442" s="106">
        <f t="shared" ref="C442:K442" si="217">C26/AVERAGE(B57,C57)</f>
        <v>1.5014629182037911</v>
      </c>
      <c r="D442" s="106">
        <f t="shared" si="217"/>
        <v>1.5292985636591829</v>
      </c>
      <c r="E442" s="106">
        <f t="shared" si="217"/>
        <v>1.7845492798393143</v>
      </c>
      <c r="F442" s="106">
        <f t="shared" si="217"/>
        <v>1.6178727869492537</v>
      </c>
      <c r="G442" s="109">
        <f t="shared" si="217"/>
        <v>1.5608560835822991</v>
      </c>
      <c r="H442" s="109">
        <f t="shared" si="217"/>
        <v>1.5532791123027729</v>
      </c>
      <c r="I442" s="109">
        <f t="shared" si="217"/>
        <v>1.5532791123027732</v>
      </c>
      <c r="J442" s="109">
        <f t="shared" si="217"/>
        <v>1.5386255357716148</v>
      </c>
      <c r="K442" s="109">
        <f t="shared" si="217"/>
        <v>1.5095948652853581</v>
      </c>
      <c r="L442" s="114">
        <v>9.32</v>
      </c>
      <c r="M442" s="10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3">
      <c r="A443" s="21" t="s">
        <v>187</v>
      </c>
      <c r="B443" s="5"/>
      <c r="C443" s="112">
        <f t="shared" si="216"/>
        <v>243.09624671693635</v>
      </c>
      <c r="D443" s="112">
        <f t="shared" si="216"/>
        <v>238.67151168092207</v>
      </c>
      <c r="E443" s="112">
        <f t="shared" si="216"/>
        <v>204.53343828805086</v>
      </c>
      <c r="F443" s="112">
        <f t="shared" si="216"/>
        <v>225.60488250022627</v>
      </c>
      <c r="G443" s="115">
        <f t="shared" si="216"/>
        <v>233.84603093085531</v>
      </c>
      <c r="H443" s="115">
        <f t="shared" si="216"/>
        <v>234.98674327685956</v>
      </c>
      <c r="I443" s="115">
        <f t="shared" si="216"/>
        <v>234.98674327685953</v>
      </c>
      <c r="J443" s="115">
        <f t="shared" si="216"/>
        <v>237.22471226044868</v>
      </c>
      <c r="K443" s="115">
        <f t="shared" si="216"/>
        <v>241.78672595776496</v>
      </c>
      <c r="L443" s="113">
        <f>265/L442</f>
        <v>28.433476394849784</v>
      </c>
      <c r="M443" s="112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3">
      <c r="A444" s="21" t="s">
        <v>188</v>
      </c>
      <c r="B444" s="5"/>
      <c r="C444" s="106">
        <f t="shared" ref="C444:K444" si="218">C26/AVERAGE(B81,C81)</f>
        <v>1.4847007767539859</v>
      </c>
      <c r="D444" s="106">
        <f t="shared" si="218"/>
        <v>1.5616375934496263</v>
      </c>
      <c r="E444" s="106">
        <f t="shared" si="218"/>
        <v>1.869040169358382</v>
      </c>
      <c r="F444" s="106">
        <f t="shared" si="218"/>
        <v>1.6321918314089467</v>
      </c>
      <c r="G444" s="109">
        <f t="shared" si="218"/>
        <v>1.5006182576158642</v>
      </c>
      <c r="H444" s="109">
        <f t="shared" si="218"/>
        <v>1.4933337029672435</v>
      </c>
      <c r="I444" s="109">
        <f t="shared" si="218"/>
        <v>1.4861195304891408</v>
      </c>
      <c r="J444" s="109">
        <f t="shared" si="218"/>
        <v>1.4583415953398111</v>
      </c>
      <c r="K444" s="109">
        <f t="shared" si="218"/>
        <v>1.4174535132274801</v>
      </c>
      <c r="L444" s="5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3">
      <c r="A445" s="21" t="s">
        <v>189</v>
      </c>
      <c r="B445" s="5"/>
      <c r="C445" s="112">
        <f t="shared" ref="C445:K445" si="219">365/C444</f>
        <v>245.84078200457512</v>
      </c>
      <c r="D445" s="112">
        <f t="shared" si="219"/>
        <v>233.72900443163786</v>
      </c>
      <c r="E445" s="112">
        <f t="shared" si="219"/>
        <v>195.28740258445055</v>
      </c>
      <c r="F445" s="112">
        <f t="shared" si="219"/>
        <v>223.62567498265406</v>
      </c>
      <c r="G445" s="115">
        <f t="shared" si="219"/>
        <v>243.23307953076667</v>
      </c>
      <c r="H445" s="115">
        <f t="shared" si="219"/>
        <v>244.41958235774601</v>
      </c>
      <c r="I445" s="115">
        <f t="shared" si="219"/>
        <v>245.60608518472537</v>
      </c>
      <c r="J445" s="115">
        <f t="shared" si="219"/>
        <v>250.2842963311011</v>
      </c>
      <c r="K445" s="115">
        <f t="shared" si="219"/>
        <v>257.50403564834437</v>
      </c>
      <c r="L445" s="5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16">
        <v>0.8</v>
      </c>
      <c r="M446" s="10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35">
      <c r="A447" s="105" t="s">
        <v>190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17"/>
      <c r="M447" s="106"/>
      <c r="N447" s="5" t="s">
        <v>193</v>
      </c>
      <c r="O447" s="37">
        <v>8.9099999999999999E-2</v>
      </c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3">
      <c r="A448" s="21" t="s">
        <v>191</v>
      </c>
      <c r="B448" s="5"/>
      <c r="C448" s="106">
        <f t="shared" ref="C448:K448" si="220">C25/AVERAGE(B77,C77)</f>
        <v>0.53656191214563465</v>
      </c>
      <c r="D448" s="106">
        <f t="shared" si="220"/>
        <v>0.57122971349826346</v>
      </c>
      <c r="E448" s="106">
        <f t="shared" si="220"/>
        <v>0.5934339280232106</v>
      </c>
      <c r="F448" s="106">
        <f t="shared" si="220"/>
        <v>0.58072471051662433</v>
      </c>
      <c r="G448" s="106">
        <f t="shared" si="220"/>
        <v>0.62110125012957607</v>
      </c>
      <c r="H448" s="106">
        <f t="shared" si="220"/>
        <v>0.65370464292251773</v>
      </c>
      <c r="I448" s="106">
        <f t="shared" si="220"/>
        <v>0.69156532102573143</v>
      </c>
      <c r="J448" s="106">
        <f t="shared" si="220"/>
        <v>0.72979054259015785</v>
      </c>
      <c r="K448" s="106">
        <f t="shared" si="220"/>
        <v>0.76199104961862107</v>
      </c>
      <c r="L448" s="117"/>
      <c r="M448" s="10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3">
      <c r="A449" s="21" t="s">
        <v>192</v>
      </c>
      <c r="B449" s="5"/>
      <c r="C449" s="106">
        <f t="shared" ref="C449:K449" si="221">C25/AVERAGE(B72,C72)</f>
        <v>2.8129686810763124</v>
      </c>
      <c r="D449" s="106">
        <f t="shared" si="221"/>
        <v>2.9646748979148048</v>
      </c>
      <c r="E449" s="106">
        <f t="shared" si="221"/>
        <v>3.2057961170543958</v>
      </c>
      <c r="F449" s="106">
        <f t="shared" si="221"/>
        <v>2.98408184389229</v>
      </c>
      <c r="G449" s="106">
        <f t="shared" si="221"/>
        <v>2.9740902859870637</v>
      </c>
      <c r="H449" s="106">
        <f t="shared" si="221"/>
        <v>3.0151219879678739</v>
      </c>
      <c r="I449" s="106">
        <f t="shared" si="221"/>
        <v>3.0608935828071018</v>
      </c>
      <c r="J449" s="106">
        <f t="shared" si="221"/>
        <v>3.086024385259976</v>
      </c>
      <c r="K449" s="106">
        <f t="shared" si="221"/>
        <v>3.0775543301219832</v>
      </c>
      <c r="L449" s="5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3">
      <c r="A450" s="21" t="s">
        <v>194</v>
      </c>
      <c r="B450" s="5"/>
      <c r="C450" s="106">
        <f t="shared" ref="C450:K450" si="222">C25/AVERAGE(B101,C101)</f>
        <v>3.2803015828691522</v>
      </c>
      <c r="D450" s="106">
        <f t="shared" si="222"/>
        <v>5.7576105955914256</v>
      </c>
      <c r="E450" s="106">
        <f t="shared" si="222"/>
        <v>3.7808277703604807</v>
      </c>
      <c r="F450" s="106">
        <f t="shared" si="222"/>
        <v>2.8641358340608729</v>
      </c>
      <c r="G450" s="106">
        <f t="shared" si="222"/>
        <v>2.7237907016102048</v>
      </c>
      <c r="H450" s="106">
        <f t="shared" si="222"/>
        <v>2.6388833031225971</v>
      </c>
      <c r="I450" s="106">
        <f t="shared" si="222"/>
        <v>2.580911419361287</v>
      </c>
      <c r="J450" s="106">
        <f t="shared" si="222"/>
        <v>2.5259857413547646</v>
      </c>
      <c r="K450" s="106">
        <f t="shared" si="222"/>
        <v>2.4583337409515389</v>
      </c>
      <c r="L450" s="5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18">
        <v>0.3044</v>
      </c>
      <c r="M451" s="3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35">
      <c r="A452" s="105" t="s">
        <v>195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19">
        <v>7.9399999999999998E-2</v>
      </c>
      <c r="M452" s="3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3">
      <c r="A453" s="21" t="s">
        <v>196</v>
      </c>
      <c r="B453" s="5"/>
      <c r="C453" s="38">
        <f t="shared" ref="C453:K453" si="223">+C27/C25</f>
        <v>0.7884719639776876</v>
      </c>
      <c r="D453" s="38">
        <f t="shared" si="223"/>
        <v>0.77655482114768659</v>
      </c>
      <c r="E453" s="38">
        <f t="shared" si="223"/>
        <v>0.75214348268263742</v>
      </c>
      <c r="F453" s="38">
        <f t="shared" si="223"/>
        <v>0.76771286622239976</v>
      </c>
      <c r="G453" s="38">
        <f t="shared" si="223"/>
        <v>0.78236160438855484</v>
      </c>
      <c r="H453" s="38">
        <f t="shared" si="223"/>
        <v>0.79596400411427004</v>
      </c>
      <c r="I453" s="38">
        <f t="shared" si="223"/>
        <v>0.80860340208949222</v>
      </c>
      <c r="J453" s="38">
        <f t="shared" si="223"/>
        <v>0.82215360371147517</v>
      </c>
      <c r="K453" s="38">
        <f t="shared" si="223"/>
        <v>0.83485691773208404</v>
      </c>
      <c r="L453" s="119">
        <v>4.4499999999999998E-2</v>
      </c>
      <c r="M453" s="3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75" customHeight="1" x14ac:dyDescent="0.3">
      <c r="A454" s="21" t="s">
        <v>197</v>
      </c>
      <c r="B454" s="5"/>
      <c r="C454" s="38">
        <f t="shared" ref="C454:K454" si="224">C30/C25</f>
        <v>0.26574968077241873</v>
      </c>
      <c r="D454" s="38">
        <f t="shared" si="224"/>
        <v>0.27912207923454962</v>
      </c>
      <c r="E454" s="38">
        <f t="shared" si="224"/>
        <v>0.27692242499576247</v>
      </c>
      <c r="F454" s="38">
        <f t="shared" si="224"/>
        <v>0.29011891497964365</v>
      </c>
      <c r="G454" s="38">
        <f t="shared" si="224"/>
        <v>0.33058354240216387</v>
      </c>
      <c r="H454" s="38">
        <f t="shared" si="224"/>
        <v>0.36838833830572149</v>
      </c>
      <c r="I454" s="38">
        <f t="shared" si="224"/>
        <v>0.40373086897874266</v>
      </c>
      <c r="J454" s="38">
        <f t="shared" si="224"/>
        <v>0.44236166999696663</v>
      </c>
      <c r="K454" s="38">
        <f t="shared" si="224"/>
        <v>0.47880197987473239</v>
      </c>
      <c r="L454" s="119">
        <v>0.14410000000000001</v>
      </c>
      <c r="M454" s="3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3">
      <c r="A455" s="21" t="s">
        <v>198</v>
      </c>
      <c r="B455" s="5"/>
      <c r="C455" s="38">
        <f t="shared" ref="C455:K455" si="225">C39/C25</f>
        <v>0.37269652097941253</v>
      </c>
      <c r="D455" s="38">
        <f t="shared" si="225"/>
        <v>0.25239407004132064</v>
      </c>
      <c r="E455" s="38">
        <f t="shared" si="225"/>
        <v>0.19710506243290579</v>
      </c>
      <c r="F455" s="38">
        <f t="shared" si="225"/>
        <v>0.2187979566524417</v>
      </c>
      <c r="G455" s="38">
        <f t="shared" si="225"/>
        <v>0.2589054491505528</v>
      </c>
      <c r="H455" s="38">
        <f t="shared" si="225"/>
        <v>0.29310972612642916</v>
      </c>
      <c r="I455" s="38">
        <f t="shared" si="225"/>
        <v>0.32554223527346271</v>
      </c>
      <c r="J455" s="38">
        <f t="shared" si="225"/>
        <v>0.36107322257110963</v>
      </c>
      <c r="K455" s="38">
        <f t="shared" si="225"/>
        <v>0.39491970150337552</v>
      </c>
      <c r="L455" s="120">
        <v>0.2041</v>
      </c>
      <c r="M455" s="3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3">
      <c r="A456" s="21" t="s">
        <v>199</v>
      </c>
      <c r="B456" s="5"/>
      <c r="C456" s="38">
        <f t="shared" ref="C456:K456" si="226">(C39+C32)/AVERAGE(B77,C77)</f>
        <v>0.20960520226697674</v>
      </c>
      <c r="D456" s="38">
        <f t="shared" si="226"/>
        <v>0.15254564753861768</v>
      </c>
      <c r="E456" s="38">
        <f t="shared" si="226"/>
        <v>0.12408960268904463</v>
      </c>
      <c r="F456" s="38">
        <f t="shared" si="226"/>
        <v>0.13380836210702798</v>
      </c>
      <c r="G456" s="38">
        <f t="shared" si="226"/>
        <v>0.16729492115311001</v>
      </c>
      <c r="H456" s="38">
        <f t="shared" si="226"/>
        <v>0.19894304913545455</v>
      </c>
      <c r="I456" s="38">
        <f t="shared" si="226"/>
        <v>0.23281078892560481</v>
      </c>
      <c r="J456" s="38">
        <f t="shared" si="226"/>
        <v>0.27129526009765337</v>
      </c>
      <c r="K456" s="38">
        <f t="shared" si="226"/>
        <v>0.30847553089930463</v>
      </c>
      <c r="L456" s="120">
        <v>0.2041</v>
      </c>
      <c r="M456" s="3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3">
      <c r="A457" s="21" t="s">
        <v>200</v>
      </c>
      <c r="B457" s="5"/>
      <c r="C457" s="38">
        <f t="shared" ref="C457:K457" si="227">C39/AVERAGE(B101,C101)</f>
        <v>1.2225569876985931</v>
      </c>
      <c r="D457" s="38">
        <f t="shared" si="227"/>
        <v>1.4531867719343521</v>
      </c>
      <c r="E457" s="38">
        <f t="shared" si="227"/>
        <v>0.74522029372496656</v>
      </c>
      <c r="F457" s="38">
        <f t="shared" si="227"/>
        <v>0.6266670680675559</v>
      </c>
      <c r="G457" s="38">
        <f t="shared" si="227"/>
        <v>0.70520425499248951</v>
      </c>
      <c r="H457" s="38">
        <f t="shared" si="227"/>
        <v>0.77348236225787115</v>
      </c>
      <c r="I457" s="38">
        <f t="shared" si="227"/>
        <v>0.8401956725016787</v>
      </c>
      <c r="J457" s="38">
        <f t="shared" si="227"/>
        <v>0.9120658117996383</v>
      </c>
      <c r="K457" s="38">
        <f t="shared" si="227"/>
        <v>0.97084442717225805</v>
      </c>
      <c r="L457" s="121"/>
      <c r="M457" s="3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3">
      <c r="A458" s="21" t="s">
        <v>201</v>
      </c>
      <c r="B458" s="5"/>
      <c r="C458" s="38">
        <f t="shared" ref="C458:K458" si="228">C39/AVERAGE(B101,C101)</f>
        <v>1.2225569876985931</v>
      </c>
      <c r="D458" s="38">
        <f t="shared" si="228"/>
        <v>1.4531867719343521</v>
      </c>
      <c r="E458" s="38">
        <f t="shared" si="228"/>
        <v>0.74522029372496656</v>
      </c>
      <c r="F458" s="38">
        <f t="shared" si="228"/>
        <v>0.6266670680675559</v>
      </c>
      <c r="G458" s="38">
        <f t="shared" si="228"/>
        <v>0.70520425499248951</v>
      </c>
      <c r="H458" s="38">
        <f t="shared" si="228"/>
        <v>0.77348236225787115</v>
      </c>
      <c r="I458" s="38">
        <f t="shared" si="228"/>
        <v>0.8401956725016787</v>
      </c>
      <c r="J458" s="38">
        <f t="shared" si="228"/>
        <v>0.9120658117996383</v>
      </c>
      <c r="K458" s="38">
        <f t="shared" si="228"/>
        <v>0.97084442717225805</v>
      </c>
      <c r="L458" s="121"/>
      <c r="M458" s="3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3">
      <c r="A459" s="21"/>
      <c r="B459" s="5"/>
      <c r="C459" s="38"/>
      <c r="D459" s="38"/>
      <c r="E459" s="38"/>
      <c r="F459" s="38"/>
      <c r="G459" s="38"/>
      <c r="H459" s="38"/>
      <c r="I459" s="38"/>
      <c r="J459" s="38"/>
      <c r="K459" s="38"/>
      <c r="L459" s="12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3">
      <c r="A460" s="21"/>
      <c r="B460" s="5"/>
      <c r="C460" s="38"/>
      <c r="D460" s="38"/>
      <c r="E460" s="38"/>
      <c r="F460" s="38"/>
      <c r="G460" s="38"/>
      <c r="H460" s="38"/>
      <c r="I460" s="38"/>
      <c r="J460" s="38"/>
      <c r="K460" s="38"/>
      <c r="L460" s="124">
        <f>L453</f>
        <v>4.4499999999999998E-2</v>
      </c>
      <c r="M460" s="3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35">
      <c r="A461" s="122" t="s">
        <v>202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25">
        <f>L446</f>
        <v>0.8</v>
      </c>
      <c r="M461" s="10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3">
      <c r="A462" s="21" t="s">
        <v>198</v>
      </c>
      <c r="B462" s="5"/>
      <c r="C462" s="38">
        <f t="shared" ref="C462:K462" si="229">C39/C25</f>
        <v>0.37269652097941253</v>
      </c>
      <c r="D462" s="38">
        <f t="shared" si="229"/>
        <v>0.25239407004132064</v>
      </c>
      <c r="E462" s="38">
        <f t="shared" si="229"/>
        <v>0.19710506243290579</v>
      </c>
      <c r="F462" s="38">
        <f t="shared" si="229"/>
        <v>0.2187979566524417</v>
      </c>
      <c r="G462" s="38">
        <f t="shared" si="229"/>
        <v>0.2589054491505528</v>
      </c>
      <c r="H462" s="38">
        <f t="shared" si="229"/>
        <v>0.29310972612642916</v>
      </c>
      <c r="I462" s="38">
        <f t="shared" si="229"/>
        <v>0.32554223527346271</v>
      </c>
      <c r="J462" s="38">
        <f t="shared" si="229"/>
        <v>0.36107322257110963</v>
      </c>
      <c r="K462" s="38">
        <f t="shared" si="229"/>
        <v>0.39491970150337552</v>
      </c>
      <c r="L462" s="126">
        <v>2.9</v>
      </c>
      <c r="M462" s="10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3">
      <c r="A463" s="21" t="s">
        <v>191</v>
      </c>
      <c r="B463" s="5"/>
      <c r="C463" s="106">
        <f t="shared" ref="C463:K463" si="230">C25/C77</f>
        <v>0.56812714929707964</v>
      </c>
      <c r="D463" s="106">
        <f t="shared" si="230"/>
        <v>0.52623136784815938</v>
      </c>
      <c r="E463" s="106">
        <f t="shared" si="230"/>
        <v>0.58022374298242019</v>
      </c>
      <c r="F463" s="106">
        <f t="shared" si="230"/>
        <v>0.5767127771783277</v>
      </c>
      <c r="G463" s="106">
        <f t="shared" si="230"/>
        <v>0.60315234706869281</v>
      </c>
      <c r="H463" s="106">
        <f t="shared" si="230"/>
        <v>0.63324488395089074</v>
      </c>
      <c r="I463" s="106">
        <f t="shared" si="230"/>
        <v>0.66912177049055033</v>
      </c>
      <c r="J463" s="106">
        <f t="shared" si="230"/>
        <v>0.70524384679010477</v>
      </c>
      <c r="K463" s="106">
        <f t="shared" si="230"/>
        <v>0.73601031590699884</v>
      </c>
      <c r="L463" s="128">
        <v>0.2041</v>
      </c>
      <c r="M463" s="127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3">
      <c r="A464" s="21" t="s">
        <v>203</v>
      </c>
      <c r="B464" s="5"/>
      <c r="C464" s="106">
        <f t="shared" ref="C464:K464" si="231">C77/C101</f>
        <v>14.555259160460887</v>
      </c>
      <c r="D464" s="106">
        <f t="shared" si="231"/>
        <v>8.0054075396552911</v>
      </c>
      <c r="E464" s="106">
        <f t="shared" si="231"/>
        <v>5.331192379953686</v>
      </c>
      <c r="F464" s="106">
        <f t="shared" si="231"/>
        <v>4.5928503814243564</v>
      </c>
      <c r="G464" s="106">
        <f t="shared" si="231"/>
        <v>4.2064247827282317</v>
      </c>
      <c r="H464" s="106">
        <f t="shared" si="231"/>
        <v>3.8897863351301933</v>
      </c>
      <c r="I464" s="106">
        <f t="shared" si="231"/>
        <v>3.5955865078309999</v>
      </c>
      <c r="J464" s="106">
        <f t="shared" si="231"/>
        <v>3.3446891533373297</v>
      </c>
      <c r="K464" s="106">
        <f t="shared" si="231"/>
        <v>3.1231011331422622</v>
      </c>
      <c r="L464" s="12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3">
      <c r="A465" s="23" t="s">
        <v>81</v>
      </c>
      <c r="B465" s="5"/>
      <c r="C465" s="127">
        <f t="shared" ref="C465:K465" si="232">C462*C463*C464</f>
        <v>3.0819161942869822</v>
      </c>
      <c r="D465" s="127">
        <f t="shared" si="232"/>
        <v>1.0632596305706243</v>
      </c>
      <c r="E465" s="127">
        <f t="shared" si="232"/>
        <v>0.60970201424389392</v>
      </c>
      <c r="F465" s="127">
        <f t="shared" si="232"/>
        <v>0.57954229077342845</v>
      </c>
      <c r="G465" s="127">
        <f t="shared" si="232"/>
        <v>0.65687289356529766</v>
      </c>
      <c r="H465" s="127">
        <f t="shared" si="232"/>
        <v>0.72198415384100267</v>
      </c>
      <c r="I465" s="127">
        <f t="shared" si="232"/>
        <v>0.78321724909814261</v>
      </c>
      <c r="J465" s="127">
        <f t="shared" si="232"/>
        <v>0.85170726054982737</v>
      </c>
      <c r="K465" s="127">
        <f t="shared" si="232"/>
        <v>0.90777611048053575</v>
      </c>
      <c r="L465" s="12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3">
      <c r="A466" s="18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24">
        <f>L452</f>
        <v>7.9399999999999998E-2</v>
      </c>
      <c r="M466" s="3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35">
      <c r="A467" s="105" t="s">
        <v>204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25">
        <f>L461</f>
        <v>0.8</v>
      </c>
      <c r="M467" s="10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3">
      <c r="A468" s="21" t="s">
        <v>197</v>
      </c>
      <c r="B468" s="5"/>
      <c r="C468" s="38">
        <f t="shared" ref="C468:K468" si="233">C30/C25</f>
        <v>0.26574968077241873</v>
      </c>
      <c r="D468" s="38">
        <f t="shared" si="233"/>
        <v>0.27912207923454962</v>
      </c>
      <c r="E468" s="38">
        <f t="shared" si="233"/>
        <v>0.27692242499576247</v>
      </c>
      <c r="F468" s="38">
        <f t="shared" si="233"/>
        <v>0.29011891497964365</v>
      </c>
      <c r="G468" s="38">
        <f t="shared" si="233"/>
        <v>0.33058354240216387</v>
      </c>
      <c r="H468" s="38">
        <f t="shared" si="233"/>
        <v>0.36838833830572149</v>
      </c>
      <c r="I468" s="38">
        <f t="shared" si="233"/>
        <v>0.40373086897874266</v>
      </c>
      <c r="J468" s="38">
        <f t="shared" si="233"/>
        <v>0.44236166999696663</v>
      </c>
      <c r="K468" s="38">
        <f t="shared" si="233"/>
        <v>0.47880197987473239</v>
      </c>
      <c r="L468" s="121"/>
      <c r="M468" s="3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3">
      <c r="A469" s="21" t="s">
        <v>191</v>
      </c>
      <c r="B469" s="5"/>
      <c r="C469" s="106">
        <f t="shared" ref="C469:K469" si="234">C25/C77</f>
        <v>0.56812714929707964</v>
      </c>
      <c r="D469" s="106">
        <f t="shared" si="234"/>
        <v>0.52623136784815938</v>
      </c>
      <c r="E469" s="106">
        <f t="shared" si="234"/>
        <v>0.58022374298242019</v>
      </c>
      <c r="F469" s="106">
        <f t="shared" si="234"/>
        <v>0.5767127771783277</v>
      </c>
      <c r="G469" s="106">
        <f t="shared" si="234"/>
        <v>0.60315234706869281</v>
      </c>
      <c r="H469" s="106">
        <f t="shared" si="234"/>
        <v>0.63324488395089074</v>
      </c>
      <c r="I469" s="106">
        <f t="shared" si="234"/>
        <v>0.66912177049055033</v>
      </c>
      <c r="J469" s="106">
        <f t="shared" si="234"/>
        <v>0.70524384679010477</v>
      </c>
      <c r="K469" s="106">
        <f t="shared" si="234"/>
        <v>0.73601031590699884</v>
      </c>
      <c r="L469" s="126">
        <v>2.9</v>
      </c>
      <c r="M469" s="10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3">
      <c r="A470" s="21" t="s">
        <v>205</v>
      </c>
      <c r="B470" s="5"/>
      <c r="C470" s="38">
        <f t="shared" ref="C470:K470" si="235">C32/C77</f>
        <v>1.0196990793181305E-2</v>
      </c>
      <c r="D470" s="38">
        <f t="shared" si="235"/>
        <v>7.711260885508363E-3</v>
      </c>
      <c r="E470" s="38">
        <f t="shared" si="235"/>
        <v>6.9622587386796711E-3</v>
      </c>
      <c r="F470" s="38">
        <f t="shared" si="235"/>
        <v>6.7003705814127354E-3</v>
      </c>
      <c r="G470" s="129">
        <f t="shared" si="235"/>
        <v>6.3009172380147794E-3</v>
      </c>
      <c r="H470" s="129">
        <f t="shared" si="235"/>
        <v>7.1062612795054908E-3</v>
      </c>
      <c r="I470" s="129">
        <f t="shared" si="235"/>
        <v>7.4279225666653214E-3</v>
      </c>
      <c r="J470" s="129">
        <f t="shared" si="235"/>
        <v>7.5255045993766036E-3</v>
      </c>
      <c r="K470" s="129">
        <f t="shared" si="235"/>
        <v>7.2928207289918601E-3</v>
      </c>
      <c r="L470" s="121"/>
      <c r="M470" s="3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35">
      <c r="A471" s="21" t="s">
        <v>206</v>
      </c>
      <c r="B471" s="5"/>
      <c r="C471" s="106">
        <f t="shared" ref="C471:K471" si="236">C103/C101</f>
        <v>14.555259160460887</v>
      </c>
      <c r="D471" s="106">
        <f t="shared" si="236"/>
        <v>8.0054075396552911</v>
      </c>
      <c r="E471" s="106">
        <f t="shared" si="236"/>
        <v>5.331192379953686</v>
      </c>
      <c r="F471" s="106">
        <f t="shared" si="236"/>
        <v>4.5928503814243555</v>
      </c>
      <c r="G471" s="106">
        <f t="shared" si="236"/>
        <v>4.2062062914921023</v>
      </c>
      <c r="H471" s="106">
        <f t="shared" si="236"/>
        <v>3.888085383906879</v>
      </c>
      <c r="I471" s="106">
        <f t="shared" si="236"/>
        <v>3.5960406449645053</v>
      </c>
      <c r="J471" s="106">
        <f t="shared" si="236"/>
        <v>3.3449881950013642</v>
      </c>
      <c r="K471" s="106">
        <f t="shared" si="236"/>
        <v>3.1234257918177852</v>
      </c>
      <c r="L471" s="130">
        <v>0.2041</v>
      </c>
      <c r="M471" s="127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" customHeight="1" x14ac:dyDescent="0.3">
      <c r="A472" s="21" t="s">
        <v>207</v>
      </c>
      <c r="B472" s="5"/>
      <c r="C472" s="38">
        <f t="shared" ref="C472:K472" si="237">1-(C37/C36)</f>
        <v>0.88074213334852536</v>
      </c>
      <c r="D472" s="38">
        <f t="shared" si="237"/>
        <v>0.85667851560879127</v>
      </c>
      <c r="E472" s="38">
        <f t="shared" si="237"/>
        <v>0.9067825521890992</v>
      </c>
      <c r="F472" s="38">
        <f t="shared" si="237"/>
        <v>0.91748942172073344</v>
      </c>
      <c r="G472" s="129">
        <f t="shared" si="237"/>
        <v>0.92</v>
      </c>
      <c r="H472" s="129">
        <f t="shared" si="237"/>
        <v>0.92</v>
      </c>
      <c r="I472" s="129">
        <f t="shared" si="237"/>
        <v>0.92</v>
      </c>
      <c r="J472" s="129">
        <f t="shared" si="237"/>
        <v>0.92</v>
      </c>
      <c r="K472" s="129">
        <f t="shared" si="237"/>
        <v>0.92</v>
      </c>
      <c r="L472" s="12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3">
      <c r="A473" s="23" t="s">
        <v>81</v>
      </c>
      <c r="B473" s="18"/>
      <c r="C473" s="127">
        <f t="shared" ref="C473:K473" si="238">((C468*C469)-C470)*C471*C472</f>
        <v>1.8047529143507173</v>
      </c>
      <c r="D473" s="127">
        <f t="shared" si="238"/>
        <v>0.95444681149163224</v>
      </c>
      <c r="E473" s="127">
        <f t="shared" si="238"/>
        <v>0.74309259219568535</v>
      </c>
      <c r="F473" s="127">
        <f t="shared" si="238"/>
        <v>0.67681384592439897</v>
      </c>
      <c r="G473" s="127">
        <f t="shared" si="238"/>
        <v>0.74720737977673157</v>
      </c>
      <c r="H473" s="127">
        <f t="shared" si="238"/>
        <v>0.80903229236344898</v>
      </c>
      <c r="I473" s="127">
        <f t="shared" si="238"/>
        <v>0.86916236215600373</v>
      </c>
      <c r="J473" s="127">
        <f t="shared" si="238"/>
        <v>0.9369029413954908</v>
      </c>
      <c r="K473" s="127">
        <f t="shared" si="238"/>
        <v>0.991692516708511</v>
      </c>
      <c r="L473" s="12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24">
        <v>0.60089999999999999</v>
      </c>
      <c r="M474" s="3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35">
      <c r="A475" s="105" t="s">
        <v>208</v>
      </c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21"/>
      <c r="M475" s="3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3">
      <c r="A476" s="21" t="s">
        <v>209</v>
      </c>
      <c r="B476" s="5"/>
      <c r="C476" s="38">
        <f t="shared" ref="C476:K476" si="239">C91/C101</f>
        <v>9.1926197621429324</v>
      </c>
      <c r="D476" s="38">
        <f t="shared" si="239"/>
        <v>4.8627171599258405</v>
      </c>
      <c r="E476" s="38">
        <f t="shared" si="239"/>
        <v>2.6869511076156773</v>
      </c>
      <c r="F476" s="38">
        <f t="shared" si="239"/>
        <v>2.0023572210776401</v>
      </c>
      <c r="G476" s="38">
        <f t="shared" si="239"/>
        <v>1.7690561808854692</v>
      </c>
      <c r="H476" s="38">
        <f t="shared" si="239"/>
        <v>1.5701544462251904</v>
      </c>
      <c r="I476" s="38">
        <f t="shared" si="239"/>
        <v>1.389758529572626</v>
      </c>
      <c r="J476" s="38">
        <f t="shared" si="239"/>
        <v>1.2348529311592749</v>
      </c>
      <c r="K476" s="38">
        <f t="shared" si="239"/>
        <v>1.1003788206137013</v>
      </c>
      <c r="L476" s="121"/>
      <c r="M476" s="3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3">
      <c r="A477" s="21" t="s">
        <v>210</v>
      </c>
      <c r="B477" s="5"/>
      <c r="C477" s="38">
        <f t="shared" ref="C477:K477" si="240">C91/(C91+C101)</f>
        <v>0.90188979640796918</v>
      </c>
      <c r="D477" s="38">
        <f t="shared" si="240"/>
        <v>0.82943062530196343</v>
      </c>
      <c r="E477" s="38">
        <f t="shared" si="240"/>
        <v>0.7287731866217525</v>
      </c>
      <c r="F477" s="38">
        <f t="shared" si="240"/>
        <v>0.66692837448534237</v>
      </c>
      <c r="G477" s="38">
        <f t="shared" si="240"/>
        <v>0.6388661209176959</v>
      </c>
      <c r="H477" s="38">
        <f t="shared" si="240"/>
        <v>0.61091832381174249</v>
      </c>
      <c r="I477" s="38">
        <f t="shared" si="240"/>
        <v>0.58154768039311666</v>
      </c>
      <c r="J477" s="38">
        <f t="shared" si="240"/>
        <v>0.55254326311249724</v>
      </c>
      <c r="K477" s="38">
        <f t="shared" si="240"/>
        <v>0.5238954086826042</v>
      </c>
      <c r="L477" s="12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3">
      <c r="A478" s="21" t="s">
        <v>211</v>
      </c>
      <c r="B478" s="5"/>
      <c r="C478" s="38">
        <f t="shared" ref="C478:K478" si="241">(C82+C83+C88)/(C82+C83+C88+C101)</f>
        <v>0.85018566520317707</v>
      </c>
      <c r="D478" s="38">
        <f t="shared" si="241"/>
        <v>0.74018420641823324</v>
      </c>
      <c r="E478" s="38">
        <f t="shared" si="241"/>
        <v>0.64842642907889936</v>
      </c>
      <c r="F478" s="38">
        <f t="shared" si="241"/>
        <v>0.60111793884652409</v>
      </c>
      <c r="G478" s="131">
        <f t="shared" si="241"/>
        <v>0.57233002161772983</v>
      </c>
      <c r="H478" s="131">
        <f t="shared" si="241"/>
        <v>0.54460902346119699</v>
      </c>
      <c r="I478" s="131">
        <f t="shared" si="241"/>
        <v>0.5154493109885151</v>
      </c>
      <c r="J478" s="131">
        <f t="shared" si="241"/>
        <v>0.48757540392752213</v>
      </c>
      <c r="K478" s="131">
        <f t="shared" si="241"/>
        <v>0.460029716919509</v>
      </c>
      <c r="L478" s="12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3">
      <c r="A479" s="5"/>
      <c r="B479" s="5"/>
      <c r="C479" s="5"/>
      <c r="D479" s="5"/>
      <c r="E479" s="5"/>
      <c r="F479" s="5"/>
      <c r="G479" s="132"/>
      <c r="H479" s="132"/>
      <c r="I479" s="132"/>
      <c r="J479" s="132"/>
      <c r="K479" s="132"/>
      <c r="L479" s="133">
        <v>31.33</v>
      </c>
      <c r="M479" s="10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35">
      <c r="A480" s="105" t="s">
        <v>212</v>
      </c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3">
      <c r="A481" s="21" t="s">
        <v>213</v>
      </c>
      <c r="B481" s="5"/>
      <c r="C481" s="106">
        <f t="shared" ref="C481:K481" si="242">ABS((C30+C33)/C32)</f>
        <v>17.195456814777831</v>
      </c>
      <c r="D481" s="106">
        <f t="shared" si="242"/>
        <v>21.24916573971079</v>
      </c>
      <c r="E481" s="106">
        <f t="shared" si="242"/>
        <v>28.640670982931137</v>
      </c>
      <c r="F481" s="106">
        <f t="shared" si="242"/>
        <v>27.284680337756338</v>
      </c>
      <c r="G481" s="109">
        <f t="shared" si="242"/>
        <v>34.116364052102362</v>
      </c>
      <c r="H481" s="109">
        <f t="shared" si="242"/>
        <v>35.132585906355864</v>
      </c>
      <c r="I481" s="109">
        <f t="shared" si="242"/>
        <v>38.73618374739177</v>
      </c>
      <c r="J481" s="109">
        <f t="shared" si="242"/>
        <v>43.959438398045648</v>
      </c>
      <c r="K481" s="109">
        <f t="shared" si="242"/>
        <v>51.060250577156445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3">
      <c r="A482" s="5"/>
      <c r="B482" s="5"/>
      <c r="C482" s="5"/>
      <c r="D482" s="5"/>
      <c r="E482" s="5"/>
      <c r="F482" s="5"/>
      <c r="G482" s="134"/>
      <c r="H482" s="134"/>
      <c r="I482" s="134"/>
      <c r="J482" s="134"/>
      <c r="K482" s="13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35">
      <c r="A483" s="105" t="s">
        <v>214</v>
      </c>
      <c r="B483" s="5"/>
      <c r="C483" s="5"/>
      <c r="D483" s="5"/>
      <c r="E483" s="5"/>
      <c r="F483" s="5"/>
      <c r="G483" s="134"/>
      <c r="H483" s="134"/>
      <c r="I483" s="134"/>
      <c r="J483" s="134"/>
      <c r="K483" s="13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3">
      <c r="A484" s="21" t="s">
        <v>215</v>
      </c>
      <c r="B484" s="5"/>
      <c r="C484" s="106">
        <f t="shared" ref="C484:K484" si="243">(C39+(C71-B71)+(C90-B90)+C32)/C32</f>
        <v>25.183474787818266</v>
      </c>
      <c r="D484" s="106">
        <f t="shared" si="243"/>
        <v>19.117908787541715</v>
      </c>
      <c r="E484" s="106">
        <f t="shared" si="243"/>
        <v>17.543555032371984</v>
      </c>
      <c r="F484" s="106">
        <f t="shared" si="243"/>
        <v>15.641435464414954</v>
      </c>
      <c r="G484" s="109">
        <f t="shared" si="243"/>
        <v>27.34281103615978</v>
      </c>
      <c r="H484" s="109">
        <f t="shared" si="243"/>
        <v>28.480016414869343</v>
      </c>
      <c r="I484" s="109">
        <f t="shared" si="243"/>
        <v>31.603686233776735</v>
      </c>
      <c r="J484" s="109">
        <f t="shared" si="243"/>
        <v>36.073153104136807</v>
      </c>
      <c r="K484" s="109">
        <f t="shared" si="243"/>
        <v>42.103796764183116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3">
      <c r="A485" s="21" t="s">
        <v>216</v>
      </c>
      <c r="B485" s="5"/>
      <c r="C485" s="38">
        <f t="shared" ref="C485:K485" si="244">(C39+(C71-B71)+(C90-B90))/C91</f>
        <v>0.39045534785868008</v>
      </c>
      <c r="D485" s="38">
        <f t="shared" si="244"/>
        <v>0.23000533073504129</v>
      </c>
      <c r="E485" s="38">
        <f t="shared" si="244"/>
        <v>0.22853019493058521</v>
      </c>
      <c r="F485" s="38">
        <f t="shared" si="244"/>
        <v>0.22502108805072249</v>
      </c>
      <c r="G485" s="38">
        <f t="shared" si="244"/>
        <v>0.3946729792485395</v>
      </c>
      <c r="H485" s="38">
        <f t="shared" si="244"/>
        <v>0.48377289528573247</v>
      </c>
      <c r="I485" s="38">
        <f t="shared" si="244"/>
        <v>0.5881275209532042</v>
      </c>
      <c r="J485" s="38">
        <f t="shared" si="244"/>
        <v>0.71490932421445752</v>
      </c>
      <c r="K485" s="38">
        <f t="shared" si="244"/>
        <v>0.85078789598393179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3">
      <c r="A486" s="21" t="s">
        <v>217</v>
      </c>
      <c r="B486" s="5"/>
      <c r="C486" s="38">
        <f t="shared" ref="C486:K486" si="245">(C39+(C71-B71)+(C90-B90))/C93</f>
        <v>0.26479077267882029</v>
      </c>
      <c r="D486" s="38">
        <f t="shared" si="245"/>
        <v>0.15965536084924734</v>
      </c>
      <c r="E486" s="38">
        <f t="shared" si="245"/>
        <v>0.1417737672504237</v>
      </c>
      <c r="F486" s="38">
        <f t="shared" si="245"/>
        <v>0.12540811687640774</v>
      </c>
      <c r="G486" s="38">
        <f t="shared" si="245"/>
        <v>0.21776473810210883</v>
      </c>
      <c r="H486" s="38">
        <f t="shared" si="245"/>
        <v>0.26301097839031834</v>
      </c>
      <c r="I486" s="38">
        <f t="shared" si="245"/>
        <v>0.31484685738897372</v>
      </c>
      <c r="J486" s="38">
        <f t="shared" si="245"/>
        <v>0.37646580754697812</v>
      </c>
      <c r="K486" s="38">
        <f t="shared" si="245"/>
        <v>0.44088613088464695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3">
      <c r="A487" s="21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3">
      <c r="A488" s="21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" customHeight="1" x14ac:dyDescent="0.25">
      <c r="A529" s="36"/>
      <c r="B529" s="36"/>
      <c r="C529" s="36"/>
      <c r="D529" s="36"/>
      <c r="E529" s="36"/>
      <c r="F529" s="36"/>
      <c r="G529" s="36" t="s">
        <v>245</v>
      </c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" customHeight="1" x14ac:dyDescent="0.3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3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2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2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2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2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2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2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2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2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2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</row>
    <row r="1018" spans="1:26" ht="1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</row>
  </sheetData>
  <mergeCells count="19">
    <mergeCell ref="B204:B208"/>
    <mergeCell ref="A38:B38"/>
    <mergeCell ref="A39:B39"/>
    <mergeCell ref="E13:I13"/>
    <mergeCell ref="D202:H202"/>
    <mergeCell ref="C200:H200"/>
    <mergeCell ref="D356:H356"/>
    <mergeCell ref="C354:H354"/>
    <mergeCell ref="B358:B362"/>
    <mergeCell ref="D280:H280"/>
    <mergeCell ref="C278:H278"/>
    <mergeCell ref="C299:F299"/>
    <mergeCell ref="B282:B286"/>
    <mergeCell ref="M46:P47"/>
    <mergeCell ref="Q46:U47"/>
    <mergeCell ref="M107:P108"/>
    <mergeCell ref="Q107:U108"/>
    <mergeCell ref="Q18:U19"/>
    <mergeCell ref="M18:P19"/>
  </mergeCells>
  <pageMargins left="0" right="0" top="1" bottom="1" header="0.5" footer="0.5"/>
  <pageSetup scale="79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2016-01-18T23:04:54Z</dcterms:created>
  <dcterms:modified xsi:type="dcterms:W3CDTF">2023-06-28T20:57:14Z</dcterms:modified>
</cp:coreProperties>
</file>