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rati\Documents\Imperial College London\Environmental Technology\Thesis\Intelligene\ETS\"/>
    </mc:Choice>
  </mc:AlternateContent>
  <xr:revisionPtr revIDLastSave="0" documentId="13_ncr:1_{2900B2F4-E942-480C-B6EB-B67E8EE8A9E1}" xr6:coauthVersionLast="47" xr6:coauthVersionMax="47" xr10:uidLastSave="{00000000-0000-0000-0000-000000000000}"/>
  <bookViews>
    <workbookView xWindow="-108" yWindow="-108" windowWidth="23256" windowHeight="12456" activeTab="1" xr2:uid="{539D925F-4109-456A-BE31-45C0BAD37509}"/>
  </bookViews>
  <sheets>
    <sheet name="CarbonPricing" sheetId="1" r:id="rId1"/>
    <sheet name="Tax" sheetId="2" r:id="rId2"/>
    <sheet name="ETS" sheetId="3" r:id="rId3"/>
    <sheet name="State_of_CarbonPrice_2025" sheetId="4" r:id="rId4"/>
  </sheets>
  <definedNames>
    <definedName name="_xlnm._FilterDatabase" localSheetId="0" hidden="1">CarbonPricing!$A$1:$S$66</definedName>
    <definedName name="_xlnm._FilterDatabase" localSheetId="1" hidden="1">Tax!$A$1:$R$66</definedName>
    <definedName name="_xlchart.v1.0" hidden="1">CarbonPricing!$B$2:$B$66</definedName>
    <definedName name="_xlchart.v1.1" hidden="1">CarbonPricing!$C$2:$C$66</definedName>
    <definedName name="_xlchart.v1.10" hidden="1">Tax!$C$2:$C$31</definedName>
    <definedName name="_xlchart.v1.11" hidden="1">ETS!$C$2:$C$36</definedName>
    <definedName name="_xlchart.v1.2" hidden="1">CarbonPricing!$B$2:$B$66</definedName>
    <definedName name="_xlchart.v1.3" hidden="1">CarbonPricing!$C$2:$C$66</definedName>
    <definedName name="_xlchart.v1.4" hidden="1">CarbonPricing!$B$2:$B$66</definedName>
    <definedName name="_xlchart.v1.5" hidden="1">CarbonPricing!$C$2:$C$66</definedName>
    <definedName name="_xlchart.v1.6" hidden="1">CarbonPricing!$B$2:$B$66</definedName>
    <definedName name="_xlchart.v1.7" hidden="1">CarbonPricing!$C$2:$C$66</definedName>
    <definedName name="_xlchart.v1.8" hidden="1">Tax!$A$2:$A$31</definedName>
    <definedName name="_xlchart.v1.9" hidden="1">Tax!$C$2:$C$31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4" l="1" a="1"/>
  <c r="M8" i="4" s="1"/>
  <c r="M7" i="4" a="1"/>
  <c r="M7" i="4" s="1"/>
  <c r="M6" i="4" a="1"/>
  <c r="M6" i="4" s="1"/>
  <c r="M5" i="4" a="1"/>
  <c r="M5" i="4" s="1"/>
  <c r="M4" i="4" a="1"/>
  <c r="M4" i="4" s="1"/>
  <c r="M3" i="4" a="1"/>
  <c r="M3" i="4" s="1"/>
  <c r="I34" i="3"/>
  <c r="I33" i="3"/>
  <c r="I32" i="3"/>
  <c r="I31" i="3"/>
  <c r="I30" i="3"/>
  <c r="I29" i="3"/>
  <c r="D54" i="1" l="1"/>
  <c r="E58" i="1"/>
  <c r="D49" i="1"/>
  <c r="D46" i="1"/>
  <c r="G62" i="1"/>
  <c r="E62" i="1"/>
  <c r="D62" i="1"/>
  <c r="G50" i="1"/>
  <c r="E50" i="1"/>
  <c r="D50" i="1"/>
  <c r="G30" i="1"/>
  <c r="E30" i="1"/>
  <c r="D30" i="1"/>
  <c r="D65" i="1"/>
  <c r="D55" i="1"/>
  <c r="D52" i="1"/>
  <c r="D57" i="1"/>
  <c r="D51" i="1"/>
  <c r="D45" i="1"/>
  <c r="D44" i="1"/>
  <c r="E36" i="1"/>
  <c r="D59" i="1"/>
  <c r="G24" i="1"/>
  <c r="E24" i="1"/>
  <c r="D24" i="1"/>
  <c r="E78" i="1"/>
  <c r="G77" i="1"/>
  <c r="E77" i="1"/>
  <c r="D77" i="1"/>
  <c r="G28" i="1"/>
  <c r="E28" i="1"/>
  <c r="D28" i="1"/>
  <c r="G76" i="1"/>
  <c r="D76" i="1"/>
  <c r="E76" i="1"/>
  <c r="E18" i="1"/>
  <c r="E17" i="1"/>
  <c r="E16" i="1"/>
  <c r="G47" i="1"/>
  <c r="E47" i="1"/>
  <c r="D47" i="1"/>
  <c r="E15" i="1"/>
  <c r="E31" i="1"/>
  <c r="G31" i="1"/>
  <c r="D31" i="1"/>
  <c r="E13" i="1"/>
  <c r="G23" i="1"/>
  <c r="E23" i="1"/>
  <c r="D23" i="1"/>
  <c r="G5" i="1"/>
  <c r="E5" i="1"/>
  <c r="D5" i="1"/>
  <c r="G33" i="1"/>
  <c r="E33" i="1"/>
  <c r="D33" i="1"/>
  <c r="G63" i="1"/>
  <c r="E63" i="1"/>
  <c r="D63" i="1"/>
  <c r="G26" i="1"/>
  <c r="E26" i="1"/>
  <c r="D26" i="1"/>
  <c r="G10" i="1"/>
  <c r="E10" i="1"/>
  <c r="D10" i="1"/>
  <c r="E25" i="1"/>
  <c r="I8" i="3"/>
  <c r="I7" i="3"/>
  <c r="I6" i="3"/>
  <c r="I5" i="3"/>
  <c r="I4" i="3"/>
  <c r="I3" i="3"/>
  <c r="I8" i="2"/>
  <c r="I7" i="2"/>
  <c r="I6" i="2"/>
  <c r="I5" i="2"/>
  <c r="I4" i="2"/>
  <c r="I3" i="2"/>
  <c r="J8" i="1"/>
  <c r="J7" i="1"/>
  <c r="J6" i="1"/>
  <c r="J5" i="1"/>
  <c r="J4" i="1"/>
  <c r="J3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3" i="1"/>
  <c r="B4" i="1"/>
  <c r="B5" i="1"/>
  <c r="B6" i="1"/>
  <c r="B7" i="1"/>
  <c r="B8" i="1"/>
  <c r="B9" i="1"/>
  <c r="B10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<sst xmlns="http://schemas.openxmlformats.org/spreadsheetml/2006/main" count="995" uniqueCount="342">
  <si>
    <t>Price (US$)</t>
  </si>
  <si>
    <t>Category</t>
  </si>
  <si>
    <t>Uruguay CO2 tax</t>
  </si>
  <si>
    <t>Sweden carbon tax</t>
  </si>
  <si>
    <t>Liechtenstein carbon tax</t>
  </si>
  <si>
    <t>Switzerland carbon tax</t>
  </si>
  <si>
    <t>Norway carbon tax</t>
  </si>
  <si>
    <t>Denmark carbon tax</t>
  </si>
  <si>
    <t>Netherlands carbon tax</t>
  </si>
  <si>
    <t>Portugal carbon tax</t>
  </si>
  <si>
    <t>EU ETS</t>
  </si>
  <si>
    <t>Ireland carbon tax</t>
  </si>
  <si>
    <t>Finland carbon tax</t>
  </si>
  <si>
    <t>Alberta TIER</t>
  </si>
  <si>
    <t>BC OBPS</t>
  </si>
  <si>
    <t>Canada federal OBPS</t>
  </si>
  <si>
    <t>New Brunswick OBPS</t>
  </si>
  <si>
    <t>Newfoundland and Labrador PSS</t>
  </si>
  <si>
    <t>Nova Scotia OBPS</t>
  </si>
  <si>
    <t>Ontario EPS</t>
  </si>
  <si>
    <t>Switzerland ETS</t>
  </si>
  <si>
    <t>Iceland carbon tax</t>
  </si>
  <si>
    <t>Luxembourg carbon tax</t>
  </si>
  <si>
    <t>UK ETS</t>
  </si>
  <si>
    <t>Washington CCA</t>
  </si>
  <si>
    <t>Austria ETS</t>
  </si>
  <si>
    <t>Germany ETS</t>
  </si>
  <si>
    <t>France carbon tax</t>
  </si>
  <si>
    <t>Quebec CaT</t>
  </si>
  <si>
    <t>Slovenia carbon tax</t>
  </si>
  <si>
    <t>New Zealand ETS</t>
  </si>
  <si>
    <t>California CaT</t>
  </si>
  <si>
    <t>Estonia carbon tax</t>
  </si>
  <si>
    <t>Montenegro ETS</t>
  </si>
  <si>
    <t>RGGI</t>
  </si>
  <si>
    <t>UK Carbon Price Support</t>
  </si>
  <si>
    <t>Australia Safeguard Mechanism</t>
  </si>
  <si>
    <t>Singapore carbon tax</t>
  </si>
  <si>
    <t>Tamaulipas carbon tax</t>
  </si>
  <si>
    <t>Latvia carbon Tax</t>
  </si>
  <si>
    <t>Spain carbon tax</t>
  </si>
  <si>
    <t>Albania carbon tax</t>
  </si>
  <si>
    <t>South Africa carbon tax</t>
  </si>
  <si>
    <t>Zacatecas carbon tax</t>
  </si>
  <si>
    <t>Beijing pilot ETS</t>
  </si>
  <si>
    <t>China national ETS</t>
  </si>
  <si>
    <t>Shanghai pilot ETS</t>
  </si>
  <si>
    <t>Massachusetts ETS</t>
  </si>
  <si>
    <t>Colombia carbon tax</t>
  </si>
  <si>
    <t>Shenzhen pilot ETS</t>
  </si>
  <si>
    <t>Korea ETS</t>
  </si>
  <si>
    <t>Chongqing pilot ETS</t>
  </si>
  <si>
    <t>Guangdong pilot ETS</t>
  </si>
  <si>
    <t>Argentina carbon tax</t>
  </si>
  <si>
    <t>Tianjin pilot ETS</t>
  </si>
  <si>
    <t>Hubei pilot ETS</t>
  </si>
  <si>
    <t>Chile carbon tax</t>
  </si>
  <si>
    <t>Fujian pilot ETS</t>
  </si>
  <si>
    <t>Tokyo CaT</t>
  </si>
  <si>
    <t>Mexico carbon tax</t>
  </si>
  <si>
    <t>Japan carbon tax</t>
  </si>
  <si>
    <t>Israel carbon tax</t>
  </si>
  <si>
    <t>Saitama ETS</t>
  </si>
  <si>
    <t>Kazakhstan ETS</t>
  </si>
  <si>
    <t>Ukraine carbon tax</t>
  </si>
  <si>
    <t>Indonesia ETS</t>
  </si>
  <si>
    <t>Poland carbon tax</t>
  </si>
  <si>
    <t>Type</t>
  </si>
  <si>
    <t>Result</t>
  </si>
  <si>
    <t>Notes</t>
  </si>
  <si>
    <t>Min Value</t>
  </si>
  <si>
    <t>25th Percentile</t>
  </si>
  <si>
    <t>50th Percentile</t>
  </si>
  <si>
    <t>75th Percentile</t>
  </si>
  <si>
    <t>Max Value</t>
  </si>
  <si>
    <t>Q0</t>
  </si>
  <si>
    <t>Q1</t>
  </si>
  <si>
    <t>Q2</t>
  </si>
  <si>
    <t>Q3</t>
  </si>
  <si>
    <t>Q4</t>
  </si>
  <si>
    <t>Stats</t>
  </si>
  <si>
    <t>Average</t>
  </si>
  <si>
    <t>AVG</t>
  </si>
  <si>
    <t>Carbon Pricing</t>
  </si>
  <si>
    <t>Tax</t>
  </si>
  <si>
    <t>ETS</t>
  </si>
  <si>
    <t>Cap</t>
  </si>
  <si>
    <t>Source</t>
  </si>
  <si>
    <t>ICAP</t>
  </si>
  <si>
    <t>World Bank</t>
  </si>
  <si>
    <t xml:space="preserve"> </t>
  </si>
  <si>
    <t>Covered emission</t>
  </si>
  <si>
    <t>%Cap of Total Emission</t>
  </si>
  <si>
    <t>%Covered emission</t>
  </si>
  <si>
    <t>N/A</t>
  </si>
  <si>
    <t>Additional From ICAP</t>
  </si>
  <si>
    <t>OREGON CLIMATE PROTECTION PROGRAM (CPP)</t>
  </si>
  <si>
    <t>REGIONAL GREENHOUSE GAS INITIATIVE</t>
  </si>
  <si>
    <t>SASKATCHEWAN
SASKATCHEWAN OUTPUT-BASED PERFORMANCE STANDARDS
PROGRAM</t>
  </si>
  <si>
    <t>ETS Price</t>
  </si>
  <si>
    <t>Carbon Tax</t>
  </si>
  <si>
    <t>Emission Cap</t>
  </si>
  <si>
    <t>Instrument name</t>
  </si>
  <si>
    <t>Start date</t>
  </si>
  <si>
    <t>Jurisdiction</t>
  </si>
  <si>
    <t>Region</t>
  </si>
  <si>
    <t>Economy income group</t>
  </si>
  <si>
    <t>Main price rate</t>
  </si>
  <si>
    <t>Share of jurisdiction's GHG emissions covered</t>
  </si>
  <si>
    <t>Government revenue from direct carbon pricing (2024)</t>
  </si>
  <si>
    <t>Carbon tax</t>
  </si>
  <si>
    <t>Albania</t>
  </si>
  <si>
    <t>Europe &amp; Central Asia</t>
  </si>
  <si>
    <t>Upper middle income</t>
  </si>
  <si>
    <t>USD 13.7</t>
  </si>
  <si>
    <t>73%</t>
  </si>
  <si>
    <t>Canada</t>
  </si>
  <si>
    <t>North America</t>
  </si>
  <si>
    <t>High income</t>
  </si>
  <si>
    <t>USD 66.2</t>
  </si>
  <si>
    <t>59%</t>
  </si>
  <si>
    <t>USD 412 million</t>
  </si>
  <si>
    <t>Andorra carbon tax</t>
  </si>
  <si>
    <t>Andorra</t>
  </si>
  <si>
    <t>USD 32.4</t>
  </si>
  <si>
    <t>95%</t>
  </si>
  <si>
    <t>Argentina</t>
  </si>
  <si>
    <t>Latin America &amp; Caribbean</t>
  </si>
  <si>
    <t>USD 5.3</t>
  </si>
  <si>
    <t>38%</t>
  </si>
  <si>
    <t>USD 225 million</t>
  </si>
  <si>
    <t>Australia safeguard mechanism</t>
  </si>
  <si>
    <t>Australia</t>
  </si>
  <si>
    <t>East Asia &amp; Pacific</t>
  </si>
  <si>
    <t>USD 21.8</t>
  </si>
  <si>
    <t>26%</t>
  </si>
  <si>
    <t>Austria</t>
  </si>
  <si>
    <t>USD 48.5</t>
  </si>
  <si>
    <t>36%</t>
  </si>
  <si>
    <t>USD 1,264 million</t>
  </si>
  <si>
    <t>British Columbia OBPS</t>
  </si>
  <si>
    <t>China</t>
  </si>
  <si>
    <t>USD 12.2</t>
  </si>
  <si>
    <t>17%</t>
  </si>
  <si>
    <t>USD 1 million</t>
  </si>
  <si>
    <t>California cap and trade</t>
  </si>
  <si>
    <t>United States</t>
  </si>
  <si>
    <t>USD 29.3</t>
  </si>
  <si>
    <t>76%</t>
  </si>
  <si>
    <t>USD 4,401 million</t>
  </si>
  <si>
    <t>3%</t>
  </si>
  <si>
    <t>Chile</t>
  </si>
  <si>
    <t>USD 5.0</t>
  </si>
  <si>
    <t>55%</t>
  </si>
  <si>
    <t>USD 140 million</t>
  </si>
  <si>
    <t>USD 11.8</t>
  </si>
  <si>
    <t>51%</t>
  </si>
  <si>
    <t>USD 5.5</t>
  </si>
  <si>
    <t>14%</t>
  </si>
  <si>
    <t>USD 3 million</t>
  </si>
  <si>
    <t>Colima carbon tax</t>
  </si>
  <si>
    <t>Mexico</t>
  </si>
  <si>
    <t>USD 27.8</t>
  </si>
  <si>
    <t>Colombia</t>
  </si>
  <si>
    <t>USD 6.5</t>
  </si>
  <si>
    <t>20%</t>
  </si>
  <si>
    <t>USD 133 million</t>
  </si>
  <si>
    <t>Colorado GHG crediting trading system</t>
  </si>
  <si>
    <t>Denmark</t>
  </si>
  <si>
    <t>USD 108.4</t>
  </si>
  <si>
    <t>64%</t>
  </si>
  <si>
    <t>USD 503 million</t>
  </si>
  <si>
    <t>Durango carbon tax</t>
  </si>
  <si>
    <t>USD 4.9</t>
  </si>
  <si>
    <t>34%</t>
  </si>
  <si>
    <t>USD 6 million</t>
  </si>
  <si>
    <t>Estonia</t>
  </si>
  <si>
    <t>USD 27.0</t>
  </si>
  <si>
    <t>10%</t>
  </si>
  <si>
    <t>USD 2 million</t>
  </si>
  <si>
    <t>European Union</t>
  </si>
  <si>
    <t>USD 70.4</t>
  </si>
  <si>
    <t>40%</t>
  </si>
  <si>
    <t>USD 41,703 million</t>
  </si>
  <si>
    <t>Finland</t>
  </si>
  <si>
    <t>USD 66.9</t>
  </si>
  <si>
    <t>45%</t>
  </si>
  <si>
    <t>USD 1,375 million</t>
  </si>
  <si>
    <t>France</t>
  </si>
  <si>
    <t>USD 48.1</t>
  </si>
  <si>
    <t>41%</t>
  </si>
  <si>
    <t>USD 7,844 million</t>
  </si>
  <si>
    <t>USD 4.7</t>
  </si>
  <si>
    <t>16%</t>
  </si>
  <si>
    <t>Germany</t>
  </si>
  <si>
    <t>39%</t>
  </si>
  <si>
    <t>USD 13,933 million</t>
  </si>
  <si>
    <t>Guanajuato carbon tax</t>
  </si>
  <si>
    <t>USD 5.4</t>
  </si>
  <si>
    <t>12%</t>
  </si>
  <si>
    <t>Hungary carbon tax</t>
  </si>
  <si>
    <t>Hungary</t>
  </si>
  <si>
    <t>USD 38.8</t>
  </si>
  <si>
    <t>32%</t>
  </si>
  <si>
    <t>USD 182 million</t>
  </si>
  <si>
    <t>Iceland</t>
  </si>
  <si>
    <t>USD 60.1</t>
  </si>
  <si>
    <t>37%</t>
  </si>
  <si>
    <t>USD 54 million</t>
  </si>
  <si>
    <t>Indonesia</t>
  </si>
  <si>
    <t>USD 0.7</t>
  </si>
  <si>
    <t>24%</t>
  </si>
  <si>
    <t>Ireland</t>
  </si>
  <si>
    <t>USD 68.5</t>
  </si>
  <si>
    <t>USD 1,111 million</t>
  </si>
  <si>
    <t>Israel</t>
  </si>
  <si>
    <t>Middle East &amp; North Africa</t>
  </si>
  <si>
    <t>USD 1.5</t>
  </si>
  <si>
    <t>78%</t>
  </si>
  <si>
    <t>Japan</t>
  </si>
  <si>
    <t>USD 1.9</t>
  </si>
  <si>
    <t>80%</t>
  </si>
  <si>
    <t>USD 1,452 million</t>
  </si>
  <si>
    <t>Kazakhstan</t>
  </si>
  <si>
    <t>USD 0.9</t>
  </si>
  <si>
    <t>43%</t>
  </si>
  <si>
    <t>Korea, Rep.</t>
  </si>
  <si>
    <t>79%</t>
  </si>
  <si>
    <t>USD 134 million</t>
  </si>
  <si>
    <t>Latvia carbon tax</t>
  </si>
  <si>
    <t>Latvia</t>
  </si>
  <si>
    <t>USD 16.2</t>
  </si>
  <si>
    <t>2%</t>
  </si>
  <si>
    <t>USD 8 million</t>
  </si>
  <si>
    <t>Liechtenstein</t>
  </si>
  <si>
    <t>USD 136.0</t>
  </si>
  <si>
    <t>72%</t>
  </si>
  <si>
    <t>USD 9 million</t>
  </si>
  <si>
    <t>Luxembourg</t>
  </si>
  <si>
    <t>USD 58.5</t>
  </si>
  <si>
    <t>USD 303 million</t>
  </si>
  <si>
    <t>USD 9.3</t>
  </si>
  <si>
    <t>9%</t>
  </si>
  <si>
    <t>USD 19 million</t>
  </si>
  <si>
    <t>USD 3.9</t>
  </si>
  <si>
    <t>29%</t>
  </si>
  <si>
    <t>USD 411 million</t>
  </si>
  <si>
    <t>Mexico City carbon tax</t>
  </si>
  <si>
    <t>USD 2.8</t>
  </si>
  <si>
    <t>18%</t>
  </si>
  <si>
    <t>Mexico ETS</t>
  </si>
  <si>
    <t>Montenegro</t>
  </si>
  <si>
    <t>USD 25.9</t>
  </si>
  <si>
    <t>USD 14 million</t>
  </si>
  <si>
    <t>Morelos carbon tax</t>
  </si>
  <si>
    <t>USD 12.3</t>
  </si>
  <si>
    <t>31%</t>
  </si>
  <si>
    <t>Netherlands</t>
  </si>
  <si>
    <t>USD 94.8</t>
  </si>
  <si>
    <t>54%</t>
  </si>
  <si>
    <t>New Zealand</t>
  </si>
  <si>
    <t>USD 32.0</t>
  </si>
  <si>
    <t>44%</t>
  </si>
  <si>
    <t>USD 293 million</t>
  </si>
  <si>
    <t>Newfoundland and Labrador Performance Standards System</t>
  </si>
  <si>
    <t>USD 0.4 million</t>
  </si>
  <si>
    <t>Norway</t>
  </si>
  <si>
    <t>USD 133.9</t>
  </si>
  <si>
    <t>65%</t>
  </si>
  <si>
    <t>USD 1,605 million</t>
  </si>
  <si>
    <t>USD 13 million</t>
  </si>
  <si>
    <t>Oregon ETS</t>
  </si>
  <si>
    <t>48%</t>
  </si>
  <si>
    <t>Poland</t>
  </si>
  <si>
    <t>USD 0.1</t>
  </si>
  <si>
    <t>USD 7 million</t>
  </si>
  <si>
    <t>Portugal</t>
  </si>
  <si>
    <t>USD 72.7</t>
  </si>
  <si>
    <t>USD 1,270 million</t>
  </si>
  <si>
    <t>Quebec cap and trade</t>
  </si>
  <si>
    <t>USD 41.5</t>
  </si>
  <si>
    <t>USD 1,055 million</t>
  </si>
  <si>
    <t>Queretaro carbon tax</t>
  </si>
  <si>
    <t>USD 32.8</t>
  </si>
  <si>
    <t>USD 15 million</t>
  </si>
  <si>
    <t>Regional Greenhouse Gas Initiative</t>
  </si>
  <si>
    <t>USD 23.3</t>
  </si>
  <si>
    <t>USD 1,456 million</t>
  </si>
  <si>
    <t>USD 1.0</t>
  </si>
  <si>
    <t>San Luis Potosí carbon tax</t>
  </si>
  <si>
    <t>USD 16.7</t>
  </si>
  <si>
    <t>68%</t>
  </si>
  <si>
    <t>USD 10.8</t>
  </si>
  <si>
    <t>21%</t>
  </si>
  <si>
    <t>Singapore</t>
  </si>
  <si>
    <t>USD 18.6</t>
  </si>
  <si>
    <t>71%</t>
  </si>
  <si>
    <t>USD 150 million</t>
  </si>
  <si>
    <t>Slovenia</t>
  </si>
  <si>
    <t>USD 33.3</t>
  </si>
  <si>
    <t>46%</t>
  </si>
  <si>
    <t>USD 173 million</t>
  </si>
  <si>
    <t>South Africa</t>
  </si>
  <si>
    <t>Sub-Saharan Africa</t>
  </si>
  <si>
    <t>USD 12.8</t>
  </si>
  <si>
    <t>82%</t>
  </si>
  <si>
    <t>USD 92 million</t>
  </si>
  <si>
    <t>Spain</t>
  </si>
  <si>
    <t>USD 118 million</t>
  </si>
  <si>
    <t>State of Mexico carbon tax</t>
  </si>
  <si>
    <t>47%</t>
  </si>
  <si>
    <t>Sweden</t>
  </si>
  <si>
    <t>USD 144.6</t>
  </si>
  <si>
    <t>USD 2,306 million</t>
  </si>
  <si>
    <t>Switzerland</t>
  </si>
  <si>
    <t>35%</t>
  </si>
  <si>
    <t>USD 1,426 million</t>
  </si>
  <si>
    <t>USD 64.7</t>
  </si>
  <si>
    <t>13%</t>
  </si>
  <si>
    <t>USD 50 million</t>
  </si>
  <si>
    <t>USD 82 million</t>
  </si>
  <si>
    <t>Tokyo cap and trade</t>
  </si>
  <si>
    <t>USD 4.0</t>
  </si>
  <si>
    <t>19%</t>
  </si>
  <si>
    <t>United Kingdom</t>
  </si>
  <si>
    <t>USD 23.2</t>
  </si>
  <si>
    <t>USD 872 million</t>
  </si>
  <si>
    <t>USD 57.2</t>
  </si>
  <si>
    <t>27%</t>
  </si>
  <si>
    <t>USD 3,250 million</t>
  </si>
  <si>
    <t>Ukraine</t>
  </si>
  <si>
    <t>USD 80 million</t>
  </si>
  <si>
    <t>Uruguay</t>
  </si>
  <si>
    <t>USD 158.8</t>
  </si>
  <si>
    <t>5%</t>
  </si>
  <si>
    <t>USD 302 million</t>
  </si>
  <si>
    <t>USD 50.0</t>
  </si>
  <si>
    <t>USD 811 million</t>
  </si>
  <si>
    <t>Yucatan carbon tax</t>
  </si>
  <si>
    <t>USD 15.0</t>
  </si>
  <si>
    <t>50%</t>
  </si>
  <si>
    <t>USD 16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</si>
</sst>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21" fillId="0" borderId="0" xfId="42"/>
    <xf numFmtId="10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wrapText="1"/>
    </xf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top" wrapText="1"/>
    </xf>
    <xf numFmtId="0" fontId="0" fillId="0" borderId="0" xfId="0"/>
    <xf numFmtId="0" fontId="16" fillId="0" borderId="0" xfId="0" applyFont="1" applyAlignment="1">
      <alignment horizontal="center" wrapText="1"/>
    </xf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Carbon Price (US$)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CarbonPricing!$C$1</c:f>
              <c:strCache>
                <c:ptCount val="1"/>
                <c:pt idx="0">
                  <c:v>Price (US$)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CarbonPricing!$A$2:$A$66</c:f>
              <c:strCache>
                <c:ptCount val="65"/>
                <c:pt idx="0">
                  <c:v>Uruguay CO2 tax</c:v>
                </c:pt>
                <c:pt idx="1">
                  <c:v>Sweden carbon tax</c:v>
                </c:pt>
                <c:pt idx="2">
                  <c:v>Liechtenstein carbon tax</c:v>
                </c:pt>
                <c:pt idx="3">
                  <c:v>Switzerland carbon tax</c:v>
                </c:pt>
                <c:pt idx="4">
                  <c:v>Norway carbon tax</c:v>
                </c:pt>
                <c:pt idx="5">
                  <c:v>Denmark carbon tax</c:v>
                </c:pt>
                <c:pt idx="6">
                  <c:v>Netherlands carbon tax</c:v>
                </c:pt>
                <c:pt idx="7">
                  <c:v>Portugal carbon tax</c:v>
                </c:pt>
                <c:pt idx="8">
                  <c:v>EU ETS</c:v>
                </c:pt>
                <c:pt idx="9">
                  <c:v>Ireland carbon tax</c:v>
                </c:pt>
                <c:pt idx="10">
                  <c:v>Finland carbon tax</c:v>
                </c:pt>
                <c:pt idx="11">
                  <c:v>Alberta TIER</c:v>
                </c:pt>
                <c:pt idx="12">
                  <c:v>BC OBPS</c:v>
                </c:pt>
                <c:pt idx="13">
                  <c:v>Canada federal OBPS</c:v>
                </c:pt>
                <c:pt idx="14">
                  <c:v>New Brunswick OBPS</c:v>
                </c:pt>
                <c:pt idx="15">
                  <c:v>Newfoundland and Labrador PSS</c:v>
                </c:pt>
                <c:pt idx="16">
                  <c:v>Nova Scotia OBPS</c:v>
                </c:pt>
                <c:pt idx="17">
                  <c:v>Ontario EPS</c:v>
                </c:pt>
                <c:pt idx="18">
                  <c:v>Switzerland ETS</c:v>
                </c:pt>
                <c:pt idx="19">
                  <c:v>Iceland carbon tax</c:v>
                </c:pt>
                <c:pt idx="20">
                  <c:v>Luxembourg carbon tax</c:v>
                </c:pt>
                <c:pt idx="21">
                  <c:v>UK ETS</c:v>
                </c:pt>
                <c:pt idx="22">
                  <c:v>Washington CCA</c:v>
                </c:pt>
                <c:pt idx="23">
                  <c:v>Austria ETS</c:v>
                </c:pt>
                <c:pt idx="24">
                  <c:v>Germany ETS</c:v>
                </c:pt>
                <c:pt idx="25">
                  <c:v>France carbon tax</c:v>
                </c:pt>
                <c:pt idx="26">
                  <c:v>Quebec CaT</c:v>
                </c:pt>
                <c:pt idx="27">
                  <c:v>Slovenia carbon tax</c:v>
                </c:pt>
                <c:pt idx="28">
                  <c:v>New Zealand ETS</c:v>
                </c:pt>
                <c:pt idx="29">
                  <c:v>California CaT</c:v>
                </c:pt>
                <c:pt idx="30">
                  <c:v>Estonia carbon tax</c:v>
                </c:pt>
                <c:pt idx="31">
                  <c:v>Montenegro ETS</c:v>
                </c:pt>
                <c:pt idx="32">
                  <c:v>RGGI</c:v>
                </c:pt>
                <c:pt idx="33">
                  <c:v>UK Carbon Price Support</c:v>
                </c:pt>
                <c:pt idx="34">
                  <c:v>Australia Safeguard Mechanism</c:v>
                </c:pt>
                <c:pt idx="35">
                  <c:v>Singapore carbon tax</c:v>
                </c:pt>
                <c:pt idx="36">
                  <c:v>Tamaulipas carbon tax</c:v>
                </c:pt>
                <c:pt idx="37">
                  <c:v>Latvia carbon Tax</c:v>
                </c:pt>
                <c:pt idx="38">
                  <c:v>Spain carbon tax</c:v>
                </c:pt>
                <c:pt idx="39">
                  <c:v>Albania carbon tax</c:v>
                </c:pt>
                <c:pt idx="40">
                  <c:v>South Africa carbon tax</c:v>
                </c:pt>
                <c:pt idx="41">
                  <c:v>Zacatecas carbon tax</c:v>
                </c:pt>
                <c:pt idx="42">
                  <c:v>Beijing pilot ETS</c:v>
                </c:pt>
                <c:pt idx="43">
                  <c:v>China national ETS</c:v>
                </c:pt>
                <c:pt idx="44">
                  <c:v>Shanghai pilot ETS</c:v>
                </c:pt>
                <c:pt idx="45">
                  <c:v>Massachusetts ETS</c:v>
                </c:pt>
                <c:pt idx="46">
                  <c:v>Colombia carbon tax</c:v>
                </c:pt>
                <c:pt idx="47">
                  <c:v>Shenzhen pilot ETS</c:v>
                </c:pt>
                <c:pt idx="48">
                  <c:v>Korea ETS</c:v>
                </c:pt>
                <c:pt idx="49">
                  <c:v>Chongqing pilot ETS</c:v>
                </c:pt>
                <c:pt idx="50">
                  <c:v>Guangdong pilot ETS</c:v>
                </c:pt>
                <c:pt idx="51">
                  <c:v>Argentina carbon tax</c:v>
                </c:pt>
                <c:pt idx="52">
                  <c:v>Tianjin pilot ETS</c:v>
                </c:pt>
                <c:pt idx="53">
                  <c:v>Hubei pilot ETS</c:v>
                </c:pt>
                <c:pt idx="54">
                  <c:v>Chile carbon tax</c:v>
                </c:pt>
                <c:pt idx="55">
                  <c:v>Fujian pilot ETS</c:v>
                </c:pt>
                <c:pt idx="56">
                  <c:v>Tokyo CaT</c:v>
                </c:pt>
                <c:pt idx="57">
                  <c:v>Mexico carbon tax</c:v>
                </c:pt>
                <c:pt idx="58">
                  <c:v>Japan carbon tax</c:v>
                </c:pt>
                <c:pt idx="59">
                  <c:v>Israel carbon tax</c:v>
                </c:pt>
                <c:pt idx="60">
                  <c:v>Saitama ETS</c:v>
                </c:pt>
                <c:pt idx="61">
                  <c:v>Kazakhstan ETS</c:v>
                </c:pt>
                <c:pt idx="62">
                  <c:v>Ukraine carbon tax</c:v>
                </c:pt>
                <c:pt idx="63">
                  <c:v>Indonesia ETS</c:v>
                </c:pt>
                <c:pt idx="64">
                  <c:v>Poland carbon tax</c:v>
                </c:pt>
              </c:strCache>
            </c:strRef>
          </c:cat>
          <c:val>
            <c:numRef>
              <c:f>CarbonPricing!$C$2:$C$66</c:f>
              <c:numCache>
                <c:formatCode>General</c:formatCode>
                <c:ptCount val="65"/>
                <c:pt idx="0">
                  <c:v>158.76474210000001</c:v>
                </c:pt>
                <c:pt idx="1">
                  <c:v>144.6246989</c:v>
                </c:pt>
                <c:pt idx="2">
                  <c:v>136.0389978</c:v>
                </c:pt>
                <c:pt idx="3">
                  <c:v>136.0389978</c:v>
                </c:pt>
                <c:pt idx="4">
                  <c:v>133.92048650000001</c:v>
                </c:pt>
                <c:pt idx="5">
                  <c:v>108.4347801</c:v>
                </c:pt>
                <c:pt idx="6">
                  <c:v>94.826520000000002</c:v>
                </c:pt>
                <c:pt idx="7">
                  <c:v>72.700332000000003</c:v>
                </c:pt>
                <c:pt idx="8">
                  <c:v>70.370124000000004</c:v>
                </c:pt>
                <c:pt idx="9">
                  <c:v>68.503799999999998</c:v>
                </c:pt>
                <c:pt idx="10">
                  <c:v>66.885599999999997</c:v>
                </c:pt>
                <c:pt idx="11">
                  <c:v>66.211318649999996</c:v>
                </c:pt>
                <c:pt idx="12">
                  <c:v>66.211318649999996</c:v>
                </c:pt>
                <c:pt idx="13">
                  <c:v>66.211318649999996</c:v>
                </c:pt>
                <c:pt idx="14">
                  <c:v>66.211318649999996</c:v>
                </c:pt>
                <c:pt idx="15">
                  <c:v>66.211318649999996</c:v>
                </c:pt>
                <c:pt idx="16">
                  <c:v>66.211318649999996</c:v>
                </c:pt>
                <c:pt idx="17">
                  <c:v>66.211318649999996</c:v>
                </c:pt>
                <c:pt idx="18">
                  <c:v>64.749576000000005</c:v>
                </c:pt>
                <c:pt idx="19">
                  <c:v>60.060060059999998</c:v>
                </c:pt>
                <c:pt idx="20">
                  <c:v>58.546475999999998</c:v>
                </c:pt>
                <c:pt idx="21">
                  <c:v>57.227813500000003</c:v>
                </c:pt>
                <c:pt idx="22">
                  <c:v>50</c:v>
                </c:pt>
                <c:pt idx="23">
                  <c:v>48.545999999999999</c:v>
                </c:pt>
                <c:pt idx="24">
                  <c:v>48.545999999999999</c:v>
                </c:pt>
                <c:pt idx="25">
                  <c:v>48.11448</c:v>
                </c:pt>
                <c:pt idx="26">
                  <c:v>41.54</c:v>
                </c:pt>
                <c:pt idx="27">
                  <c:v>33.28098</c:v>
                </c:pt>
                <c:pt idx="28">
                  <c:v>32.007123999999997</c:v>
                </c:pt>
                <c:pt idx="29">
                  <c:v>29.27</c:v>
                </c:pt>
                <c:pt idx="30">
                  <c:v>26.97</c:v>
                </c:pt>
                <c:pt idx="31">
                  <c:v>25.891200000000001</c:v>
                </c:pt>
                <c:pt idx="32">
                  <c:v>23.32</c:v>
                </c:pt>
                <c:pt idx="33">
                  <c:v>23.237100000000002</c:v>
                </c:pt>
                <c:pt idx="34">
                  <c:v>21.816120000000002</c:v>
                </c:pt>
                <c:pt idx="35">
                  <c:v>18.619200119999999</c:v>
                </c:pt>
                <c:pt idx="36">
                  <c:v>16.671987900000001</c:v>
                </c:pt>
                <c:pt idx="37">
                  <c:v>16.181999999999999</c:v>
                </c:pt>
                <c:pt idx="38">
                  <c:v>16.181999999999999</c:v>
                </c:pt>
                <c:pt idx="39">
                  <c:v>13.69190487</c:v>
                </c:pt>
                <c:pt idx="40">
                  <c:v>12.848921730000001</c:v>
                </c:pt>
                <c:pt idx="41">
                  <c:v>12.279762460000001</c:v>
                </c:pt>
                <c:pt idx="42">
                  <c:v>12.1526058</c:v>
                </c:pt>
                <c:pt idx="43">
                  <c:v>11.76462495</c:v>
                </c:pt>
                <c:pt idx="44">
                  <c:v>10.797424469999999</c:v>
                </c:pt>
                <c:pt idx="45">
                  <c:v>9.3000000000000007</c:v>
                </c:pt>
                <c:pt idx="46">
                  <c:v>6.5366191169999999</c:v>
                </c:pt>
                <c:pt idx="47">
                  <c:v>6.5337625890000002</c:v>
                </c:pt>
                <c:pt idx="48">
                  <c:v>6.4531483749999996</c:v>
                </c:pt>
                <c:pt idx="49">
                  <c:v>5.5101535410000002</c:v>
                </c:pt>
                <c:pt idx="50">
                  <c:v>5.4069671450000003</c:v>
                </c:pt>
                <c:pt idx="51">
                  <c:v>5.3279146940000004</c:v>
                </c:pt>
                <c:pt idx="52">
                  <c:v>5.2969016560000002</c:v>
                </c:pt>
                <c:pt idx="53">
                  <c:v>5.2721369210000004</c:v>
                </c:pt>
                <c:pt idx="54">
                  <c:v>5</c:v>
                </c:pt>
                <c:pt idx="55">
                  <c:v>4.7273127510000004</c:v>
                </c:pt>
                <c:pt idx="56">
                  <c:v>4.0053404539999997</c:v>
                </c:pt>
                <c:pt idx="57">
                  <c:v>3.9427861310000001</c:v>
                </c:pt>
                <c:pt idx="58">
                  <c:v>1.929238985</c:v>
                </c:pt>
                <c:pt idx="59">
                  <c:v>1.5114709850000001</c:v>
                </c:pt>
                <c:pt idx="60">
                  <c:v>0.96128170899999998</c:v>
                </c:pt>
                <c:pt idx="61">
                  <c:v>0.93172627100000005</c:v>
                </c:pt>
                <c:pt idx="62">
                  <c:v>0.73041039299999999</c:v>
                </c:pt>
                <c:pt idx="63">
                  <c:v>0.72437522600000004</c:v>
                </c:pt>
                <c:pt idx="64">
                  <c:v>9.8302979999999998E-2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8-4211-8A3A-D48E0A513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41937199"/>
        <c:axId val="1541920879"/>
      </c:barChart>
      <c:catAx>
        <c:axId val="154193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920879"/>
        <c:crosses val="autoZero"/>
        <c:auto val="1"/>
        <c:lblAlgn val="ctr"/>
        <c:lblOffset val="100"/>
        <c:noMultiLvlLbl val="0"/>
      </c:catAx>
      <c:valAx>
        <c:axId val="154192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93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Carbon Tax (US$)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Tax!$C$1</c:f>
              <c:strCache>
                <c:ptCount val="1"/>
                <c:pt idx="0">
                  <c:v>Price (US$)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Tax!$A$2:$A$31</c:f>
              <c:strCache>
                <c:ptCount val="30"/>
                <c:pt idx="0">
                  <c:v>Uruguay CO2 tax</c:v>
                </c:pt>
                <c:pt idx="1">
                  <c:v>Sweden carbon tax</c:v>
                </c:pt>
                <c:pt idx="2">
                  <c:v>Liechtenstein carbon tax</c:v>
                </c:pt>
                <c:pt idx="3">
                  <c:v>Switzerland carbon tax</c:v>
                </c:pt>
                <c:pt idx="4">
                  <c:v>Norway carbon tax</c:v>
                </c:pt>
                <c:pt idx="5">
                  <c:v>Denmark carbon tax</c:v>
                </c:pt>
                <c:pt idx="6">
                  <c:v>Netherlands carbon tax</c:v>
                </c:pt>
                <c:pt idx="7">
                  <c:v>Portugal carbon tax</c:v>
                </c:pt>
                <c:pt idx="8">
                  <c:v>Ireland carbon tax</c:v>
                </c:pt>
                <c:pt idx="9">
                  <c:v>Finland carbon tax</c:v>
                </c:pt>
                <c:pt idx="10">
                  <c:v>Iceland carbon tax</c:v>
                </c:pt>
                <c:pt idx="11">
                  <c:v>Luxembourg carbon tax</c:v>
                </c:pt>
                <c:pt idx="12">
                  <c:v>France carbon tax</c:v>
                </c:pt>
                <c:pt idx="13">
                  <c:v>Slovenia carbon tax</c:v>
                </c:pt>
                <c:pt idx="14">
                  <c:v>Estonia carbon tax</c:v>
                </c:pt>
                <c:pt idx="15">
                  <c:v>Singapore carbon tax</c:v>
                </c:pt>
                <c:pt idx="16">
                  <c:v>Tamaulipas carbon tax</c:v>
                </c:pt>
                <c:pt idx="17">
                  <c:v>Latvia carbon Tax</c:v>
                </c:pt>
                <c:pt idx="18">
                  <c:v>Spain carbon tax</c:v>
                </c:pt>
                <c:pt idx="19">
                  <c:v>Albania carbon tax</c:v>
                </c:pt>
                <c:pt idx="20">
                  <c:v>South Africa carbon tax</c:v>
                </c:pt>
                <c:pt idx="21">
                  <c:v>Zacatecas carbon tax</c:v>
                </c:pt>
                <c:pt idx="22">
                  <c:v>Colombia carbon tax</c:v>
                </c:pt>
                <c:pt idx="23">
                  <c:v>Argentina carbon tax</c:v>
                </c:pt>
                <c:pt idx="24">
                  <c:v>Chile carbon tax</c:v>
                </c:pt>
                <c:pt idx="25">
                  <c:v>Mexico carbon tax</c:v>
                </c:pt>
                <c:pt idx="26">
                  <c:v>Japan carbon tax</c:v>
                </c:pt>
                <c:pt idx="27">
                  <c:v>Israel carbon tax</c:v>
                </c:pt>
                <c:pt idx="28">
                  <c:v>Ukraine carbon tax</c:v>
                </c:pt>
                <c:pt idx="29">
                  <c:v>Poland carbon tax</c:v>
                </c:pt>
              </c:strCache>
            </c:strRef>
          </c:cat>
          <c:val>
            <c:numRef>
              <c:f>Tax!$C$2:$C$31</c:f>
              <c:numCache>
                <c:formatCode>General</c:formatCode>
                <c:ptCount val="30"/>
                <c:pt idx="0">
                  <c:v>158.76474210000001</c:v>
                </c:pt>
                <c:pt idx="1">
                  <c:v>144.6246989</c:v>
                </c:pt>
                <c:pt idx="2">
                  <c:v>136.0389978</c:v>
                </c:pt>
                <c:pt idx="3">
                  <c:v>136.0389978</c:v>
                </c:pt>
                <c:pt idx="4">
                  <c:v>133.92048650000001</c:v>
                </c:pt>
                <c:pt idx="5">
                  <c:v>108.4347801</c:v>
                </c:pt>
                <c:pt idx="6">
                  <c:v>94.826520000000002</c:v>
                </c:pt>
                <c:pt idx="7">
                  <c:v>72.700332000000003</c:v>
                </c:pt>
                <c:pt idx="8">
                  <c:v>68.503799999999998</c:v>
                </c:pt>
                <c:pt idx="9">
                  <c:v>66.885599999999997</c:v>
                </c:pt>
                <c:pt idx="10">
                  <c:v>60.060060059999998</c:v>
                </c:pt>
                <c:pt idx="11">
                  <c:v>58.546475999999998</c:v>
                </c:pt>
                <c:pt idx="12">
                  <c:v>48.11448</c:v>
                </c:pt>
                <c:pt idx="13">
                  <c:v>33.28098</c:v>
                </c:pt>
                <c:pt idx="14">
                  <c:v>26.97</c:v>
                </c:pt>
                <c:pt idx="15">
                  <c:v>18.619200119999999</c:v>
                </c:pt>
                <c:pt idx="16">
                  <c:v>16.671987900000001</c:v>
                </c:pt>
                <c:pt idx="17">
                  <c:v>16.181999999999999</c:v>
                </c:pt>
                <c:pt idx="18">
                  <c:v>16.181999999999999</c:v>
                </c:pt>
                <c:pt idx="19">
                  <c:v>13.69190487</c:v>
                </c:pt>
                <c:pt idx="20">
                  <c:v>12.848921730000001</c:v>
                </c:pt>
                <c:pt idx="21">
                  <c:v>12.279762460000001</c:v>
                </c:pt>
                <c:pt idx="22">
                  <c:v>6.5366191169999999</c:v>
                </c:pt>
                <c:pt idx="23">
                  <c:v>5.3279146940000004</c:v>
                </c:pt>
                <c:pt idx="24">
                  <c:v>5</c:v>
                </c:pt>
                <c:pt idx="25">
                  <c:v>3.9427861310000001</c:v>
                </c:pt>
                <c:pt idx="26">
                  <c:v>1.929238985</c:v>
                </c:pt>
                <c:pt idx="27">
                  <c:v>1.5114709850000001</c:v>
                </c:pt>
                <c:pt idx="28">
                  <c:v>0.73041039299999999</c:v>
                </c:pt>
                <c:pt idx="29">
                  <c:v>9.8302979999999998E-2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C-4BBA-8909-55F61C9BB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41940079"/>
        <c:axId val="1541941039"/>
      </c:barChart>
      <c:catAx>
        <c:axId val="1541940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941039"/>
        <c:crosses val="autoZero"/>
        <c:auto val="1"/>
        <c:lblAlgn val="ctr"/>
        <c:lblOffset val="100"/>
        <c:noMultiLvlLbl val="0"/>
      </c:catAx>
      <c:valAx>
        <c:axId val="154194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94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ETS!$C$1</c:f>
              <c:strCache>
                <c:ptCount val="1"/>
                <c:pt idx="0">
                  <c:v>Price (US$)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ETS!$A$2:$A$36</c:f>
              <c:strCache>
                <c:ptCount val="35"/>
                <c:pt idx="0">
                  <c:v>EU ETS</c:v>
                </c:pt>
                <c:pt idx="1">
                  <c:v>Alberta TIER</c:v>
                </c:pt>
                <c:pt idx="2">
                  <c:v>BC OBPS</c:v>
                </c:pt>
                <c:pt idx="3">
                  <c:v>Canada federal OBPS</c:v>
                </c:pt>
                <c:pt idx="4">
                  <c:v>New Brunswick OBPS</c:v>
                </c:pt>
                <c:pt idx="5">
                  <c:v>Newfoundland and Labrador PSS</c:v>
                </c:pt>
                <c:pt idx="6">
                  <c:v>Nova Scotia OBPS</c:v>
                </c:pt>
                <c:pt idx="7">
                  <c:v>Ontario EPS</c:v>
                </c:pt>
                <c:pt idx="8">
                  <c:v>Switzerland ETS</c:v>
                </c:pt>
                <c:pt idx="9">
                  <c:v>UK ETS</c:v>
                </c:pt>
                <c:pt idx="10">
                  <c:v>Washington CCA</c:v>
                </c:pt>
                <c:pt idx="11">
                  <c:v>Austria ETS</c:v>
                </c:pt>
                <c:pt idx="12">
                  <c:v>Germany ETS</c:v>
                </c:pt>
                <c:pt idx="13">
                  <c:v>Quebec CaT</c:v>
                </c:pt>
                <c:pt idx="14">
                  <c:v>New Zealand ETS</c:v>
                </c:pt>
                <c:pt idx="15">
                  <c:v>California CaT</c:v>
                </c:pt>
                <c:pt idx="16">
                  <c:v>Montenegro ETS</c:v>
                </c:pt>
                <c:pt idx="17">
                  <c:v>RGGI</c:v>
                </c:pt>
                <c:pt idx="18">
                  <c:v>UK Carbon Price Support</c:v>
                </c:pt>
                <c:pt idx="19">
                  <c:v>Australia Safeguard Mechanism</c:v>
                </c:pt>
                <c:pt idx="20">
                  <c:v>Beijing pilot ETS</c:v>
                </c:pt>
                <c:pt idx="21">
                  <c:v>China national ETS</c:v>
                </c:pt>
                <c:pt idx="22">
                  <c:v>Shanghai pilot ETS</c:v>
                </c:pt>
                <c:pt idx="23">
                  <c:v>Massachusetts ETS</c:v>
                </c:pt>
                <c:pt idx="24">
                  <c:v>Shenzhen pilot ETS</c:v>
                </c:pt>
                <c:pt idx="25">
                  <c:v>Korea ETS</c:v>
                </c:pt>
                <c:pt idx="26">
                  <c:v>Chongqing pilot ETS</c:v>
                </c:pt>
                <c:pt idx="27">
                  <c:v>Guangdong pilot ETS</c:v>
                </c:pt>
                <c:pt idx="28">
                  <c:v>Tianjin pilot ETS</c:v>
                </c:pt>
                <c:pt idx="29">
                  <c:v>Hubei pilot ETS</c:v>
                </c:pt>
                <c:pt idx="30">
                  <c:v>Fujian pilot ETS</c:v>
                </c:pt>
                <c:pt idx="31">
                  <c:v>Tokyo CaT</c:v>
                </c:pt>
                <c:pt idx="32">
                  <c:v>Saitama ETS</c:v>
                </c:pt>
                <c:pt idx="33">
                  <c:v>Kazakhstan ETS</c:v>
                </c:pt>
                <c:pt idx="34">
                  <c:v>Indonesia ETS</c:v>
                </c:pt>
              </c:strCache>
            </c:strRef>
          </c:cat>
          <c:val>
            <c:numRef>
              <c:f>ETS!$C$2:$C$36</c:f>
              <c:numCache>
                <c:formatCode>General</c:formatCode>
                <c:ptCount val="35"/>
                <c:pt idx="0">
                  <c:v>70.370124000000004</c:v>
                </c:pt>
                <c:pt idx="1">
                  <c:v>66.211318649999996</c:v>
                </c:pt>
                <c:pt idx="2">
                  <c:v>66.211318649999996</c:v>
                </c:pt>
                <c:pt idx="3">
                  <c:v>66.211318649999996</c:v>
                </c:pt>
                <c:pt idx="4">
                  <c:v>66.211318649999996</c:v>
                </c:pt>
                <c:pt idx="5">
                  <c:v>66.211318649999996</c:v>
                </c:pt>
                <c:pt idx="6">
                  <c:v>66.211318649999996</c:v>
                </c:pt>
                <c:pt idx="7">
                  <c:v>66.211318649999996</c:v>
                </c:pt>
                <c:pt idx="8">
                  <c:v>64.749576000000005</c:v>
                </c:pt>
                <c:pt idx="9">
                  <c:v>57.227813500000003</c:v>
                </c:pt>
                <c:pt idx="10">
                  <c:v>50</c:v>
                </c:pt>
                <c:pt idx="11">
                  <c:v>48.545999999999999</c:v>
                </c:pt>
                <c:pt idx="12">
                  <c:v>48.545999999999999</c:v>
                </c:pt>
                <c:pt idx="13">
                  <c:v>41.54</c:v>
                </c:pt>
                <c:pt idx="14">
                  <c:v>32.007123999999997</c:v>
                </c:pt>
                <c:pt idx="15">
                  <c:v>29.27</c:v>
                </c:pt>
                <c:pt idx="16">
                  <c:v>25.891200000000001</c:v>
                </c:pt>
                <c:pt idx="17">
                  <c:v>23.32</c:v>
                </c:pt>
                <c:pt idx="18">
                  <c:v>23.237100000000002</c:v>
                </c:pt>
                <c:pt idx="19">
                  <c:v>21.816120000000002</c:v>
                </c:pt>
                <c:pt idx="20">
                  <c:v>12.1526058</c:v>
                </c:pt>
                <c:pt idx="21">
                  <c:v>11.76462495</c:v>
                </c:pt>
                <c:pt idx="22">
                  <c:v>10.797424469999999</c:v>
                </c:pt>
                <c:pt idx="23">
                  <c:v>9.3000000000000007</c:v>
                </c:pt>
                <c:pt idx="24">
                  <c:v>6.5337625890000002</c:v>
                </c:pt>
                <c:pt idx="25">
                  <c:v>6.4531483749999996</c:v>
                </c:pt>
                <c:pt idx="26">
                  <c:v>5.5101535410000002</c:v>
                </c:pt>
                <c:pt idx="27">
                  <c:v>5.4069671450000003</c:v>
                </c:pt>
                <c:pt idx="28">
                  <c:v>5.2969016560000002</c:v>
                </c:pt>
                <c:pt idx="29">
                  <c:v>5.2721369210000004</c:v>
                </c:pt>
                <c:pt idx="30">
                  <c:v>4.7273127510000004</c:v>
                </c:pt>
                <c:pt idx="31">
                  <c:v>4.0053404539999997</c:v>
                </c:pt>
                <c:pt idx="32">
                  <c:v>0.96128170899999998</c:v>
                </c:pt>
                <c:pt idx="33">
                  <c:v>0.93172627100000005</c:v>
                </c:pt>
                <c:pt idx="34">
                  <c:v>0.72437522600000004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8-4DD9-A602-A22325C0D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41894959"/>
        <c:axId val="1541895439"/>
      </c:barChart>
      <c:catAx>
        <c:axId val="154189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95439"/>
        <c:crosses val="autoZero"/>
        <c:auto val="1"/>
        <c:lblAlgn val="ctr"/>
        <c:lblOffset val="100"/>
        <c:noMultiLvlLbl val="0"/>
      </c:catAx>
      <c:valAx>
        <c:axId val="154189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9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boxWhisker" uniqueId="{F4140492-1D88-4CCC-995C-B026E9C0645A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boxWhisker" uniqueId="{1145D96C-8890-4CDA-ACA3-97D69ED4155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BB539629-34D1-4023-ADC6-C85F402C4D3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</xdr:row>
      <xdr:rowOff>133350</xdr:rowOff>
    </xdr:from>
    <xdr:to>
      <xdr:col>21</xdr:col>
      <xdr:colOff>586740</xdr:colOff>
      <xdr:row>23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A8775-5014-195D-DD6C-F287BA602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443346</xdr:colOff>
      <xdr:row>40</xdr:row>
      <xdr:rowOff>55418</xdr:rowOff>
    </xdr:from>
    <xdr:to>
      <xdr:col>21</xdr:col>
      <xdr:colOff>13855</xdr:colOff>
      <xdr:row>71</xdr:row>
      <xdr:rowOff>83127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C5C64CB-7E4E-1372-1A1E-A674FE4CF7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5346" y="7426036"/>
              <a:ext cx="7495309" cy="56110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11430</xdr:rowOff>
    </xdr:from>
    <xdr:to>
      <xdr:col>20</xdr:col>
      <xdr:colOff>274320</xdr:colOff>
      <xdr:row>19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A229F-1BD0-1CB8-FA2A-FE29BECA5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588816</xdr:colOff>
      <xdr:row>20</xdr:row>
      <xdr:rowOff>118753</xdr:rowOff>
    </xdr:from>
    <xdr:to>
      <xdr:col>17</xdr:col>
      <xdr:colOff>511957</xdr:colOff>
      <xdr:row>43</xdr:row>
      <xdr:rowOff>112155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2D5AC42-9865-4BCE-FD37-430E111001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2198" y="4067298"/>
              <a:ext cx="4190341" cy="41359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6</xdr:row>
      <xdr:rowOff>163830</xdr:rowOff>
    </xdr:from>
    <xdr:to>
      <xdr:col>20</xdr:col>
      <xdr:colOff>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EE9BBB-22FD-6ED4-7E4C-86D7A64E5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786245</xdr:colOff>
      <xdr:row>37</xdr:row>
      <xdr:rowOff>10391</xdr:rowOff>
    </xdr:from>
    <xdr:to>
      <xdr:col>8</xdr:col>
      <xdr:colOff>540327</xdr:colOff>
      <xdr:row>52</xdr:row>
      <xdr:rowOff>51955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A13F54A-A68D-7B7E-7633-1E9942677C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0245" y="7020791"/>
              <a:ext cx="262197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arbonpricingdashboard.worldbank.org/compliance/price" TargetMode="External"/><Relationship Id="rId1" Type="http://schemas.openxmlformats.org/officeDocument/2006/relationships/hyperlink" Target="https://icapcarbonaction.com/en/publications/emissions-trading-worldwide-icap-status-report-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3225-EB1F-47A1-A953-0126B9A64308}">
  <dimension ref="A1:X78"/>
  <sheetViews>
    <sheetView zoomScale="85" zoomScaleNormal="85" workbookViewId="0">
      <pane ySplit="1" topLeftCell="A2" activePane="bottomLeft" state="frozen"/>
      <selection pane="bottomLeft" activeCell="A66" sqref="A66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12" bestFit="1" customWidth="1"/>
    <col min="4" max="5" width="12" customWidth="1"/>
    <col min="6" max="7" width="12" style="6" customWidth="1"/>
  </cols>
  <sheetData>
    <row r="1" spans="1:24" ht="27.6" x14ac:dyDescent="0.3">
      <c r="A1" s="1" t="s">
        <v>1</v>
      </c>
      <c r="B1" s="1" t="s">
        <v>67</v>
      </c>
      <c r="C1" s="1" t="s">
        <v>0</v>
      </c>
      <c r="D1" s="1" t="s">
        <v>86</v>
      </c>
      <c r="E1" s="1" t="s">
        <v>91</v>
      </c>
      <c r="F1" s="4" t="s">
        <v>93</v>
      </c>
      <c r="G1" s="4" t="s">
        <v>92</v>
      </c>
      <c r="I1" s="9" t="s">
        <v>83</v>
      </c>
      <c r="J1" s="9"/>
      <c r="K1" s="9"/>
      <c r="M1" s="9"/>
      <c r="N1" s="9"/>
      <c r="O1" s="9"/>
      <c r="Q1" s="9"/>
      <c r="R1" s="9"/>
      <c r="S1" s="9"/>
      <c r="X1" t="s">
        <v>87</v>
      </c>
    </row>
    <row r="2" spans="1:24" x14ac:dyDescent="0.3">
      <c r="A2" s="1" t="s">
        <v>2</v>
      </c>
      <c r="B2" s="1" t="str">
        <f t="shared" ref="B2:B33" si="0">IF(ISNUMBER(SEARCH("tax",$A2)),"Tax","ETS")</f>
        <v>Tax</v>
      </c>
      <c r="C2" s="2">
        <v>158.76474210000001</v>
      </c>
      <c r="D2" s="2" t="s">
        <v>90</v>
      </c>
      <c r="E2" s="2"/>
      <c r="F2" s="5"/>
      <c r="G2" s="5"/>
      <c r="I2" t="s">
        <v>80</v>
      </c>
      <c r="J2" t="s">
        <v>68</v>
      </c>
      <c r="K2" t="s">
        <v>69</v>
      </c>
      <c r="X2" s="3" t="s">
        <v>89</v>
      </c>
    </row>
    <row r="3" spans="1:24" x14ac:dyDescent="0.3">
      <c r="A3" s="1" t="s">
        <v>3</v>
      </c>
      <c r="B3" s="1" t="str">
        <f t="shared" si="0"/>
        <v>Tax</v>
      </c>
      <c r="C3" s="2">
        <v>144.6246989</v>
      </c>
      <c r="D3" s="2"/>
      <c r="E3" s="2"/>
      <c r="F3" s="5"/>
      <c r="G3" s="5"/>
      <c r="I3" t="s">
        <v>75</v>
      </c>
      <c r="J3">
        <f>QUARTILE($C$2:$C$66,0)</f>
        <v>9.8302979999999998E-2</v>
      </c>
      <c r="K3" t="s">
        <v>70</v>
      </c>
      <c r="X3" s="3" t="s">
        <v>88</v>
      </c>
    </row>
    <row r="4" spans="1:24" x14ac:dyDescent="0.3">
      <c r="A4" s="1" t="s">
        <v>4</v>
      </c>
      <c r="B4" s="1" t="str">
        <f t="shared" si="0"/>
        <v>Tax</v>
      </c>
      <c r="C4" s="2">
        <v>136.0389978</v>
      </c>
      <c r="D4" s="2"/>
      <c r="E4" s="2"/>
      <c r="F4" s="5"/>
      <c r="G4" s="5"/>
      <c r="I4" t="s">
        <v>76</v>
      </c>
      <c r="J4">
        <f>QUARTILE($C$2:$C$66,1)</f>
        <v>6.4531483749999996</v>
      </c>
      <c r="K4" t="s">
        <v>71</v>
      </c>
    </row>
    <row r="5" spans="1:24" x14ac:dyDescent="0.3">
      <c r="A5" s="1" t="s">
        <v>5</v>
      </c>
      <c r="B5" s="1" t="str">
        <f t="shared" si="0"/>
        <v>Tax</v>
      </c>
      <c r="C5" s="2">
        <v>136.0389978</v>
      </c>
      <c r="D5" s="2">
        <f>4.3*10^6</f>
        <v>4300000</v>
      </c>
      <c r="E5" s="2">
        <f>5.4*10^6</f>
        <v>5400000</v>
      </c>
      <c r="F5" s="5">
        <v>0.13</v>
      </c>
      <c r="G5" s="5">
        <f>$D5/$E5*$F5</f>
        <v>0.10351851851851852</v>
      </c>
      <c r="I5" t="s">
        <v>77</v>
      </c>
      <c r="J5">
        <f>QUARTILE($C$2:$C$66,2)</f>
        <v>23.32</v>
      </c>
      <c r="K5" t="s">
        <v>72</v>
      </c>
    </row>
    <row r="6" spans="1:24" x14ac:dyDescent="0.3">
      <c r="A6" s="1" t="s">
        <v>6</v>
      </c>
      <c r="B6" s="1" t="str">
        <f t="shared" si="0"/>
        <v>Tax</v>
      </c>
      <c r="C6" s="2">
        <v>133.92048650000001</v>
      </c>
      <c r="D6" s="2"/>
      <c r="E6" s="2"/>
      <c r="F6" s="5"/>
      <c r="G6" s="5"/>
      <c r="I6" t="s">
        <v>78</v>
      </c>
      <c r="J6">
        <f>QUARTILE($C$2:$C$66,3)</f>
        <v>66.211318649999996</v>
      </c>
      <c r="K6" t="s">
        <v>73</v>
      </c>
    </row>
    <row r="7" spans="1:24" x14ac:dyDescent="0.3">
      <c r="A7" s="1" t="s">
        <v>7</v>
      </c>
      <c r="B7" s="1" t="str">
        <f t="shared" si="0"/>
        <v>Tax</v>
      </c>
      <c r="C7" s="2">
        <v>108.4347801</v>
      </c>
      <c r="D7" s="2"/>
      <c r="E7" s="2"/>
      <c r="F7" s="5"/>
      <c r="G7" s="5"/>
      <c r="I7" t="s">
        <v>79</v>
      </c>
      <c r="J7">
        <f>QUARTILE($C$2:$C$66,4)</f>
        <v>158.76474210000001</v>
      </c>
      <c r="K7" t="s">
        <v>74</v>
      </c>
    </row>
    <row r="8" spans="1:24" x14ac:dyDescent="0.3">
      <c r="A8" s="1" t="s">
        <v>8</v>
      </c>
      <c r="B8" s="1" t="str">
        <f t="shared" si="0"/>
        <v>Tax</v>
      </c>
      <c r="C8" s="2">
        <v>94.826520000000002</v>
      </c>
      <c r="D8" s="2"/>
      <c r="E8" s="2"/>
      <c r="F8" s="5"/>
      <c r="G8" s="5"/>
      <c r="I8" t="s">
        <v>82</v>
      </c>
      <c r="J8">
        <f>AVERAGE($C$2:$C$66)</f>
        <v>39.524638792815402</v>
      </c>
      <c r="K8" t="s">
        <v>81</v>
      </c>
    </row>
    <row r="9" spans="1:24" x14ac:dyDescent="0.3">
      <c r="A9" s="1" t="s">
        <v>9</v>
      </c>
      <c r="B9" s="1" t="str">
        <f t="shared" si="0"/>
        <v>Tax</v>
      </c>
      <c r="C9" s="2">
        <v>72.700332000000003</v>
      </c>
      <c r="D9" s="2"/>
      <c r="E9" s="2"/>
      <c r="F9" s="5"/>
      <c r="G9" s="5"/>
    </row>
    <row r="10" spans="1:24" x14ac:dyDescent="0.3">
      <c r="A10" s="1" t="s">
        <v>10</v>
      </c>
      <c r="B10" s="1" t="str">
        <f t="shared" si="0"/>
        <v>ETS</v>
      </c>
      <c r="C10" s="2">
        <v>70.370124000000004</v>
      </c>
      <c r="D10" s="2">
        <f>1386*10^6</f>
        <v>1386000000</v>
      </c>
      <c r="E10" s="2">
        <f>1362*10^6</f>
        <v>1362000000</v>
      </c>
      <c r="F10" s="5">
        <v>0.4</v>
      </c>
      <c r="G10" s="5">
        <f>$D10/$E10*$F10</f>
        <v>0.40704845814977975</v>
      </c>
    </row>
    <row r="11" spans="1:24" x14ac:dyDescent="0.3">
      <c r="A11" s="1" t="s">
        <v>11</v>
      </c>
      <c r="B11" s="1" t="str">
        <f t="shared" si="0"/>
        <v>Tax</v>
      </c>
      <c r="C11" s="2">
        <v>68.503799999999998</v>
      </c>
      <c r="D11" s="2"/>
      <c r="E11" s="2"/>
      <c r="F11" s="5"/>
      <c r="G11" s="5"/>
    </row>
    <row r="12" spans="1:24" x14ac:dyDescent="0.3">
      <c r="A12" s="1" t="s">
        <v>12</v>
      </c>
      <c r="B12" s="1" t="str">
        <f t="shared" si="0"/>
        <v>Tax</v>
      </c>
      <c r="C12" s="2">
        <v>66.885599999999997</v>
      </c>
      <c r="D12" s="2"/>
      <c r="E12" s="2"/>
      <c r="F12" s="5"/>
      <c r="G12" s="5"/>
    </row>
    <row r="13" spans="1:24" x14ac:dyDescent="0.3">
      <c r="A13" s="1" t="s">
        <v>13</v>
      </c>
      <c r="B13" s="1" t="str">
        <f t="shared" si="0"/>
        <v>ETS</v>
      </c>
      <c r="C13" s="2">
        <v>66.211318649999996</v>
      </c>
      <c r="D13" s="2" t="s">
        <v>94</v>
      </c>
      <c r="E13" s="2">
        <f>160*10^6</f>
        <v>160000000</v>
      </c>
      <c r="F13" s="5">
        <v>0.59</v>
      </c>
      <c r="G13" s="5" t="s">
        <v>94</v>
      </c>
    </row>
    <row r="14" spans="1:24" x14ac:dyDescent="0.3">
      <c r="A14" s="1" t="s">
        <v>14</v>
      </c>
      <c r="B14" s="1" t="str">
        <f t="shared" si="0"/>
        <v>ETS</v>
      </c>
      <c r="C14" s="2">
        <v>66.211318649999996</v>
      </c>
      <c r="D14" s="2"/>
      <c r="E14" s="2"/>
      <c r="F14" s="5"/>
      <c r="G14" s="5"/>
    </row>
    <row r="15" spans="1:24" x14ac:dyDescent="0.3">
      <c r="A15" s="1" t="s">
        <v>15</v>
      </c>
      <c r="B15" s="1" t="str">
        <f t="shared" si="0"/>
        <v>ETS</v>
      </c>
      <c r="C15" s="2">
        <v>66.211318649999996</v>
      </c>
      <c r="D15" s="2" t="s">
        <v>94</v>
      </c>
      <c r="E15" s="2">
        <f>56.9*10^6</f>
        <v>56900000</v>
      </c>
      <c r="F15" s="5">
        <v>0.08</v>
      </c>
      <c r="G15" s="5"/>
    </row>
    <row r="16" spans="1:24" x14ac:dyDescent="0.3">
      <c r="A16" s="1" t="s">
        <v>16</v>
      </c>
      <c r="B16" s="1" t="str">
        <f t="shared" si="0"/>
        <v>ETS</v>
      </c>
      <c r="C16" s="2">
        <v>66.211318649999996</v>
      </c>
      <c r="D16" s="2" t="s">
        <v>94</v>
      </c>
      <c r="E16" s="2">
        <f>6.8*10^6</f>
        <v>6800000</v>
      </c>
      <c r="F16" s="5">
        <v>0.54</v>
      </c>
      <c r="G16" s="5" t="s">
        <v>94</v>
      </c>
    </row>
    <row r="17" spans="1:7" x14ac:dyDescent="0.3">
      <c r="A17" s="1" t="s">
        <v>17</v>
      </c>
      <c r="B17" s="1" t="str">
        <f t="shared" si="0"/>
        <v>ETS</v>
      </c>
      <c r="C17" s="2">
        <v>66.211318649999996</v>
      </c>
      <c r="D17" s="2" t="s">
        <v>94</v>
      </c>
      <c r="E17" s="2">
        <f>3.1*10^6</f>
        <v>3100000</v>
      </c>
      <c r="F17" s="5">
        <v>0.36</v>
      </c>
      <c r="G17" s="5" t="s">
        <v>94</v>
      </c>
    </row>
    <row r="18" spans="1:7" x14ac:dyDescent="0.3">
      <c r="A18" s="1" t="s">
        <v>18</v>
      </c>
      <c r="B18" s="1" t="str">
        <f t="shared" si="0"/>
        <v>ETS</v>
      </c>
      <c r="C18" s="2">
        <v>66.211318649999996</v>
      </c>
      <c r="D18" s="2" t="s">
        <v>94</v>
      </c>
      <c r="E18" s="2">
        <f>5.3*10^6</f>
        <v>5300000</v>
      </c>
      <c r="F18" s="5">
        <v>0.36</v>
      </c>
      <c r="G18" s="5" t="s">
        <v>94</v>
      </c>
    </row>
    <row r="19" spans="1:7" x14ac:dyDescent="0.3">
      <c r="A19" s="1" t="s">
        <v>19</v>
      </c>
      <c r="B19" s="1" t="str">
        <f t="shared" si="0"/>
        <v>ETS</v>
      </c>
      <c r="C19" s="2">
        <v>66.211318649999996</v>
      </c>
      <c r="D19" s="2"/>
      <c r="E19" s="2"/>
      <c r="F19" s="5"/>
      <c r="G19" s="5"/>
    </row>
    <row r="20" spans="1:7" x14ac:dyDescent="0.3">
      <c r="A20" s="1" t="s">
        <v>20</v>
      </c>
      <c r="B20" s="1" t="str">
        <f t="shared" si="0"/>
        <v>ETS</v>
      </c>
      <c r="C20" s="2">
        <v>64.749576000000005</v>
      </c>
      <c r="D20" s="2"/>
      <c r="E20" s="2"/>
      <c r="F20" s="5"/>
      <c r="G20" s="5"/>
    </row>
    <row r="21" spans="1:7" x14ac:dyDescent="0.3">
      <c r="A21" s="1" t="s">
        <v>21</v>
      </c>
      <c r="B21" s="1" t="str">
        <f t="shared" si="0"/>
        <v>Tax</v>
      </c>
      <c r="C21" s="2">
        <v>60.060060059999998</v>
      </c>
      <c r="D21" s="2"/>
      <c r="E21" s="2"/>
      <c r="F21" s="5"/>
      <c r="G21" s="5"/>
    </row>
    <row r="22" spans="1:7" x14ac:dyDescent="0.3">
      <c r="A22" s="1" t="s">
        <v>22</v>
      </c>
      <c r="B22" s="1" t="str">
        <f t="shared" si="0"/>
        <v>Tax</v>
      </c>
      <c r="C22" s="2">
        <v>58.546475999999998</v>
      </c>
      <c r="D22" s="2"/>
      <c r="E22" s="2"/>
      <c r="F22" s="5"/>
      <c r="G22" s="5"/>
    </row>
    <row r="23" spans="1:7" x14ac:dyDescent="0.3">
      <c r="A23" s="1" t="s">
        <v>23</v>
      </c>
      <c r="B23" s="1" t="str">
        <f t="shared" si="0"/>
        <v>ETS</v>
      </c>
      <c r="C23" s="2">
        <v>57.227813500000003</v>
      </c>
      <c r="D23" s="2">
        <f>86.7*10^6</f>
        <v>86700000</v>
      </c>
      <c r="E23" s="2">
        <f>110.6*10^6</f>
        <v>110600000</v>
      </c>
      <c r="F23" s="5">
        <v>0.27</v>
      </c>
      <c r="G23" s="5">
        <f>$D23/$E23*$F23</f>
        <v>0.21165461121157328</v>
      </c>
    </row>
    <row r="24" spans="1:7" x14ac:dyDescent="0.3">
      <c r="A24" s="1" t="s">
        <v>24</v>
      </c>
      <c r="B24" s="1" t="str">
        <f t="shared" si="0"/>
        <v>ETS</v>
      </c>
      <c r="C24" s="2">
        <v>50</v>
      </c>
      <c r="D24" s="2">
        <f>53.7*10^6</f>
        <v>53700000</v>
      </c>
      <c r="E24" s="2">
        <f>68.2*10^6</f>
        <v>68200000</v>
      </c>
      <c r="F24" s="5">
        <v>0.71</v>
      </c>
      <c r="G24" s="5">
        <f>$D24/$E24*$F24</f>
        <v>0.55904692082111429</v>
      </c>
    </row>
    <row r="25" spans="1:7" x14ac:dyDescent="0.3">
      <c r="A25" s="1" t="s">
        <v>25</v>
      </c>
      <c r="B25" s="1" t="str">
        <f t="shared" si="0"/>
        <v>ETS</v>
      </c>
      <c r="C25" s="2">
        <v>48.545999999999999</v>
      </c>
      <c r="D25" s="2" t="s">
        <v>94</v>
      </c>
      <c r="E25">
        <f>26*10^6</f>
        <v>26000000</v>
      </c>
      <c r="F25" s="5">
        <v>0.36</v>
      </c>
      <c r="G25" s="5" t="s">
        <v>94</v>
      </c>
    </row>
    <row r="26" spans="1:7" x14ac:dyDescent="0.3">
      <c r="A26" s="1" t="s">
        <v>26</v>
      </c>
      <c r="B26" s="1" t="str">
        <f t="shared" si="0"/>
        <v>ETS</v>
      </c>
      <c r="C26" s="2">
        <v>48.545999999999999</v>
      </c>
      <c r="D26" s="2">
        <f>260*10^6</f>
        <v>260000000</v>
      </c>
      <c r="E26" s="2">
        <f>291.1*10^6</f>
        <v>291100000</v>
      </c>
      <c r="F26" s="5">
        <v>0.39</v>
      </c>
      <c r="G26" s="5">
        <f>$D26/$E26*$F26</f>
        <v>0.34833390587427004</v>
      </c>
    </row>
    <row r="27" spans="1:7" x14ac:dyDescent="0.3">
      <c r="A27" s="1" t="s">
        <v>27</v>
      </c>
      <c r="B27" s="1" t="str">
        <f t="shared" si="0"/>
        <v>Tax</v>
      </c>
      <c r="C27" s="2">
        <v>48.11448</v>
      </c>
      <c r="D27" s="2"/>
      <c r="E27" s="2"/>
      <c r="F27" s="5"/>
      <c r="G27" s="5"/>
    </row>
    <row r="28" spans="1:7" x14ac:dyDescent="0.3">
      <c r="A28" s="1" t="s">
        <v>28</v>
      </c>
      <c r="B28" s="1" t="str">
        <f t="shared" si="0"/>
        <v>ETS</v>
      </c>
      <c r="C28" s="2">
        <v>41.54</v>
      </c>
      <c r="D28" s="2">
        <f>50.3*10^6</f>
        <v>50300000</v>
      </c>
      <c r="E28" s="2">
        <f>60*10^6</f>
        <v>60000000</v>
      </c>
      <c r="F28" s="5">
        <v>0.76</v>
      </c>
      <c r="G28" s="5">
        <f>$D28/$E28*$F28</f>
        <v>0.63713333333333333</v>
      </c>
    </row>
    <row r="29" spans="1:7" x14ac:dyDescent="0.3">
      <c r="A29" s="1" t="s">
        <v>29</v>
      </c>
      <c r="B29" s="1" t="str">
        <f t="shared" si="0"/>
        <v>Tax</v>
      </c>
      <c r="C29" s="2">
        <v>33.28098</v>
      </c>
      <c r="D29" s="2"/>
      <c r="E29" s="2"/>
      <c r="F29" s="5"/>
      <c r="G29" s="5"/>
    </row>
    <row r="30" spans="1:7" x14ac:dyDescent="0.3">
      <c r="A30" s="1" t="s">
        <v>30</v>
      </c>
      <c r="B30" s="1" t="str">
        <f t="shared" si="0"/>
        <v>ETS</v>
      </c>
      <c r="C30" s="2">
        <v>32.007123999999997</v>
      </c>
      <c r="D30" s="2">
        <f>19.1*10^6</f>
        <v>19100000</v>
      </c>
      <c r="E30" s="2">
        <f>34.2*10^6</f>
        <v>34200000</v>
      </c>
      <c r="F30" s="5">
        <v>0.44</v>
      </c>
      <c r="G30" s="5">
        <f>$D30/$E30*$F30</f>
        <v>0.24573099415204677</v>
      </c>
    </row>
    <row r="31" spans="1:7" x14ac:dyDescent="0.3">
      <c r="A31" s="1" t="s">
        <v>31</v>
      </c>
      <c r="B31" s="1" t="str">
        <f t="shared" si="0"/>
        <v>ETS</v>
      </c>
      <c r="C31" s="2">
        <v>29.27</v>
      </c>
      <c r="D31" s="2">
        <f>267.4*10^6</f>
        <v>267399999.99999997</v>
      </c>
      <c r="E31" s="2">
        <f>281.6*10^6</f>
        <v>281600000</v>
      </c>
      <c r="F31" s="5">
        <v>0.76</v>
      </c>
      <c r="G31" s="5">
        <f>$D31/$E31*$F31</f>
        <v>0.72167613636363626</v>
      </c>
    </row>
    <row r="32" spans="1:7" x14ac:dyDescent="0.3">
      <c r="A32" s="1" t="s">
        <v>32</v>
      </c>
      <c r="B32" s="1" t="str">
        <f t="shared" si="0"/>
        <v>Tax</v>
      </c>
      <c r="C32" s="2">
        <v>26.97</v>
      </c>
      <c r="D32" s="2"/>
      <c r="E32" s="2"/>
      <c r="F32" s="5"/>
      <c r="G32" s="5"/>
    </row>
    <row r="33" spans="1:7" x14ac:dyDescent="0.3">
      <c r="A33" s="1" t="s">
        <v>33</v>
      </c>
      <c r="B33" s="1" t="str">
        <f t="shared" si="0"/>
        <v>ETS</v>
      </c>
      <c r="C33" s="2">
        <v>25.891200000000001</v>
      </c>
      <c r="D33" s="2">
        <f>3.1*10^6</f>
        <v>3100000</v>
      </c>
      <c r="E33" s="2">
        <f>1.49*10^6</f>
        <v>1490000</v>
      </c>
      <c r="F33" s="5">
        <v>0.43</v>
      </c>
      <c r="G33" s="5">
        <f>$D33/$E33*$F33</f>
        <v>0.89463087248322137</v>
      </c>
    </row>
    <row r="34" spans="1:7" x14ac:dyDescent="0.3">
      <c r="A34" s="1" t="s">
        <v>34</v>
      </c>
      <c r="B34" s="1" t="str">
        <f t="shared" ref="B34:B66" si="1">IF(ISNUMBER(SEARCH("tax",$A34)),"Tax","ETS")</f>
        <v>ETS</v>
      </c>
      <c r="C34" s="2">
        <v>23.32</v>
      </c>
      <c r="D34" s="2"/>
      <c r="E34" s="2"/>
      <c r="F34" s="5"/>
      <c r="G34" s="5"/>
    </row>
    <row r="35" spans="1:7" x14ac:dyDescent="0.3">
      <c r="A35" s="1" t="s">
        <v>35</v>
      </c>
      <c r="B35" s="1" t="str">
        <f t="shared" si="1"/>
        <v>ETS</v>
      </c>
      <c r="C35" s="2">
        <v>23.237100000000002</v>
      </c>
      <c r="D35" s="2"/>
      <c r="E35" s="2"/>
      <c r="F35" s="5"/>
      <c r="G35" s="5"/>
    </row>
    <row r="36" spans="1:7" x14ac:dyDescent="0.3">
      <c r="A36" s="1" t="s">
        <v>36</v>
      </c>
      <c r="B36" s="1" t="str">
        <f t="shared" si="1"/>
        <v>ETS</v>
      </c>
      <c r="C36" s="2">
        <v>21.816120000000002</v>
      </c>
      <c r="D36" s="2" t="s">
        <v>94</v>
      </c>
      <c r="E36" s="2">
        <f>138.7*10^6</f>
        <v>138700000</v>
      </c>
      <c r="F36" s="5">
        <v>0.26</v>
      </c>
      <c r="G36" s="5" t="s">
        <v>94</v>
      </c>
    </row>
    <row r="37" spans="1:7" x14ac:dyDescent="0.3">
      <c r="A37" s="1" t="s">
        <v>37</v>
      </c>
      <c r="B37" s="1" t="str">
        <f t="shared" si="1"/>
        <v>Tax</v>
      </c>
      <c r="C37" s="2">
        <v>18.619200119999999</v>
      </c>
      <c r="D37" s="2"/>
      <c r="E37" s="2"/>
      <c r="F37" s="5"/>
      <c r="G37" s="5"/>
    </row>
    <row r="38" spans="1:7" x14ac:dyDescent="0.3">
      <c r="A38" s="1" t="s">
        <v>38</v>
      </c>
      <c r="B38" s="1" t="str">
        <f t="shared" si="1"/>
        <v>Tax</v>
      </c>
      <c r="C38" s="2">
        <v>16.671987900000001</v>
      </c>
      <c r="D38" s="2"/>
      <c r="E38" s="2"/>
      <c r="F38" s="5"/>
      <c r="G38" s="5"/>
    </row>
    <row r="39" spans="1:7" x14ac:dyDescent="0.3">
      <c r="A39" s="1" t="s">
        <v>39</v>
      </c>
      <c r="B39" s="1" t="str">
        <f t="shared" si="1"/>
        <v>Tax</v>
      </c>
      <c r="C39" s="2">
        <v>16.181999999999999</v>
      </c>
      <c r="D39" s="2"/>
      <c r="E39" s="2"/>
      <c r="F39" s="5"/>
      <c r="G39" s="5"/>
    </row>
    <row r="40" spans="1:7" x14ac:dyDescent="0.3">
      <c r="A40" s="1" t="s">
        <v>40</v>
      </c>
      <c r="B40" s="1" t="str">
        <f t="shared" si="1"/>
        <v>Tax</v>
      </c>
      <c r="C40" s="2">
        <v>16.181999999999999</v>
      </c>
      <c r="D40" s="2"/>
      <c r="E40" s="2"/>
      <c r="F40" s="5"/>
      <c r="G40" s="5"/>
    </row>
    <row r="41" spans="1:7" x14ac:dyDescent="0.3">
      <c r="A41" s="1" t="s">
        <v>41</v>
      </c>
      <c r="B41" s="1" t="str">
        <f t="shared" si="1"/>
        <v>Tax</v>
      </c>
      <c r="C41" s="2">
        <v>13.69190487</v>
      </c>
      <c r="D41" s="2"/>
      <c r="E41" s="2"/>
      <c r="F41" s="5"/>
      <c r="G41" s="5"/>
    </row>
    <row r="42" spans="1:7" x14ac:dyDescent="0.3">
      <c r="A42" s="1" t="s">
        <v>42</v>
      </c>
      <c r="B42" s="1" t="str">
        <f t="shared" si="1"/>
        <v>Tax</v>
      </c>
      <c r="C42" s="2">
        <v>12.848921730000001</v>
      </c>
      <c r="D42" s="2"/>
      <c r="E42" s="2"/>
      <c r="F42" s="5"/>
      <c r="G42" s="5"/>
    </row>
    <row r="43" spans="1:7" x14ac:dyDescent="0.3">
      <c r="A43" s="1" t="s">
        <v>43</v>
      </c>
      <c r="B43" s="1" t="str">
        <f t="shared" si="1"/>
        <v>Tax</v>
      </c>
      <c r="C43" s="2">
        <v>12.279762460000001</v>
      </c>
      <c r="D43" s="2"/>
      <c r="E43" s="2"/>
      <c r="F43" s="5"/>
      <c r="G43" s="5"/>
    </row>
    <row r="44" spans="1:7" x14ac:dyDescent="0.3">
      <c r="A44" s="1" t="s">
        <v>44</v>
      </c>
      <c r="B44" s="1" t="str">
        <f t="shared" si="1"/>
        <v>ETS</v>
      </c>
      <c r="C44" s="2">
        <v>12.1526058</v>
      </c>
      <c r="D44" s="2">
        <f>44*10^6</f>
        <v>44000000</v>
      </c>
      <c r="E44" s="2" t="s">
        <v>94</v>
      </c>
      <c r="F44" s="5">
        <v>0.3</v>
      </c>
      <c r="G44" s="5" t="s">
        <v>94</v>
      </c>
    </row>
    <row r="45" spans="1:7" x14ac:dyDescent="0.3">
      <c r="A45" s="1" t="s">
        <v>45</v>
      </c>
      <c r="B45" s="1" t="str">
        <f t="shared" si="1"/>
        <v>ETS</v>
      </c>
      <c r="C45" s="2">
        <v>11.76462495</v>
      </c>
      <c r="D45" s="2">
        <f>8000*10^6</f>
        <v>8000000000</v>
      </c>
      <c r="E45" s="2"/>
      <c r="F45" s="5">
        <v>0.6</v>
      </c>
      <c r="G45" s="5"/>
    </row>
    <row r="46" spans="1:7" x14ac:dyDescent="0.3">
      <c r="A46" s="1" t="s">
        <v>46</v>
      </c>
      <c r="B46" s="1" t="str">
        <f t="shared" si="1"/>
        <v>ETS</v>
      </c>
      <c r="C46" s="2">
        <v>10.797424469999999</v>
      </c>
      <c r="D46" s="2">
        <f>105*10^6</f>
        <v>105000000</v>
      </c>
      <c r="E46" s="2" t="s">
        <v>94</v>
      </c>
      <c r="F46" s="5">
        <v>0.36</v>
      </c>
      <c r="G46" s="5" t="s">
        <v>94</v>
      </c>
    </row>
    <row r="47" spans="1:7" x14ac:dyDescent="0.3">
      <c r="A47" s="1" t="s">
        <v>47</v>
      </c>
      <c r="B47" s="1" t="str">
        <f t="shared" si="1"/>
        <v>ETS</v>
      </c>
      <c r="C47" s="2">
        <v>9.3000000000000007</v>
      </c>
      <c r="D47" s="2">
        <f>7.6*10^6</f>
        <v>7600000</v>
      </c>
      <c r="E47" s="2">
        <f>5.9*10^6</f>
        <v>5900000</v>
      </c>
      <c r="F47" s="5">
        <v>0.09</v>
      </c>
      <c r="G47" s="5">
        <f>$D47/$E47*$F47</f>
        <v>0.1159322033898305</v>
      </c>
    </row>
    <row r="48" spans="1:7" x14ac:dyDescent="0.3">
      <c r="A48" s="1" t="s">
        <v>48</v>
      </c>
      <c r="B48" s="1" t="str">
        <f t="shared" si="1"/>
        <v>Tax</v>
      </c>
      <c r="C48" s="2">
        <v>6.5366191169999999</v>
      </c>
      <c r="D48" s="2"/>
      <c r="E48" s="2"/>
      <c r="F48" s="5"/>
      <c r="G48" s="5"/>
    </row>
    <row r="49" spans="1:7" x14ac:dyDescent="0.3">
      <c r="A49" s="1" t="s">
        <v>49</v>
      </c>
      <c r="B49" s="1" t="str">
        <f t="shared" si="1"/>
        <v>ETS</v>
      </c>
      <c r="C49" s="2">
        <v>6.5337625890000002</v>
      </c>
      <c r="D49" s="2">
        <f>35.5*10^6</f>
        <v>35500000</v>
      </c>
      <c r="E49" s="2" t="s">
        <v>94</v>
      </c>
      <c r="F49" s="5">
        <v>0.5</v>
      </c>
      <c r="G49" s="5" t="s">
        <v>94</v>
      </c>
    </row>
    <row r="50" spans="1:7" x14ac:dyDescent="0.3">
      <c r="A50" s="1" t="s">
        <v>50</v>
      </c>
      <c r="B50" s="1" t="str">
        <f t="shared" si="1"/>
        <v>ETS</v>
      </c>
      <c r="C50" s="2">
        <v>6.4531483749999996</v>
      </c>
      <c r="D50" s="2">
        <f>567.1*10^6</f>
        <v>567100000</v>
      </c>
      <c r="E50" s="2">
        <f>572*10^6</f>
        <v>572000000</v>
      </c>
      <c r="F50" s="5">
        <v>0.79</v>
      </c>
      <c r="G50" s="5">
        <f>$D50/$E50*$F50</f>
        <v>0.78323251748251743</v>
      </c>
    </row>
    <row r="51" spans="1:7" x14ac:dyDescent="0.3">
      <c r="A51" s="1" t="s">
        <v>51</v>
      </c>
      <c r="B51" s="1" t="str">
        <f t="shared" si="1"/>
        <v>ETS</v>
      </c>
      <c r="C51" s="2">
        <v>5.5101535410000002</v>
      </c>
      <c r="D51" s="2">
        <f>78.39*10^6</f>
        <v>78390000</v>
      </c>
      <c r="E51" s="2" t="s">
        <v>94</v>
      </c>
      <c r="F51" s="5">
        <v>0.4</v>
      </c>
      <c r="G51" s="5" t="s">
        <v>94</v>
      </c>
    </row>
    <row r="52" spans="1:7" x14ac:dyDescent="0.3">
      <c r="A52" s="1" t="s">
        <v>52</v>
      </c>
      <c r="B52" s="1" t="str">
        <f t="shared" si="1"/>
        <v>ETS</v>
      </c>
      <c r="C52" s="2">
        <v>5.4069671450000003</v>
      </c>
      <c r="D52" s="2">
        <f>297*10^6</f>
        <v>297000000</v>
      </c>
      <c r="E52" s="2" t="s">
        <v>94</v>
      </c>
      <c r="F52" s="5">
        <v>0.4</v>
      </c>
      <c r="G52" s="5" t="s">
        <v>94</v>
      </c>
    </row>
    <row r="53" spans="1:7" x14ac:dyDescent="0.3">
      <c r="A53" s="1" t="s">
        <v>53</v>
      </c>
      <c r="B53" s="1" t="str">
        <f t="shared" si="1"/>
        <v>Tax</v>
      </c>
      <c r="C53" s="2">
        <v>5.3279146940000004</v>
      </c>
      <c r="D53" s="2"/>
      <c r="E53" s="2"/>
      <c r="F53" s="5"/>
      <c r="G53" s="5"/>
    </row>
    <row r="54" spans="1:7" x14ac:dyDescent="0.3">
      <c r="A54" s="1" t="s">
        <v>54</v>
      </c>
      <c r="B54" s="1" t="str">
        <f t="shared" si="1"/>
        <v>ETS</v>
      </c>
      <c r="C54" s="2">
        <v>5.2969016560000002</v>
      </c>
      <c r="D54" s="2">
        <f>74*10^6</f>
        <v>74000000</v>
      </c>
      <c r="E54" s="2" t="s">
        <v>94</v>
      </c>
      <c r="F54" s="5">
        <v>0.5</v>
      </c>
      <c r="G54" s="5" t="s">
        <v>94</v>
      </c>
    </row>
    <row r="55" spans="1:7" x14ac:dyDescent="0.3">
      <c r="A55" s="1" t="s">
        <v>55</v>
      </c>
      <c r="B55" s="1" t="str">
        <f t="shared" si="1"/>
        <v>ETS</v>
      </c>
      <c r="C55" s="2">
        <v>5.2721369210000004</v>
      </c>
      <c r="D55" s="2">
        <f>179*10^6</f>
        <v>179000000</v>
      </c>
      <c r="E55" s="2" t="s">
        <v>94</v>
      </c>
      <c r="F55" s="5">
        <v>0.5</v>
      </c>
      <c r="G55" s="5" t="s">
        <v>94</v>
      </c>
    </row>
    <row r="56" spans="1:7" x14ac:dyDescent="0.3">
      <c r="A56" s="1" t="s">
        <v>56</v>
      </c>
      <c r="B56" s="1" t="str">
        <f t="shared" si="1"/>
        <v>Tax</v>
      </c>
      <c r="C56" s="2">
        <v>5</v>
      </c>
      <c r="D56" s="2"/>
      <c r="E56" s="2"/>
      <c r="F56" s="5"/>
      <c r="G56" s="5"/>
    </row>
    <row r="57" spans="1:7" x14ac:dyDescent="0.3">
      <c r="A57" s="1" t="s">
        <v>57</v>
      </c>
      <c r="B57" s="1" t="str">
        <f t="shared" si="1"/>
        <v>ETS</v>
      </c>
      <c r="C57" s="2">
        <v>4.7273127510000004</v>
      </c>
      <c r="D57" s="2">
        <f>116.2*10^6</f>
        <v>116200000</v>
      </c>
      <c r="E57" s="2" t="s">
        <v>94</v>
      </c>
      <c r="F57" s="5">
        <v>0.38</v>
      </c>
      <c r="G57" s="5" t="s">
        <v>94</v>
      </c>
    </row>
    <row r="58" spans="1:7" x14ac:dyDescent="0.3">
      <c r="A58" s="1" t="s">
        <v>58</v>
      </c>
      <c r="B58" s="1" t="str">
        <f t="shared" si="1"/>
        <v>ETS</v>
      </c>
      <c r="C58" s="2">
        <v>4.0053404539999997</v>
      </c>
      <c r="D58" s="2" t="s">
        <v>94</v>
      </c>
      <c r="E58" s="2">
        <f>11.2*10^6</f>
        <v>11200000</v>
      </c>
      <c r="F58" s="5">
        <v>0.19</v>
      </c>
      <c r="G58" s="5" t="s">
        <v>94</v>
      </c>
    </row>
    <row r="59" spans="1:7" x14ac:dyDescent="0.3">
      <c r="A59" s="1" t="s">
        <v>59</v>
      </c>
      <c r="B59" s="1" t="str">
        <f t="shared" si="1"/>
        <v>Tax</v>
      </c>
      <c r="C59" s="2">
        <v>3.9427861310000001</v>
      </c>
      <c r="D59" s="2">
        <f>273.1*10^6</f>
        <v>273100000</v>
      </c>
      <c r="E59" s="2" t="s">
        <v>94</v>
      </c>
      <c r="F59" s="5">
        <v>0.4</v>
      </c>
      <c r="G59" s="5" t="s">
        <v>94</v>
      </c>
    </row>
    <row r="60" spans="1:7" x14ac:dyDescent="0.3">
      <c r="A60" s="1" t="s">
        <v>60</v>
      </c>
      <c r="B60" s="1" t="str">
        <f t="shared" si="1"/>
        <v>Tax</v>
      </c>
      <c r="C60" s="2">
        <v>1.929238985</v>
      </c>
      <c r="D60" s="2"/>
      <c r="E60" s="2"/>
      <c r="F60" s="5"/>
      <c r="G60" s="5"/>
    </row>
    <row r="61" spans="1:7" x14ac:dyDescent="0.3">
      <c r="A61" s="1" t="s">
        <v>61</v>
      </c>
      <c r="B61" s="1" t="str">
        <f t="shared" si="1"/>
        <v>Tax</v>
      </c>
      <c r="C61" s="2">
        <v>1.5114709850000001</v>
      </c>
      <c r="D61" s="2"/>
      <c r="E61" s="2"/>
      <c r="F61" s="5"/>
      <c r="G61" s="5"/>
    </row>
    <row r="62" spans="1:7" x14ac:dyDescent="0.3">
      <c r="A62" s="1" t="s">
        <v>62</v>
      </c>
      <c r="B62" s="1" t="str">
        <f t="shared" si="1"/>
        <v>ETS</v>
      </c>
      <c r="C62" s="2">
        <v>0.96128170899999998</v>
      </c>
      <c r="D62" s="2">
        <f>6.3*10^6</f>
        <v>6300000</v>
      </c>
      <c r="E62" s="2">
        <f>6.3*10^6</f>
        <v>6300000</v>
      </c>
      <c r="F62" s="5">
        <v>0.16</v>
      </c>
      <c r="G62" s="5">
        <f>$D62/$E62*$F62</f>
        <v>0.16</v>
      </c>
    </row>
    <row r="63" spans="1:7" x14ac:dyDescent="0.3">
      <c r="A63" s="1" t="s">
        <v>63</v>
      </c>
      <c r="B63" s="1" t="str">
        <f t="shared" si="1"/>
        <v>ETS</v>
      </c>
      <c r="C63" s="2">
        <v>0.93172627100000005</v>
      </c>
      <c r="D63" s="2">
        <f>167.4*10^6</f>
        <v>167400000</v>
      </c>
      <c r="E63" s="2">
        <f>152.8*10^6</f>
        <v>152800000</v>
      </c>
      <c r="F63" s="5">
        <v>0.44</v>
      </c>
      <c r="G63" s="5">
        <f>$D63/$E63*$F63</f>
        <v>0.48204188481675392</v>
      </c>
    </row>
    <row r="64" spans="1:7" x14ac:dyDescent="0.3">
      <c r="A64" s="1" t="s">
        <v>64</v>
      </c>
      <c r="B64" s="1" t="str">
        <f t="shared" si="1"/>
        <v>Tax</v>
      </c>
      <c r="C64" s="2">
        <v>0.73041039299999999</v>
      </c>
      <c r="D64" s="2"/>
      <c r="E64" s="2"/>
      <c r="F64" s="5"/>
      <c r="G64" s="5"/>
    </row>
    <row r="65" spans="1:7" x14ac:dyDescent="0.3">
      <c r="A65" s="1" t="s">
        <v>65</v>
      </c>
      <c r="B65" s="1" t="str">
        <f t="shared" si="1"/>
        <v>ETS</v>
      </c>
      <c r="C65" s="2">
        <v>0.72437522600000004</v>
      </c>
      <c r="D65" s="2">
        <f>256.8*10^6</f>
        <v>256800000</v>
      </c>
      <c r="E65" s="2" t="s">
        <v>94</v>
      </c>
      <c r="F65" s="5" t="s">
        <v>94</v>
      </c>
      <c r="G65" s="5" t="s">
        <v>94</v>
      </c>
    </row>
    <row r="66" spans="1:7" x14ac:dyDescent="0.3">
      <c r="A66" s="1" t="s">
        <v>66</v>
      </c>
      <c r="B66" s="1" t="str">
        <f t="shared" si="1"/>
        <v>Tax</v>
      </c>
      <c r="C66" s="2">
        <v>9.8302979999999998E-2</v>
      </c>
      <c r="D66" s="2"/>
      <c r="E66" s="2"/>
      <c r="F66" s="5"/>
      <c r="G66" s="5"/>
    </row>
    <row r="75" spans="1:7" x14ac:dyDescent="0.3">
      <c r="A75" t="s">
        <v>95</v>
      </c>
    </row>
    <row r="76" spans="1:7" x14ac:dyDescent="0.3">
      <c r="A76" t="s">
        <v>96</v>
      </c>
      <c r="B76" t="s">
        <v>85</v>
      </c>
      <c r="D76">
        <f>24.1*10^6</f>
        <v>24100000</v>
      </c>
      <c r="E76">
        <f>29.5*10^6</f>
        <v>29500000</v>
      </c>
      <c r="F76" s="6">
        <v>0.48</v>
      </c>
      <c r="G76" s="5">
        <f>$D76/$E76*$F76</f>
        <v>0.39213559322033897</v>
      </c>
    </row>
    <row r="77" spans="1:7" x14ac:dyDescent="0.3">
      <c r="A77" t="s">
        <v>97</v>
      </c>
      <c r="B77" t="s">
        <v>85</v>
      </c>
      <c r="C77">
        <v>18.059999999999999</v>
      </c>
      <c r="D77">
        <f>63*10^6</f>
        <v>63000000</v>
      </c>
      <c r="E77">
        <f>98.1*10^6</f>
        <v>98100000</v>
      </c>
      <c r="F77" s="6">
        <v>0.14000000000000001</v>
      </c>
      <c r="G77" s="5">
        <f>$D77/$E77*$F77</f>
        <v>8.9908256880733964E-2</v>
      </c>
    </row>
    <row r="78" spans="1:7" ht="72" x14ac:dyDescent="0.3">
      <c r="A78" s="7" t="s">
        <v>98</v>
      </c>
      <c r="B78" t="s">
        <v>85</v>
      </c>
      <c r="C78">
        <v>58.42</v>
      </c>
      <c r="D78" t="s">
        <v>94</v>
      </c>
      <c r="E78">
        <f>28.9*10^6</f>
        <v>28900000</v>
      </c>
      <c r="F78" s="6">
        <v>0.38</v>
      </c>
      <c r="G78" s="6" t="s">
        <v>94</v>
      </c>
    </row>
  </sheetData>
  <autoFilter ref="A1:S66" xr:uid="{82633225-EB1F-47A1-A953-0126B9A64308}">
    <filterColumn colId="8" showButton="0"/>
    <filterColumn colId="9" showButton="0"/>
    <filterColumn colId="12" showButton="0"/>
    <filterColumn colId="13" showButton="0"/>
    <filterColumn colId="16" showButton="0"/>
    <filterColumn colId="17" showButton="0"/>
    <sortState xmlns:xlrd2="http://schemas.microsoft.com/office/spreadsheetml/2017/richdata2" ref="A2:S66">
      <sortCondition descending="1" ref="C1:C66"/>
    </sortState>
  </autoFilter>
  <mergeCells count="3">
    <mergeCell ref="I1:K1"/>
    <mergeCell ref="M1:O1"/>
    <mergeCell ref="Q1:S1"/>
  </mergeCells>
  <phoneticPr fontId="20" type="noConversion"/>
  <conditionalFormatting sqref="B1:B1048576">
    <cfRule type="containsText" dxfId="5" priority="1" operator="containsText" text="ets">
      <formula>NOT(ISERROR(SEARCH("ets",B1)))</formula>
    </cfRule>
    <cfRule type="containsText" dxfId="4" priority="2" operator="containsText" text="tax">
      <formula>NOT(ISERROR(SEARCH("tax",B1)))</formula>
    </cfRule>
  </conditionalFormatting>
  <hyperlinks>
    <hyperlink ref="X3" r:id="rId1" xr:uid="{EE4D3FB8-6023-4D00-96F5-3DA98D41E388}"/>
    <hyperlink ref="X2" r:id="rId2" xr:uid="{888D87EE-2F4B-4699-B574-768B6F9C4F04}"/>
  </hyperlinks>
  <pageMargins left="0.75" right="0.75" top="1" bottom="1" header="0.5" footer="0.5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CBCD-5760-40D0-B026-653FEACB0F7A}">
  <dimension ref="A1:R66"/>
  <sheetViews>
    <sheetView tabSelected="1" topLeftCell="C1" zoomScale="115" zoomScaleNormal="115" workbookViewId="0">
      <selection activeCell="I5" sqref="I5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12" bestFit="1" customWidth="1"/>
    <col min="4" max="6" width="12" customWidth="1"/>
  </cols>
  <sheetData>
    <row r="1" spans="1:18" ht="41.4" x14ac:dyDescent="0.3">
      <c r="A1" s="1" t="s">
        <v>1</v>
      </c>
      <c r="B1" s="1" t="s">
        <v>67</v>
      </c>
      <c r="C1" s="1" t="s">
        <v>0</v>
      </c>
      <c r="D1" s="1" t="s">
        <v>86</v>
      </c>
      <c r="E1" s="1" t="s">
        <v>91</v>
      </c>
      <c r="F1" s="4" t="s">
        <v>93</v>
      </c>
      <c r="G1" s="4" t="s">
        <v>92</v>
      </c>
      <c r="H1" s="9" t="s">
        <v>100</v>
      </c>
      <c r="I1" s="9"/>
      <c r="J1" s="9"/>
      <c r="L1" s="9"/>
      <c r="M1" s="9"/>
      <c r="N1" s="9"/>
      <c r="P1" s="9"/>
      <c r="Q1" s="9"/>
      <c r="R1" s="9"/>
    </row>
    <row r="2" spans="1:18" x14ac:dyDescent="0.3">
      <c r="A2" s="1" t="s">
        <v>2</v>
      </c>
      <c r="B2" s="1" t="s">
        <v>84</v>
      </c>
      <c r="C2" s="2">
        <v>158.76474210000001</v>
      </c>
      <c r="D2" s="2" t="s">
        <v>90</v>
      </c>
      <c r="E2" s="2"/>
      <c r="F2" s="5"/>
      <c r="G2" s="5"/>
      <c r="H2" t="s">
        <v>80</v>
      </c>
      <c r="I2" t="s">
        <v>68</v>
      </c>
      <c r="J2" t="s">
        <v>69</v>
      </c>
    </row>
    <row r="3" spans="1:18" x14ac:dyDescent="0.3">
      <c r="A3" s="1" t="s">
        <v>3</v>
      </c>
      <c r="B3" s="1" t="s">
        <v>84</v>
      </c>
      <c r="C3" s="2">
        <v>144.6246989</v>
      </c>
      <c r="D3" s="2"/>
      <c r="E3" s="2"/>
      <c r="F3" s="5"/>
      <c r="G3" s="5"/>
      <c r="H3" t="s">
        <v>75</v>
      </c>
      <c r="I3">
        <f>QUARTILE($C$2:$C$31,0)</f>
        <v>9.8302979999999998E-2</v>
      </c>
      <c r="J3" t="s">
        <v>70</v>
      </c>
    </row>
    <row r="4" spans="1:18" x14ac:dyDescent="0.3">
      <c r="A4" s="1" t="s">
        <v>4</v>
      </c>
      <c r="B4" s="1" t="s">
        <v>84</v>
      </c>
      <c r="C4" s="2">
        <v>136.0389978</v>
      </c>
      <c r="D4" s="2"/>
      <c r="E4" s="2"/>
      <c r="F4" s="5"/>
      <c r="G4" s="5"/>
      <c r="H4" t="s">
        <v>76</v>
      </c>
      <c r="I4">
        <f>QUARTILE($C$2:$C$31,1)</f>
        <v>7.9724049527499998</v>
      </c>
      <c r="J4" t="s">
        <v>71</v>
      </c>
    </row>
    <row r="5" spans="1:18" x14ac:dyDescent="0.3">
      <c r="A5" s="1" t="s">
        <v>5</v>
      </c>
      <c r="B5" s="1" t="s">
        <v>84</v>
      </c>
      <c r="C5" s="2">
        <v>136.0389978</v>
      </c>
      <c r="D5" s="2">
        <v>4300000</v>
      </c>
      <c r="E5" s="2">
        <v>5400000</v>
      </c>
      <c r="F5" s="5">
        <v>0.13</v>
      </c>
      <c r="G5" s="5">
        <v>0.10351851851851852</v>
      </c>
      <c r="H5" t="s">
        <v>77</v>
      </c>
      <c r="I5">
        <f>QUARTILE($C$2:$C$31,2)</f>
        <v>22.79460006</v>
      </c>
      <c r="J5" t="s">
        <v>72</v>
      </c>
    </row>
    <row r="6" spans="1:18" x14ac:dyDescent="0.3">
      <c r="A6" s="1" t="s">
        <v>6</v>
      </c>
      <c r="B6" s="1" t="s">
        <v>84</v>
      </c>
      <c r="C6" s="2">
        <v>133.92048650000001</v>
      </c>
      <c r="D6" s="2"/>
      <c r="E6" s="2"/>
      <c r="F6" s="5"/>
      <c r="G6" s="5"/>
      <c r="H6" t="s">
        <v>78</v>
      </c>
      <c r="I6">
        <f>QUARTILE($C$2:$C$31,3)</f>
        <v>71.651199000000005</v>
      </c>
      <c r="J6" t="s">
        <v>73</v>
      </c>
    </row>
    <row r="7" spans="1:18" x14ac:dyDescent="0.3">
      <c r="A7" s="1" t="s">
        <v>7</v>
      </c>
      <c r="B7" s="1" t="s">
        <v>84</v>
      </c>
      <c r="C7" s="2">
        <v>108.4347801</v>
      </c>
      <c r="D7" s="2"/>
      <c r="E7" s="2"/>
      <c r="F7" s="5"/>
      <c r="G7" s="5"/>
      <c r="H7" t="s">
        <v>79</v>
      </c>
      <c r="I7">
        <f>QUARTILE($C$2:$C$31,4)</f>
        <v>158.76474210000001</v>
      </c>
      <c r="J7" t="s">
        <v>74</v>
      </c>
    </row>
    <row r="8" spans="1:18" x14ac:dyDescent="0.3">
      <c r="A8" s="1" t="s">
        <v>8</v>
      </c>
      <c r="B8" s="1" t="s">
        <v>84</v>
      </c>
      <c r="C8" s="2">
        <v>94.826520000000002</v>
      </c>
      <c r="D8" s="2"/>
      <c r="E8" s="2"/>
      <c r="F8" s="5"/>
      <c r="G8" s="5"/>
      <c r="H8" t="s">
        <v>82</v>
      </c>
      <c r="I8">
        <f>AVERAGE($C$2:$C$31)</f>
        <v>49.30878238750001</v>
      </c>
      <c r="J8" t="s">
        <v>81</v>
      </c>
    </row>
    <row r="9" spans="1:18" x14ac:dyDescent="0.3">
      <c r="A9" s="1" t="s">
        <v>9</v>
      </c>
      <c r="B9" s="1" t="s">
        <v>84</v>
      </c>
      <c r="C9" s="2">
        <v>72.700332000000003</v>
      </c>
      <c r="D9" s="2"/>
      <c r="E9" s="2"/>
      <c r="F9" s="5"/>
      <c r="G9" s="5"/>
    </row>
    <row r="10" spans="1:18" x14ac:dyDescent="0.3">
      <c r="A10" s="1" t="s">
        <v>11</v>
      </c>
      <c r="B10" s="1" t="s">
        <v>84</v>
      </c>
      <c r="C10" s="2">
        <v>68.503799999999998</v>
      </c>
      <c r="D10" s="2"/>
      <c r="E10" s="2"/>
      <c r="F10" s="5"/>
      <c r="G10" s="5"/>
    </row>
    <row r="11" spans="1:18" x14ac:dyDescent="0.3">
      <c r="A11" s="1" t="s">
        <v>12</v>
      </c>
      <c r="B11" s="1" t="s">
        <v>84</v>
      </c>
      <c r="C11" s="2">
        <v>66.885599999999997</v>
      </c>
      <c r="D11" s="2"/>
      <c r="E11" s="2"/>
      <c r="F11" s="5"/>
      <c r="G11" s="5"/>
    </row>
    <row r="12" spans="1:18" x14ac:dyDescent="0.3">
      <c r="A12" s="1" t="s">
        <v>21</v>
      </c>
      <c r="B12" s="1" t="s">
        <v>84</v>
      </c>
      <c r="C12" s="2">
        <v>60.060060059999998</v>
      </c>
      <c r="D12" s="2"/>
      <c r="E12" s="2"/>
      <c r="F12" s="5"/>
      <c r="G12" s="5"/>
    </row>
    <row r="13" spans="1:18" x14ac:dyDescent="0.3">
      <c r="A13" s="1" t="s">
        <v>22</v>
      </c>
      <c r="B13" s="1" t="s">
        <v>84</v>
      </c>
      <c r="C13" s="2">
        <v>58.546475999999998</v>
      </c>
      <c r="D13" s="2"/>
      <c r="E13" s="2"/>
      <c r="F13" s="5"/>
      <c r="G13" s="5"/>
    </row>
    <row r="14" spans="1:18" x14ac:dyDescent="0.3">
      <c r="A14" s="1" t="s">
        <v>27</v>
      </c>
      <c r="B14" s="1" t="s">
        <v>84</v>
      </c>
      <c r="C14" s="2">
        <v>48.11448</v>
      </c>
      <c r="D14" s="2"/>
      <c r="E14" s="2"/>
      <c r="F14" s="5"/>
      <c r="G14" s="5"/>
    </row>
    <row r="15" spans="1:18" x14ac:dyDescent="0.3">
      <c r="A15" s="1" t="s">
        <v>29</v>
      </c>
      <c r="B15" s="1" t="s">
        <v>84</v>
      </c>
      <c r="C15" s="2">
        <v>33.28098</v>
      </c>
      <c r="D15" s="2"/>
      <c r="E15" s="2"/>
      <c r="F15" s="5"/>
      <c r="G15" s="5"/>
    </row>
    <row r="16" spans="1:18" x14ac:dyDescent="0.3">
      <c r="A16" s="1" t="s">
        <v>32</v>
      </c>
      <c r="B16" s="1" t="s">
        <v>84</v>
      </c>
      <c r="C16" s="2">
        <v>26.97</v>
      </c>
      <c r="D16" s="2"/>
      <c r="E16" s="2"/>
      <c r="F16" s="5"/>
      <c r="G16" s="5"/>
    </row>
    <row r="17" spans="1:7" x14ac:dyDescent="0.3">
      <c r="A17" s="1" t="s">
        <v>37</v>
      </c>
      <c r="B17" s="1" t="s">
        <v>84</v>
      </c>
      <c r="C17" s="2">
        <v>18.619200119999999</v>
      </c>
      <c r="D17" s="2"/>
      <c r="E17" s="2"/>
      <c r="F17" s="5"/>
      <c r="G17" s="5"/>
    </row>
    <row r="18" spans="1:7" x14ac:dyDescent="0.3">
      <c r="A18" s="1" t="s">
        <v>38</v>
      </c>
      <c r="B18" s="1" t="s">
        <v>84</v>
      </c>
      <c r="C18" s="2">
        <v>16.671987900000001</v>
      </c>
      <c r="D18" s="2"/>
      <c r="E18" s="2"/>
      <c r="F18" s="5"/>
      <c r="G18" s="5"/>
    </row>
    <row r="19" spans="1:7" x14ac:dyDescent="0.3">
      <c r="A19" s="1" t="s">
        <v>39</v>
      </c>
      <c r="B19" s="1" t="s">
        <v>84</v>
      </c>
      <c r="C19" s="2">
        <v>16.181999999999999</v>
      </c>
      <c r="D19" s="2"/>
      <c r="E19" s="2"/>
      <c r="F19" s="5"/>
      <c r="G19" s="5"/>
    </row>
    <row r="20" spans="1:7" x14ac:dyDescent="0.3">
      <c r="A20" s="1" t="s">
        <v>40</v>
      </c>
      <c r="B20" s="1" t="s">
        <v>84</v>
      </c>
      <c r="C20" s="2">
        <v>16.181999999999999</v>
      </c>
      <c r="D20" s="2"/>
      <c r="E20" s="2"/>
      <c r="F20" s="5"/>
      <c r="G20" s="5"/>
    </row>
    <row r="21" spans="1:7" x14ac:dyDescent="0.3">
      <c r="A21" s="1" t="s">
        <v>41</v>
      </c>
      <c r="B21" s="1" t="s">
        <v>84</v>
      </c>
      <c r="C21" s="2">
        <v>13.69190487</v>
      </c>
      <c r="D21" s="2"/>
      <c r="E21" s="2"/>
      <c r="F21" s="5"/>
      <c r="G21" s="5"/>
    </row>
    <row r="22" spans="1:7" x14ac:dyDescent="0.3">
      <c r="A22" s="1" t="s">
        <v>42</v>
      </c>
      <c r="B22" s="1" t="s">
        <v>84</v>
      </c>
      <c r="C22" s="2">
        <v>12.848921730000001</v>
      </c>
      <c r="D22" s="2"/>
      <c r="E22" s="2"/>
      <c r="F22" s="5"/>
      <c r="G22" s="5"/>
    </row>
    <row r="23" spans="1:7" x14ac:dyDescent="0.3">
      <c r="A23" s="1" t="s">
        <v>43</v>
      </c>
      <c r="B23" s="1" t="s">
        <v>84</v>
      </c>
      <c r="C23" s="2">
        <v>12.279762460000001</v>
      </c>
      <c r="D23" s="2"/>
      <c r="E23" s="2"/>
      <c r="F23" s="5"/>
      <c r="G23" s="5"/>
    </row>
    <row r="24" spans="1:7" x14ac:dyDescent="0.3">
      <c r="A24" s="1" t="s">
        <v>48</v>
      </c>
      <c r="B24" s="1" t="s">
        <v>84</v>
      </c>
      <c r="C24" s="2">
        <v>6.5366191169999999</v>
      </c>
      <c r="D24" s="2"/>
      <c r="E24" s="2"/>
      <c r="F24" s="5"/>
      <c r="G24" s="5"/>
    </row>
    <row r="25" spans="1:7" x14ac:dyDescent="0.3">
      <c r="A25" s="1" t="s">
        <v>53</v>
      </c>
      <c r="B25" s="1" t="s">
        <v>84</v>
      </c>
      <c r="C25" s="2">
        <v>5.3279146940000004</v>
      </c>
      <c r="D25" s="2"/>
      <c r="E25" s="2"/>
      <c r="F25" s="5"/>
      <c r="G25" s="5"/>
    </row>
    <row r="26" spans="1:7" x14ac:dyDescent="0.3">
      <c r="A26" s="1" t="s">
        <v>56</v>
      </c>
      <c r="B26" s="1" t="s">
        <v>84</v>
      </c>
      <c r="C26" s="2">
        <v>5</v>
      </c>
      <c r="D26" s="2"/>
      <c r="E26" s="2"/>
      <c r="F26" s="5"/>
      <c r="G26" s="5"/>
    </row>
    <row r="27" spans="1:7" x14ac:dyDescent="0.3">
      <c r="A27" s="1" t="s">
        <v>59</v>
      </c>
      <c r="B27" s="1" t="s">
        <v>84</v>
      </c>
      <c r="C27" s="2">
        <v>3.9427861310000001</v>
      </c>
      <c r="D27" s="2">
        <v>273100000</v>
      </c>
      <c r="E27" s="2" t="s">
        <v>94</v>
      </c>
      <c r="F27" s="5">
        <v>0.4</v>
      </c>
      <c r="G27" s="5" t="s">
        <v>94</v>
      </c>
    </row>
    <row r="28" spans="1:7" x14ac:dyDescent="0.3">
      <c r="A28" s="1" t="s">
        <v>60</v>
      </c>
      <c r="B28" s="1" t="s">
        <v>84</v>
      </c>
      <c r="C28" s="2">
        <v>1.929238985</v>
      </c>
      <c r="D28" s="2"/>
      <c r="E28" s="2"/>
      <c r="F28" s="5"/>
      <c r="G28" s="5"/>
    </row>
    <row r="29" spans="1:7" x14ac:dyDescent="0.3">
      <c r="A29" s="1" t="s">
        <v>61</v>
      </c>
      <c r="B29" s="1" t="s">
        <v>84</v>
      </c>
      <c r="C29" s="2">
        <v>1.5114709850000001</v>
      </c>
      <c r="D29" s="2"/>
      <c r="E29" s="2"/>
      <c r="F29" s="5"/>
      <c r="G29" s="5"/>
    </row>
    <row r="30" spans="1:7" x14ac:dyDescent="0.3">
      <c r="A30" s="1" t="s">
        <v>64</v>
      </c>
      <c r="B30" s="1" t="s">
        <v>84</v>
      </c>
      <c r="C30" s="2">
        <v>0.73041039299999999</v>
      </c>
      <c r="D30" s="2"/>
      <c r="E30" s="2"/>
      <c r="F30" s="5"/>
      <c r="G30" s="5"/>
    </row>
    <row r="31" spans="1:7" x14ac:dyDescent="0.3">
      <c r="A31" s="1" t="s">
        <v>66</v>
      </c>
      <c r="B31" s="1" t="s">
        <v>84</v>
      </c>
      <c r="C31" s="2">
        <v>9.8302979999999998E-2</v>
      </c>
      <c r="D31" s="2"/>
      <c r="E31" s="2"/>
      <c r="F31" s="5"/>
      <c r="G31" s="5"/>
    </row>
    <row r="32" spans="1:7" x14ac:dyDescent="0.3">
      <c r="A32" s="1"/>
      <c r="B32" s="1"/>
      <c r="C32" s="2"/>
      <c r="D32" s="2"/>
      <c r="E32" s="2"/>
      <c r="F32" s="2"/>
    </row>
    <row r="33" spans="1:6" x14ac:dyDescent="0.3">
      <c r="A33" s="1"/>
      <c r="B33" s="1"/>
      <c r="C33" s="2"/>
      <c r="D33" s="2"/>
      <c r="E33" s="2"/>
      <c r="F33" s="2"/>
    </row>
    <row r="34" spans="1:6" x14ac:dyDescent="0.3">
      <c r="A34" s="1"/>
      <c r="B34" s="1"/>
      <c r="C34" s="2"/>
      <c r="D34" s="2"/>
      <c r="E34" s="2"/>
      <c r="F34" s="2"/>
    </row>
    <row r="35" spans="1:6" x14ac:dyDescent="0.3">
      <c r="A35" s="1"/>
      <c r="B35" s="1"/>
      <c r="C35" s="2"/>
      <c r="D35" s="2"/>
      <c r="E35" s="2"/>
      <c r="F35" s="2"/>
    </row>
    <row r="36" spans="1:6" x14ac:dyDescent="0.3">
      <c r="A36" s="1"/>
      <c r="B36" s="1"/>
      <c r="C36" s="2"/>
      <c r="D36" s="2"/>
      <c r="E36" s="2"/>
      <c r="F36" s="2"/>
    </row>
    <row r="37" spans="1:6" x14ac:dyDescent="0.3">
      <c r="A37" s="1"/>
      <c r="B37" s="1"/>
      <c r="C37" s="2"/>
      <c r="D37" s="2"/>
      <c r="E37" s="2"/>
      <c r="F37" s="2"/>
    </row>
    <row r="38" spans="1:6" x14ac:dyDescent="0.3">
      <c r="A38" s="1"/>
      <c r="B38" s="1"/>
      <c r="C38" s="2"/>
      <c r="D38" s="2"/>
      <c r="E38" s="2"/>
      <c r="F38" s="2"/>
    </row>
    <row r="39" spans="1:6" x14ac:dyDescent="0.3">
      <c r="A39" s="1"/>
      <c r="B39" s="1"/>
      <c r="C39" s="2"/>
      <c r="D39" s="2"/>
      <c r="E39" s="2"/>
      <c r="F39" s="2"/>
    </row>
    <row r="40" spans="1:6" x14ac:dyDescent="0.3">
      <c r="A40" s="1"/>
      <c r="B40" s="1"/>
      <c r="C40" s="2"/>
      <c r="D40" s="2"/>
      <c r="E40" s="2"/>
      <c r="F40" s="2"/>
    </row>
    <row r="41" spans="1:6" x14ac:dyDescent="0.3">
      <c r="A41" s="1"/>
      <c r="B41" s="1"/>
      <c r="C41" s="2"/>
      <c r="D41" s="2"/>
      <c r="E41" s="2"/>
      <c r="F41" s="2"/>
    </row>
    <row r="42" spans="1:6" x14ac:dyDescent="0.3">
      <c r="A42" s="1"/>
      <c r="B42" s="1"/>
      <c r="C42" s="2"/>
      <c r="D42" s="2"/>
      <c r="E42" s="2"/>
      <c r="F42" s="2"/>
    </row>
    <row r="43" spans="1:6" x14ac:dyDescent="0.3">
      <c r="A43" s="1"/>
      <c r="B43" s="1"/>
      <c r="C43" s="2"/>
      <c r="D43" s="2"/>
      <c r="E43" s="2"/>
      <c r="F43" s="2"/>
    </row>
    <row r="44" spans="1:6" x14ac:dyDescent="0.3">
      <c r="A44" s="1"/>
      <c r="B44" s="1"/>
      <c r="C44" s="2"/>
      <c r="D44" s="2"/>
      <c r="E44" s="2"/>
      <c r="F44" s="2"/>
    </row>
    <row r="45" spans="1:6" x14ac:dyDescent="0.3">
      <c r="A45" s="1"/>
      <c r="B45" s="1"/>
      <c r="C45" s="2"/>
      <c r="D45" s="2"/>
      <c r="E45" s="2"/>
      <c r="F45" s="2"/>
    </row>
    <row r="46" spans="1:6" x14ac:dyDescent="0.3">
      <c r="A46" s="1"/>
      <c r="B46" s="1"/>
      <c r="C46" s="2"/>
      <c r="D46" s="2"/>
      <c r="E46" s="2"/>
      <c r="F46" s="2"/>
    </row>
    <row r="47" spans="1:6" x14ac:dyDescent="0.3">
      <c r="A47" s="1"/>
      <c r="B47" s="1"/>
      <c r="C47" s="2"/>
      <c r="D47" s="2"/>
      <c r="E47" s="2"/>
      <c r="F47" s="2"/>
    </row>
    <row r="48" spans="1:6" x14ac:dyDescent="0.3">
      <c r="A48" s="1"/>
      <c r="B48" s="1"/>
      <c r="C48" s="2"/>
      <c r="D48" s="2"/>
      <c r="E48" s="2"/>
      <c r="F48" s="2"/>
    </row>
    <row r="49" spans="1:6" x14ac:dyDescent="0.3">
      <c r="A49" s="1"/>
      <c r="B49" s="1"/>
      <c r="C49" s="2"/>
      <c r="D49" s="2"/>
      <c r="E49" s="2"/>
      <c r="F49" s="2"/>
    </row>
    <row r="50" spans="1:6" x14ac:dyDescent="0.3">
      <c r="A50" s="1"/>
      <c r="B50" s="1"/>
      <c r="C50" s="2"/>
      <c r="D50" s="2"/>
      <c r="E50" s="2"/>
      <c r="F50" s="2"/>
    </row>
    <row r="51" spans="1:6" x14ac:dyDescent="0.3">
      <c r="A51" s="1"/>
      <c r="B51" s="1"/>
      <c r="C51" s="2"/>
      <c r="D51" s="2"/>
      <c r="E51" s="2"/>
      <c r="F51" s="2"/>
    </row>
    <row r="52" spans="1:6" x14ac:dyDescent="0.3">
      <c r="A52" s="1"/>
      <c r="B52" s="1"/>
      <c r="C52" s="2"/>
      <c r="D52" s="2"/>
      <c r="E52" s="2"/>
      <c r="F52" s="2"/>
    </row>
    <row r="53" spans="1:6" x14ac:dyDescent="0.3">
      <c r="A53" s="1"/>
      <c r="B53" s="1"/>
      <c r="C53" s="2"/>
      <c r="D53" s="2"/>
      <c r="E53" s="2"/>
      <c r="F53" s="2"/>
    </row>
    <row r="54" spans="1:6" x14ac:dyDescent="0.3">
      <c r="A54" s="1"/>
      <c r="B54" s="1"/>
      <c r="C54" s="2"/>
      <c r="D54" s="2"/>
      <c r="E54" s="2"/>
      <c r="F54" s="2"/>
    </row>
    <row r="55" spans="1:6" x14ac:dyDescent="0.3">
      <c r="A55" s="1"/>
      <c r="B55" s="1"/>
      <c r="C55" s="2"/>
      <c r="D55" s="2"/>
      <c r="E55" s="2"/>
      <c r="F55" s="2"/>
    </row>
    <row r="56" spans="1:6" x14ac:dyDescent="0.3">
      <c r="A56" s="1"/>
      <c r="B56" s="1"/>
      <c r="C56" s="2"/>
      <c r="D56" s="2"/>
      <c r="E56" s="2"/>
      <c r="F56" s="2"/>
    </row>
    <row r="57" spans="1:6" x14ac:dyDescent="0.3">
      <c r="A57" s="1"/>
      <c r="B57" s="1"/>
      <c r="C57" s="2"/>
      <c r="D57" s="2"/>
      <c r="E57" s="2"/>
      <c r="F57" s="2"/>
    </row>
    <row r="58" spans="1:6" x14ac:dyDescent="0.3">
      <c r="A58" s="1"/>
      <c r="B58" s="1"/>
      <c r="C58" s="2"/>
      <c r="D58" s="2"/>
      <c r="E58" s="2"/>
      <c r="F58" s="2"/>
    </row>
    <row r="59" spans="1:6" x14ac:dyDescent="0.3">
      <c r="A59" s="1"/>
      <c r="B59" s="1"/>
      <c r="C59" s="2"/>
      <c r="D59" s="2"/>
      <c r="E59" s="2"/>
      <c r="F59" s="2"/>
    </row>
    <row r="60" spans="1:6" x14ac:dyDescent="0.3">
      <c r="A60" s="1"/>
      <c r="B60" s="1"/>
      <c r="C60" s="2"/>
      <c r="D60" s="2"/>
      <c r="E60" s="2"/>
      <c r="F60" s="2"/>
    </row>
    <row r="61" spans="1:6" x14ac:dyDescent="0.3">
      <c r="A61" s="1"/>
      <c r="B61" s="1"/>
      <c r="C61" s="2"/>
      <c r="D61" s="2"/>
      <c r="E61" s="2"/>
      <c r="F61" s="2"/>
    </row>
    <row r="62" spans="1:6" x14ac:dyDescent="0.3">
      <c r="A62" s="1"/>
      <c r="B62" s="1"/>
      <c r="C62" s="2"/>
      <c r="D62" s="2"/>
      <c r="E62" s="2"/>
      <c r="F62" s="2"/>
    </row>
    <row r="63" spans="1:6" x14ac:dyDescent="0.3">
      <c r="A63" s="1"/>
      <c r="B63" s="1"/>
      <c r="C63" s="2"/>
      <c r="D63" s="2"/>
      <c r="E63" s="2"/>
      <c r="F63" s="2"/>
    </row>
    <row r="64" spans="1:6" x14ac:dyDescent="0.3">
      <c r="A64" s="1"/>
      <c r="B64" s="1"/>
      <c r="C64" s="2"/>
      <c r="D64" s="2"/>
      <c r="E64" s="2"/>
      <c r="F64" s="2"/>
    </row>
    <row r="65" spans="1:6" x14ac:dyDescent="0.3">
      <c r="A65" s="1"/>
      <c r="B65" s="1"/>
      <c r="C65" s="2"/>
      <c r="D65" s="2"/>
      <c r="E65" s="2"/>
      <c r="F65" s="2"/>
    </row>
    <row r="66" spans="1:6" x14ac:dyDescent="0.3">
      <c r="A66" s="1"/>
      <c r="B66" s="1"/>
      <c r="C66" s="2"/>
      <c r="D66" s="2"/>
      <c r="E66" s="2"/>
      <c r="F66" s="2"/>
    </row>
  </sheetData>
  <autoFilter ref="A1:R66" xr:uid="{6FC3CBCD-5760-40D0-B026-653FEACB0F7A}">
    <filterColumn colId="7" showButton="0"/>
    <filterColumn colId="8" showButton="0"/>
    <filterColumn colId="11" showButton="0"/>
    <filterColumn colId="12" showButton="0"/>
    <filterColumn colId="15" showButton="0"/>
    <filterColumn colId="16" showButton="0"/>
  </autoFilter>
  <mergeCells count="3">
    <mergeCell ref="H1:J1"/>
    <mergeCell ref="L1:N1"/>
    <mergeCell ref="P1:R1"/>
  </mergeCells>
  <conditionalFormatting sqref="B1:B1048576">
    <cfRule type="containsText" dxfId="3" priority="1" operator="containsText" text="ets">
      <formula>NOT(ISERROR(SEARCH("ets",B1)))</formula>
    </cfRule>
    <cfRule type="containsText" dxfId="2" priority="2" operator="containsText" text="tax">
      <formula>NOT(ISERROR(SEARCH("tax",B1)))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08B8-12CD-4D3F-BEAF-408A25BF50F7}">
  <dimension ref="A1:R66"/>
  <sheetViews>
    <sheetView zoomScale="110" workbookViewId="0">
      <selection activeCell="I8" sqref="I3:I8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12" bestFit="1" customWidth="1"/>
    <col min="4" max="6" width="12" customWidth="1"/>
  </cols>
  <sheetData>
    <row r="1" spans="1:18" ht="41.4" x14ac:dyDescent="0.3">
      <c r="A1" s="1" t="s">
        <v>1</v>
      </c>
      <c r="B1" s="1" t="s">
        <v>67</v>
      </c>
      <c r="C1" s="1" t="s">
        <v>0</v>
      </c>
      <c r="D1" s="1" t="s">
        <v>86</v>
      </c>
      <c r="E1" s="1" t="s">
        <v>91</v>
      </c>
      <c r="F1" s="4" t="s">
        <v>93</v>
      </c>
      <c r="G1" s="4" t="s">
        <v>92</v>
      </c>
      <c r="H1" s="9" t="s">
        <v>99</v>
      </c>
      <c r="I1" s="9"/>
      <c r="J1" s="9"/>
      <c r="L1" s="9"/>
      <c r="M1" s="9"/>
      <c r="N1" s="9"/>
      <c r="P1" s="9"/>
      <c r="Q1" s="9"/>
      <c r="R1" s="9"/>
    </row>
    <row r="2" spans="1:18" x14ac:dyDescent="0.3">
      <c r="A2" s="1" t="s">
        <v>10</v>
      </c>
      <c r="B2" s="1" t="s">
        <v>85</v>
      </c>
      <c r="C2" s="2">
        <v>70.370124000000004</v>
      </c>
      <c r="D2" s="2">
        <v>1386000000</v>
      </c>
      <c r="E2" s="2">
        <v>1362000000</v>
      </c>
      <c r="F2" s="5">
        <v>0.4</v>
      </c>
      <c r="G2" s="5">
        <v>0.40704845814977975</v>
      </c>
      <c r="H2" t="s">
        <v>80</v>
      </c>
      <c r="I2" t="s">
        <v>68</v>
      </c>
      <c r="J2" t="s">
        <v>69</v>
      </c>
    </row>
    <row r="3" spans="1:18" x14ac:dyDescent="0.3">
      <c r="A3" s="1" t="s">
        <v>13</v>
      </c>
      <c r="B3" s="1" t="s">
        <v>85</v>
      </c>
      <c r="C3" s="2">
        <v>66.211318649999996</v>
      </c>
      <c r="D3" s="2" t="s">
        <v>94</v>
      </c>
      <c r="E3" s="2">
        <v>160000000</v>
      </c>
      <c r="F3" s="5">
        <v>0.59</v>
      </c>
      <c r="G3" s="5" t="s">
        <v>94</v>
      </c>
      <c r="H3" t="s">
        <v>75</v>
      </c>
      <c r="I3">
        <f>QUARTILE($C$2:$C$36,0)</f>
        <v>0.72437522600000004</v>
      </c>
      <c r="J3" t="s">
        <v>70</v>
      </c>
    </row>
    <row r="4" spans="1:18" x14ac:dyDescent="0.3">
      <c r="A4" s="1" t="s">
        <v>14</v>
      </c>
      <c r="B4" s="1" t="s">
        <v>85</v>
      </c>
      <c r="C4" s="2">
        <v>66.211318649999996</v>
      </c>
      <c r="D4" s="2"/>
      <c r="E4" s="2"/>
      <c r="F4" s="5"/>
      <c r="G4" s="5"/>
      <c r="H4" t="s">
        <v>76</v>
      </c>
      <c r="I4">
        <f>QUARTILE($C$2:$C$36,1)</f>
        <v>5.9816509579999995</v>
      </c>
      <c r="J4" t="s">
        <v>71</v>
      </c>
    </row>
    <row r="5" spans="1:18" x14ac:dyDescent="0.3">
      <c r="A5" s="1" t="s">
        <v>15</v>
      </c>
      <c r="B5" s="1" t="s">
        <v>85</v>
      </c>
      <c r="C5" s="2">
        <v>66.211318649999996</v>
      </c>
      <c r="D5" s="2" t="s">
        <v>94</v>
      </c>
      <c r="E5" s="2">
        <v>56900000</v>
      </c>
      <c r="F5" s="5">
        <v>0.08</v>
      </c>
      <c r="G5" s="5"/>
      <c r="H5" t="s">
        <v>77</v>
      </c>
      <c r="I5">
        <f>QUARTILE($C$2:$C$36,2)</f>
        <v>23.32</v>
      </c>
      <c r="J5" t="s">
        <v>72</v>
      </c>
    </row>
    <row r="6" spans="1:18" x14ac:dyDescent="0.3">
      <c r="A6" s="1" t="s">
        <v>16</v>
      </c>
      <c r="B6" s="1" t="s">
        <v>85</v>
      </c>
      <c r="C6" s="2">
        <v>66.211318649999996</v>
      </c>
      <c r="D6" s="2" t="s">
        <v>94</v>
      </c>
      <c r="E6" s="2">
        <v>6800000</v>
      </c>
      <c r="F6" s="5">
        <v>0.54</v>
      </c>
      <c r="G6" s="5" t="s">
        <v>94</v>
      </c>
      <c r="H6" t="s">
        <v>78</v>
      </c>
      <c r="I6">
        <f>QUARTILE($C$2:$C$36,3)</f>
        <v>60.988694750000008</v>
      </c>
      <c r="J6" t="s">
        <v>73</v>
      </c>
    </row>
    <row r="7" spans="1:18" x14ac:dyDescent="0.3">
      <c r="A7" s="1" t="s">
        <v>17</v>
      </c>
      <c r="B7" s="1" t="s">
        <v>85</v>
      </c>
      <c r="C7" s="2">
        <v>66.211318649999996</v>
      </c>
      <c r="D7" s="2" t="s">
        <v>94</v>
      </c>
      <c r="E7" s="2">
        <v>3100000</v>
      </c>
      <c r="F7" s="5">
        <v>0.36</v>
      </c>
      <c r="G7" s="5" t="s">
        <v>94</v>
      </c>
      <c r="H7" t="s">
        <v>79</v>
      </c>
      <c r="I7">
        <f>QUARTILE($C$2:$C$36,4)</f>
        <v>70.370124000000004</v>
      </c>
      <c r="J7" t="s">
        <v>74</v>
      </c>
    </row>
    <row r="8" spans="1:18" x14ac:dyDescent="0.3">
      <c r="A8" s="1" t="s">
        <v>18</v>
      </c>
      <c r="B8" s="1" t="s">
        <v>85</v>
      </c>
      <c r="C8" s="2">
        <v>66.211318649999996</v>
      </c>
      <c r="D8" s="2" t="s">
        <v>94</v>
      </c>
      <c r="E8" s="2">
        <v>5300000</v>
      </c>
      <c r="F8" s="5">
        <v>0.36</v>
      </c>
      <c r="G8" s="5" t="s">
        <v>94</v>
      </c>
      <c r="H8" t="s">
        <v>82</v>
      </c>
      <c r="I8">
        <f>AVERAGE($C$2:$C$36)</f>
        <v>31.138229997371418</v>
      </c>
      <c r="J8" t="s">
        <v>81</v>
      </c>
    </row>
    <row r="9" spans="1:18" x14ac:dyDescent="0.3">
      <c r="A9" s="1" t="s">
        <v>19</v>
      </c>
      <c r="B9" s="1" t="s">
        <v>85</v>
      </c>
      <c r="C9" s="2">
        <v>66.211318649999996</v>
      </c>
      <c r="D9" s="2"/>
      <c r="E9" s="2"/>
      <c r="F9" s="5"/>
      <c r="G9" s="5"/>
    </row>
    <row r="10" spans="1:18" x14ac:dyDescent="0.3">
      <c r="A10" s="1" t="s">
        <v>20</v>
      </c>
      <c r="B10" s="1" t="s">
        <v>85</v>
      </c>
      <c r="C10" s="2">
        <v>64.749576000000005</v>
      </c>
      <c r="D10" s="2"/>
      <c r="E10" s="2"/>
      <c r="F10" s="5"/>
      <c r="G10" s="5"/>
    </row>
    <row r="11" spans="1:18" x14ac:dyDescent="0.3">
      <c r="A11" s="1" t="s">
        <v>23</v>
      </c>
      <c r="B11" s="1" t="s">
        <v>85</v>
      </c>
      <c r="C11" s="2">
        <v>57.227813500000003</v>
      </c>
      <c r="D11" s="2">
        <v>86700000</v>
      </c>
      <c r="E11" s="2">
        <v>110600000</v>
      </c>
      <c r="F11" s="5">
        <v>0.27</v>
      </c>
      <c r="G11" s="5">
        <v>0.21165461121157328</v>
      </c>
    </row>
    <row r="12" spans="1:18" x14ac:dyDescent="0.3">
      <c r="A12" s="1" t="s">
        <v>24</v>
      </c>
      <c r="B12" s="1" t="s">
        <v>85</v>
      </c>
      <c r="C12" s="2">
        <v>50</v>
      </c>
      <c r="D12" s="2">
        <v>53700000</v>
      </c>
      <c r="E12" s="2">
        <v>68200000</v>
      </c>
      <c r="F12" s="5">
        <v>0.71</v>
      </c>
      <c r="G12" s="5">
        <v>0.55904692082111429</v>
      </c>
    </row>
    <row r="13" spans="1:18" x14ac:dyDescent="0.3">
      <c r="A13" s="1" t="s">
        <v>25</v>
      </c>
      <c r="B13" s="1" t="s">
        <v>85</v>
      </c>
      <c r="C13" s="2">
        <v>48.545999999999999</v>
      </c>
      <c r="D13" s="2" t="s">
        <v>94</v>
      </c>
      <c r="E13">
        <v>26000000</v>
      </c>
      <c r="F13" s="5">
        <v>0.36</v>
      </c>
      <c r="G13" s="5" t="s">
        <v>94</v>
      </c>
    </row>
    <row r="14" spans="1:18" x14ac:dyDescent="0.3">
      <c r="A14" s="1" t="s">
        <v>26</v>
      </c>
      <c r="B14" s="1" t="s">
        <v>85</v>
      </c>
      <c r="C14" s="2">
        <v>48.545999999999999</v>
      </c>
      <c r="D14" s="2">
        <v>260000000</v>
      </c>
      <c r="E14" s="2">
        <v>291100000</v>
      </c>
      <c r="F14" s="5">
        <v>0.39</v>
      </c>
      <c r="G14" s="5">
        <v>0.34833390587427004</v>
      </c>
    </row>
    <row r="15" spans="1:18" x14ac:dyDescent="0.3">
      <c r="A15" s="1" t="s">
        <v>28</v>
      </c>
      <c r="B15" s="1" t="s">
        <v>85</v>
      </c>
      <c r="C15" s="2">
        <v>41.54</v>
      </c>
      <c r="D15" s="2">
        <v>50300000</v>
      </c>
      <c r="E15" s="2">
        <v>60000000</v>
      </c>
      <c r="F15" s="5">
        <v>0.76</v>
      </c>
      <c r="G15" s="5">
        <v>0.63713333333333333</v>
      </c>
    </row>
    <row r="16" spans="1:18" x14ac:dyDescent="0.3">
      <c r="A16" s="1" t="s">
        <v>30</v>
      </c>
      <c r="B16" s="1" t="s">
        <v>85</v>
      </c>
      <c r="C16" s="2">
        <v>32.007123999999997</v>
      </c>
      <c r="D16" s="2">
        <v>19100000</v>
      </c>
      <c r="E16" s="2">
        <v>34200000</v>
      </c>
      <c r="F16" s="5">
        <v>0.44</v>
      </c>
      <c r="G16" s="5">
        <v>0.24573099415204677</v>
      </c>
    </row>
    <row r="17" spans="1:10" x14ac:dyDescent="0.3">
      <c r="A17" s="1" t="s">
        <v>31</v>
      </c>
      <c r="B17" s="1" t="s">
        <v>85</v>
      </c>
      <c r="C17" s="2">
        <v>29.27</v>
      </c>
      <c r="D17" s="2">
        <v>267399999.99999997</v>
      </c>
      <c r="E17" s="2">
        <v>281600000</v>
      </c>
      <c r="F17" s="5">
        <v>0.76</v>
      </c>
      <c r="G17" s="5">
        <v>0.72167613636363626</v>
      </c>
    </row>
    <row r="18" spans="1:10" x14ac:dyDescent="0.3">
      <c r="A18" s="1" t="s">
        <v>33</v>
      </c>
      <c r="B18" s="1" t="s">
        <v>85</v>
      </c>
      <c r="C18" s="2">
        <v>25.891200000000001</v>
      </c>
      <c r="D18" s="2">
        <v>3100000</v>
      </c>
      <c r="E18" s="2">
        <v>1490000</v>
      </c>
      <c r="F18" s="5">
        <v>0.43</v>
      </c>
      <c r="G18" s="5">
        <v>0.89463087248322137</v>
      </c>
    </row>
    <row r="19" spans="1:10" x14ac:dyDescent="0.3">
      <c r="A19" s="1" t="s">
        <v>34</v>
      </c>
      <c r="B19" s="1" t="s">
        <v>85</v>
      </c>
      <c r="C19" s="2">
        <v>23.32</v>
      </c>
      <c r="D19" s="2"/>
      <c r="E19" s="2"/>
      <c r="F19" s="5"/>
      <c r="G19" s="5"/>
    </row>
    <row r="20" spans="1:10" x14ac:dyDescent="0.3">
      <c r="A20" s="1" t="s">
        <v>35</v>
      </c>
      <c r="B20" s="1" t="s">
        <v>85</v>
      </c>
      <c r="C20" s="2">
        <v>23.237100000000002</v>
      </c>
      <c r="D20" s="2"/>
      <c r="E20" s="2"/>
      <c r="F20" s="5"/>
      <c r="G20" s="5"/>
    </row>
    <row r="21" spans="1:10" x14ac:dyDescent="0.3">
      <c r="A21" s="1" t="s">
        <v>36</v>
      </c>
      <c r="B21" s="1" t="s">
        <v>85</v>
      </c>
      <c r="C21" s="2">
        <v>21.816120000000002</v>
      </c>
      <c r="D21" s="2" t="s">
        <v>94</v>
      </c>
      <c r="E21" s="2">
        <v>138700000</v>
      </c>
      <c r="F21" s="5">
        <v>0.26</v>
      </c>
      <c r="G21" s="5" t="s">
        <v>94</v>
      </c>
    </row>
    <row r="22" spans="1:10" x14ac:dyDescent="0.3">
      <c r="A22" s="1" t="s">
        <v>44</v>
      </c>
      <c r="B22" s="1" t="s">
        <v>85</v>
      </c>
      <c r="C22" s="2">
        <v>12.1526058</v>
      </c>
      <c r="D22" s="2">
        <v>44000000</v>
      </c>
      <c r="E22" s="2" t="s">
        <v>94</v>
      </c>
      <c r="F22" s="5">
        <v>0.3</v>
      </c>
      <c r="G22" s="5" t="s">
        <v>94</v>
      </c>
    </row>
    <row r="23" spans="1:10" x14ac:dyDescent="0.3">
      <c r="A23" s="1" t="s">
        <v>45</v>
      </c>
      <c r="B23" s="1" t="s">
        <v>85</v>
      </c>
      <c r="C23" s="2">
        <v>11.76462495</v>
      </c>
      <c r="D23" s="2">
        <v>8000000000</v>
      </c>
      <c r="E23" s="2"/>
      <c r="F23" s="5">
        <v>0.6</v>
      </c>
      <c r="G23" s="5"/>
    </row>
    <row r="24" spans="1:10" x14ac:dyDescent="0.3">
      <c r="A24" s="1" t="s">
        <v>46</v>
      </c>
      <c r="B24" s="1" t="s">
        <v>85</v>
      </c>
      <c r="C24" s="2">
        <v>10.797424469999999</v>
      </c>
      <c r="D24" s="2">
        <v>105000000</v>
      </c>
      <c r="E24" s="2" t="s">
        <v>94</v>
      </c>
      <c r="F24" s="5">
        <v>0.36</v>
      </c>
      <c r="G24" s="5" t="s">
        <v>94</v>
      </c>
    </row>
    <row r="25" spans="1:10" x14ac:dyDescent="0.3">
      <c r="A25" s="1" t="s">
        <v>47</v>
      </c>
      <c r="B25" s="1" t="s">
        <v>85</v>
      </c>
      <c r="C25" s="2">
        <v>9.3000000000000007</v>
      </c>
      <c r="D25" s="2">
        <v>7600000</v>
      </c>
      <c r="E25" s="2">
        <v>5900000</v>
      </c>
      <c r="F25" s="5">
        <v>0.09</v>
      </c>
      <c r="G25" s="5">
        <v>0.1159322033898305</v>
      </c>
    </row>
    <row r="26" spans="1:10" x14ac:dyDescent="0.3">
      <c r="A26" s="1" t="s">
        <v>49</v>
      </c>
      <c r="B26" s="1" t="s">
        <v>85</v>
      </c>
      <c r="C26" s="2">
        <v>6.5337625890000002</v>
      </c>
      <c r="D26" s="2">
        <v>35500000</v>
      </c>
      <c r="E26" s="2" t="s">
        <v>94</v>
      </c>
      <c r="F26" s="5">
        <v>0.5</v>
      </c>
      <c r="G26" s="5" t="s">
        <v>94</v>
      </c>
    </row>
    <row r="27" spans="1:10" x14ac:dyDescent="0.3">
      <c r="A27" s="1" t="s">
        <v>50</v>
      </c>
      <c r="B27" s="1" t="s">
        <v>85</v>
      </c>
      <c r="C27" s="2">
        <v>6.4531483749999996</v>
      </c>
      <c r="D27" s="2">
        <v>567100000</v>
      </c>
      <c r="E27" s="2">
        <v>572000000</v>
      </c>
      <c r="F27" s="5">
        <v>0.79</v>
      </c>
      <c r="G27" s="5">
        <v>0.78323251748251743</v>
      </c>
      <c r="H27" s="9" t="s">
        <v>101</v>
      </c>
      <c r="I27" s="9"/>
      <c r="J27" s="9"/>
    </row>
    <row r="28" spans="1:10" x14ac:dyDescent="0.3">
      <c r="A28" s="1" t="s">
        <v>51</v>
      </c>
      <c r="B28" s="1" t="s">
        <v>85</v>
      </c>
      <c r="C28" s="2">
        <v>5.5101535410000002</v>
      </c>
      <c r="D28" s="2">
        <v>78390000</v>
      </c>
      <c r="E28" s="2" t="s">
        <v>94</v>
      </c>
      <c r="F28" s="5">
        <v>0.4</v>
      </c>
      <c r="G28" s="5" t="s">
        <v>94</v>
      </c>
      <c r="H28" t="s">
        <v>80</v>
      </c>
      <c r="I28" t="s">
        <v>68</v>
      </c>
      <c r="J28" t="s">
        <v>69</v>
      </c>
    </row>
    <row r="29" spans="1:10" x14ac:dyDescent="0.3">
      <c r="A29" s="1" t="s">
        <v>52</v>
      </c>
      <c r="B29" s="1" t="s">
        <v>85</v>
      </c>
      <c r="C29" s="2">
        <v>5.4069671450000003</v>
      </c>
      <c r="D29" s="2">
        <v>297000000</v>
      </c>
      <c r="E29" s="2" t="s">
        <v>94</v>
      </c>
      <c r="F29" s="5">
        <v>0.4</v>
      </c>
      <c r="G29" s="5" t="s">
        <v>94</v>
      </c>
      <c r="H29" t="s">
        <v>75</v>
      </c>
      <c r="I29">
        <f>QUARTILE($G$2:$G$36,0)</f>
        <v>0.1159322033898305</v>
      </c>
      <c r="J29" t="s">
        <v>70</v>
      </c>
    </row>
    <row r="30" spans="1:10" x14ac:dyDescent="0.3">
      <c r="A30" s="1" t="s">
        <v>54</v>
      </c>
      <c r="B30" s="1" t="s">
        <v>85</v>
      </c>
      <c r="C30" s="2">
        <v>5.2969016560000002</v>
      </c>
      <c r="D30" s="2">
        <v>74000000</v>
      </c>
      <c r="E30" s="2" t="s">
        <v>94</v>
      </c>
      <c r="F30" s="5">
        <v>0.5</v>
      </c>
      <c r="G30" s="5" t="s">
        <v>94</v>
      </c>
      <c r="H30" t="s">
        <v>76</v>
      </c>
      <c r="I30">
        <f>QUARTILE($G$2:$G$36,1)</f>
        <v>0.23721189841692841</v>
      </c>
      <c r="J30" t="s">
        <v>71</v>
      </c>
    </row>
    <row r="31" spans="1:10" x14ac:dyDescent="0.3">
      <c r="A31" s="1" t="s">
        <v>55</v>
      </c>
      <c r="B31" s="1" t="s">
        <v>85</v>
      </c>
      <c r="C31" s="2">
        <v>5.2721369210000004</v>
      </c>
      <c r="D31" s="2">
        <v>179000000</v>
      </c>
      <c r="E31" s="2" t="s">
        <v>94</v>
      </c>
      <c r="F31" s="5">
        <v>0.5</v>
      </c>
      <c r="G31" s="5" t="s">
        <v>94</v>
      </c>
      <c r="H31" t="s">
        <v>77</v>
      </c>
      <c r="I31">
        <f>QUARTILE($G$2:$G$36,2)</f>
        <v>0.44454517148326683</v>
      </c>
      <c r="J31" t="s">
        <v>72</v>
      </c>
    </row>
    <row r="32" spans="1:10" x14ac:dyDescent="0.3">
      <c r="A32" s="1" t="s">
        <v>57</v>
      </c>
      <c r="B32" s="1" t="s">
        <v>85</v>
      </c>
      <c r="C32" s="2">
        <v>4.7273127510000004</v>
      </c>
      <c r="D32" s="2">
        <v>116200000</v>
      </c>
      <c r="E32" s="2" t="s">
        <v>94</v>
      </c>
      <c r="F32" s="5">
        <v>0.38</v>
      </c>
      <c r="G32" s="5" t="s">
        <v>94</v>
      </c>
      <c r="H32" t="s">
        <v>78</v>
      </c>
      <c r="I32">
        <f>QUARTILE($G$2:$G$36,3)</f>
        <v>0.65826903409090909</v>
      </c>
      <c r="J32" t="s">
        <v>73</v>
      </c>
    </row>
    <row r="33" spans="1:10" x14ac:dyDescent="0.3">
      <c r="A33" s="1" t="s">
        <v>58</v>
      </c>
      <c r="B33" s="1" t="s">
        <v>85</v>
      </c>
      <c r="C33" s="2">
        <v>4.0053404539999997</v>
      </c>
      <c r="D33" s="2" t="s">
        <v>94</v>
      </c>
      <c r="E33" s="2">
        <v>11200000</v>
      </c>
      <c r="F33" s="5">
        <v>0.19</v>
      </c>
      <c r="G33" s="5" t="s">
        <v>94</v>
      </c>
      <c r="H33" t="s">
        <v>79</v>
      </c>
      <c r="I33">
        <f>QUARTILE($G$2:$G$36,4)</f>
        <v>0.89463087248322137</v>
      </c>
      <c r="J33" t="s">
        <v>74</v>
      </c>
    </row>
    <row r="34" spans="1:10" x14ac:dyDescent="0.3">
      <c r="A34" s="1" t="s">
        <v>62</v>
      </c>
      <c r="B34" s="1" t="s">
        <v>85</v>
      </c>
      <c r="C34" s="2">
        <v>0.96128170899999998</v>
      </c>
      <c r="D34" s="2">
        <v>6300000</v>
      </c>
      <c r="E34" s="2">
        <v>6300000</v>
      </c>
      <c r="F34" s="5">
        <v>0.16</v>
      </c>
      <c r="G34" s="5">
        <v>0.16</v>
      </c>
      <c r="H34" t="s">
        <v>82</v>
      </c>
      <c r="I34" s="8">
        <f>AVERAGE($G$2:$G$36)</f>
        <v>0.46387181983983972</v>
      </c>
      <c r="J34" t="s">
        <v>81</v>
      </c>
    </row>
    <row r="35" spans="1:10" x14ac:dyDescent="0.3">
      <c r="A35" s="1" t="s">
        <v>63</v>
      </c>
      <c r="B35" s="1" t="s">
        <v>85</v>
      </c>
      <c r="C35" s="2">
        <v>0.93172627100000005</v>
      </c>
      <c r="D35" s="2">
        <v>167400000</v>
      </c>
      <c r="E35" s="2">
        <v>152800000</v>
      </c>
      <c r="F35" s="5">
        <v>0.44</v>
      </c>
      <c r="G35" s="5">
        <v>0.48204188481675392</v>
      </c>
    </row>
    <row r="36" spans="1:10" x14ac:dyDescent="0.3">
      <c r="A36" s="1" t="s">
        <v>65</v>
      </c>
      <c r="B36" s="1" t="s">
        <v>85</v>
      </c>
      <c r="C36" s="2">
        <v>0.72437522600000004</v>
      </c>
      <c r="D36" s="2">
        <v>256800000</v>
      </c>
      <c r="E36" s="2" t="s">
        <v>94</v>
      </c>
      <c r="F36" s="5" t="s">
        <v>94</v>
      </c>
      <c r="G36" s="5" t="s">
        <v>94</v>
      </c>
    </row>
    <row r="37" spans="1:10" x14ac:dyDescent="0.3">
      <c r="A37" s="1"/>
      <c r="B37" s="1"/>
      <c r="C37" s="2"/>
      <c r="D37" s="2"/>
      <c r="E37" s="2"/>
      <c r="F37" s="2"/>
    </row>
    <row r="38" spans="1:10" x14ac:dyDescent="0.3">
      <c r="A38" s="1"/>
      <c r="B38" s="1"/>
      <c r="C38" s="2"/>
      <c r="D38" s="2"/>
      <c r="E38" s="2"/>
      <c r="F38" s="2"/>
    </row>
    <row r="39" spans="1:10" x14ac:dyDescent="0.3">
      <c r="A39" s="1"/>
      <c r="B39" s="1"/>
      <c r="C39" s="2"/>
      <c r="D39" s="2"/>
      <c r="E39" s="2"/>
      <c r="F39" s="2"/>
    </row>
    <row r="40" spans="1:10" x14ac:dyDescent="0.3">
      <c r="A40" s="1"/>
      <c r="B40" s="1"/>
      <c r="C40" s="2"/>
      <c r="D40" s="2"/>
      <c r="E40" s="2"/>
      <c r="F40" s="2"/>
    </row>
    <row r="41" spans="1:10" x14ac:dyDescent="0.3">
      <c r="A41" s="1"/>
      <c r="B41" s="1"/>
      <c r="C41" s="2"/>
      <c r="D41" s="2"/>
      <c r="E41" s="2"/>
      <c r="F41" s="2"/>
    </row>
    <row r="42" spans="1:10" x14ac:dyDescent="0.3">
      <c r="A42" s="1"/>
      <c r="B42" s="1"/>
      <c r="C42" s="2"/>
      <c r="D42" s="2"/>
      <c r="E42" s="2"/>
      <c r="F42" s="2"/>
    </row>
    <row r="43" spans="1:10" x14ac:dyDescent="0.3">
      <c r="A43" s="1"/>
      <c r="B43" s="1"/>
      <c r="C43" s="2"/>
      <c r="D43" s="2"/>
      <c r="E43" s="2"/>
      <c r="F43" s="2"/>
    </row>
    <row r="44" spans="1:10" x14ac:dyDescent="0.3">
      <c r="A44" s="1"/>
      <c r="B44" s="1"/>
      <c r="C44" s="2"/>
      <c r="D44" s="2"/>
      <c r="E44" s="2"/>
      <c r="F44" s="2"/>
    </row>
    <row r="45" spans="1:10" x14ac:dyDescent="0.3">
      <c r="A45" s="1"/>
      <c r="B45" s="1"/>
      <c r="C45" s="2"/>
      <c r="D45" s="2"/>
      <c r="E45" s="2"/>
      <c r="F45" s="2"/>
    </row>
    <row r="46" spans="1:10" x14ac:dyDescent="0.3">
      <c r="A46" s="1"/>
      <c r="B46" s="1"/>
      <c r="C46" s="2"/>
      <c r="D46" s="2"/>
      <c r="E46" s="2"/>
      <c r="F46" s="2"/>
    </row>
    <row r="47" spans="1:10" x14ac:dyDescent="0.3">
      <c r="A47" s="1"/>
      <c r="B47" s="1"/>
      <c r="C47" s="2"/>
      <c r="D47" s="2"/>
      <c r="E47" s="2"/>
      <c r="F47" s="2"/>
    </row>
    <row r="48" spans="1:10" x14ac:dyDescent="0.3">
      <c r="A48" s="1"/>
      <c r="B48" s="1"/>
      <c r="C48" s="2"/>
      <c r="D48" s="2"/>
      <c r="E48" s="2"/>
      <c r="F48" s="2"/>
    </row>
    <row r="49" spans="1:6" x14ac:dyDescent="0.3">
      <c r="A49" s="1"/>
      <c r="B49" s="1"/>
      <c r="C49" s="2"/>
      <c r="D49" s="2"/>
      <c r="E49" s="2"/>
      <c r="F49" s="2"/>
    </row>
    <row r="50" spans="1:6" x14ac:dyDescent="0.3">
      <c r="A50" s="1"/>
      <c r="B50" s="1"/>
      <c r="C50" s="2"/>
      <c r="D50" s="2"/>
      <c r="E50" s="2"/>
      <c r="F50" s="2"/>
    </row>
    <row r="51" spans="1:6" x14ac:dyDescent="0.3">
      <c r="A51" s="1"/>
      <c r="B51" s="1"/>
      <c r="C51" s="2"/>
      <c r="D51" s="2"/>
      <c r="E51" s="2"/>
      <c r="F51" s="2"/>
    </row>
    <row r="52" spans="1:6" x14ac:dyDescent="0.3">
      <c r="A52" s="1"/>
      <c r="B52" s="1"/>
      <c r="C52" s="2"/>
      <c r="D52" s="2"/>
      <c r="E52" s="2"/>
      <c r="F52" s="2"/>
    </row>
    <row r="53" spans="1:6" x14ac:dyDescent="0.3">
      <c r="A53" s="1"/>
      <c r="B53" s="1"/>
      <c r="C53" s="2"/>
      <c r="D53" s="2"/>
      <c r="E53" s="2"/>
      <c r="F53" s="2"/>
    </row>
    <row r="54" spans="1:6" x14ac:dyDescent="0.3">
      <c r="A54" s="1"/>
      <c r="B54" s="1"/>
      <c r="C54" s="2"/>
      <c r="D54" s="2"/>
      <c r="E54" s="2"/>
      <c r="F54" s="2"/>
    </row>
    <row r="55" spans="1:6" x14ac:dyDescent="0.3">
      <c r="A55" s="1"/>
      <c r="B55" s="1"/>
      <c r="C55" s="2"/>
      <c r="D55" s="2"/>
      <c r="E55" s="2"/>
      <c r="F55" s="2"/>
    </row>
    <row r="56" spans="1:6" x14ac:dyDescent="0.3">
      <c r="A56" s="1"/>
      <c r="B56" s="1"/>
      <c r="C56" s="2"/>
      <c r="D56" s="2"/>
      <c r="E56" s="2"/>
      <c r="F56" s="2"/>
    </row>
    <row r="57" spans="1:6" x14ac:dyDescent="0.3">
      <c r="A57" s="1"/>
      <c r="B57" s="1"/>
      <c r="C57" s="2"/>
      <c r="D57" s="2"/>
      <c r="E57" s="2"/>
      <c r="F57" s="2"/>
    </row>
    <row r="58" spans="1:6" x14ac:dyDescent="0.3">
      <c r="A58" s="1"/>
      <c r="B58" s="1"/>
      <c r="C58" s="2"/>
      <c r="D58" s="2"/>
      <c r="E58" s="2"/>
      <c r="F58" s="2"/>
    </row>
    <row r="59" spans="1:6" x14ac:dyDescent="0.3">
      <c r="A59" s="1"/>
      <c r="B59" s="1"/>
      <c r="C59" s="2"/>
      <c r="D59" s="2"/>
      <c r="E59" s="2"/>
      <c r="F59" s="2"/>
    </row>
    <row r="60" spans="1:6" x14ac:dyDescent="0.3">
      <c r="A60" s="1"/>
      <c r="B60" s="1"/>
      <c r="C60" s="2"/>
      <c r="D60" s="2"/>
      <c r="E60" s="2"/>
      <c r="F60" s="2"/>
    </row>
    <row r="61" spans="1:6" x14ac:dyDescent="0.3">
      <c r="A61" s="1"/>
      <c r="B61" s="1"/>
      <c r="C61" s="2"/>
      <c r="D61" s="2"/>
      <c r="E61" s="2"/>
      <c r="F61" s="2"/>
    </row>
    <row r="62" spans="1:6" x14ac:dyDescent="0.3">
      <c r="A62" s="1"/>
      <c r="B62" s="1"/>
      <c r="C62" s="2"/>
      <c r="D62" s="2"/>
      <c r="E62" s="2"/>
      <c r="F62" s="2"/>
    </row>
    <row r="63" spans="1:6" x14ac:dyDescent="0.3">
      <c r="A63" s="1"/>
      <c r="B63" s="1"/>
      <c r="C63" s="2"/>
      <c r="D63" s="2"/>
      <c r="E63" s="2"/>
      <c r="F63" s="2"/>
    </row>
    <row r="64" spans="1:6" x14ac:dyDescent="0.3">
      <c r="A64" s="1"/>
      <c r="B64" s="1"/>
      <c r="C64" s="2"/>
      <c r="D64" s="2"/>
      <c r="E64" s="2"/>
      <c r="F64" s="2"/>
    </row>
    <row r="65" spans="1:6" x14ac:dyDescent="0.3">
      <c r="A65" s="1"/>
      <c r="B65" s="1"/>
      <c r="C65" s="2"/>
      <c r="D65" s="2"/>
      <c r="E65" s="2"/>
      <c r="F65" s="2"/>
    </row>
    <row r="66" spans="1:6" x14ac:dyDescent="0.3">
      <c r="A66" s="1"/>
      <c r="B66" s="1"/>
      <c r="C66" s="2"/>
      <c r="D66" s="2"/>
      <c r="E66" s="2"/>
      <c r="F66" s="2"/>
    </row>
  </sheetData>
  <mergeCells count="4">
    <mergeCell ref="H1:J1"/>
    <mergeCell ref="L1:N1"/>
    <mergeCell ref="P1:R1"/>
    <mergeCell ref="H27:J27"/>
  </mergeCells>
  <conditionalFormatting sqref="B1:B1048576">
    <cfRule type="containsText" dxfId="1" priority="1" operator="containsText" text="ets">
      <formula>NOT(ISERROR(SEARCH("ets",B1)))</formula>
    </cfRule>
    <cfRule type="containsText" dxfId="0" priority="2" operator="containsText" text="tax">
      <formula>NOT(ISERROR(SEARCH("tax",B1)))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68E3-11B3-49A7-B484-1236148920AB}">
  <dimension ref="A1:N80"/>
  <sheetViews>
    <sheetView workbookViewId="0">
      <selection activeCell="G80" sqref="G80"/>
    </sheetView>
  </sheetViews>
  <sheetFormatPr defaultRowHeight="14.4" x14ac:dyDescent="0.3"/>
  <cols>
    <col min="1" max="1" width="50.109375" bestFit="1" customWidth="1"/>
    <col min="5" max="5" width="22.5546875" bestFit="1" customWidth="1"/>
    <col min="6" max="6" width="18.21875" bestFit="1" customWidth="1"/>
    <col min="8" max="8" width="20.21875" customWidth="1"/>
    <col min="9" max="9" width="26.109375" customWidth="1"/>
  </cols>
  <sheetData>
    <row r="1" spans="1:14" s="7" customFormat="1" ht="36" customHeight="1" x14ac:dyDescent="0.3">
      <c r="A1" s="10" t="s">
        <v>102</v>
      </c>
      <c r="B1" s="10" t="s">
        <v>67</v>
      </c>
      <c r="C1" s="10" t="s">
        <v>103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109</v>
      </c>
      <c r="L1" s="12" t="s">
        <v>108</v>
      </c>
      <c r="M1" s="12"/>
      <c r="N1" s="12"/>
    </row>
    <row r="2" spans="1:14" x14ac:dyDescent="0.3">
      <c r="A2" s="11" t="s">
        <v>41</v>
      </c>
      <c r="B2" s="11" t="s">
        <v>110</v>
      </c>
      <c r="C2" s="11">
        <v>2010</v>
      </c>
      <c r="D2" s="11" t="s">
        <v>111</v>
      </c>
      <c r="E2" s="11" t="s">
        <v>112</v>
      </c>
      <c r="F2" s="11" t="s">
        <v>113</v>
      </c>
      <c r="G2" s="11" t="s">
        <v>114</v>
      </c>
      <c r="H2" s="13" t="s">
        <v>115</v>
      </c>
      <c r="I2" s="11"/>
      <c r="L2" s="11" t="s">
        <v>80</v>
      </c>
      <c r="M2" s="11" t="s">
        <v>68</v>
      </c>
      <c r="N2" s="11" t="s">
        <v>69</v>
      </c>
    </row>
    <row r="3" spans="1:14" x14ac:dyDescent="0.3">
      <c r="A3" s="11" t="s">
        <v>13</v>
      </c>
      <c r="B3" s="11" t="s">
        <v>85</v>
      </c>
      <c r="C3" s="11">
        <v>2007</v>
      </c>
      <c r="D3" s="11" t="s">
        <v>116</v>
      </c>
      <c r="E3" s="11" t="s">
        <v>117</v>
      </c>
      <c r="F3" s="11" t="s">
        <v>118</v>
      </c>
      <c r="G3" s="11" t="s">
        <v>119</v>
      </c>
      <c r="H3" s="13" t="s">
        <v>120</v>
      </c>
      <c r="I3" s="11" t="s">
        <v>121</v>
      </c>
      <c r="L3" s="11" t="s">
        <v>75</v>
      </c>
      <c r="M3" s="11" cm="1">
        <f t="array" ref="M3">QUARTILE(INDEX(VALUE(SUBSTITUTE($H$2:$H$80,"%","")),0)/100,0)</f>
        <v>0.02</v>
      </c>
      <c r="N3" s="11" t="s">
        <v>70</v>
      </c>
    </row>
    <row r="4" spans="1:14" x14ac:dyDescent="0.3">
      <c r="A4" s="11" t="s">
        <v>122</v>
      </c>
      <c r="B4" s="11" t="s">
        <v>110</v>
      </c>
      <c r="C4" s="11">
        <v>2022</v>
      </c>
      <c r="D4" s="11" t="s">
        <v>123</v>
      </c>
      <c r="E4" s="11" t="s">
        <v>112</v>
      </c>
      <c r="F4" s="11" t="s">
        <v>118</v>
      </c>
      <c r="G4" s="11" t="s">
        <v>124</v>
      </c>
      <c r="H4" s="13" t="s">
        <v>125</v>
      </c>
      <c r="I4" s="11"/>
      <c r="L4" s="11" t="s">
        <v>76</v>
      </c>
      <c r="M4" s="11" cm="1">
        <f t="array" ref="M4">QUARTILE(INDEX(VALUE(SUBSTITUTE($H$2:$H$80,"%","")),0)/100,1)</f>
        <v>0.19500000000000001</v>
      </c>
      <c r="N4" s="11" t="s">
        <v>71</v>
      </c>
    </row>
    <row r="5" spans="1:14" x14ac:dyDescent="0.3">
      <c r="A5" s="11" t="s">
        <v>53</v>
      </c>
      <c r="B5" s="11" t="s">
        <v>110</v>
      </c>
      <c r="C5" s="11">
        <v>2018</v>
      </c>
      <c r="D5" s="11" t="s">
        <v>126</v>
      </c>
      <c r="E5" s="11" t="s">
        <v>127</v>
      </c>
      <c r="F5" s="11" t="s">
        <v>113</v>
      </c>
      <c r="G5" s="11" t="s">
        <v>128</v>
      </c>
      <c r="H5" s="13" t="s">
        <v>129</v>
      </c>
      <c r="I5" s="11" t="s">
        <v>130</v>
      </c>
      <c r="L5" s="11" t="s">
        <v>77</v>
      </c>
      <c r="M5" s="11" cm="1">
        <f t="array" ref="M5">QUARTILE(INDEX(VALUE(SUBSTITUTE($H$2:$H$80,"%","")),0)/100,2)</f>
        <v>0.36</v>
      </c>
      <c r="N5" s="11" t="s">
        <v>72</v>
      </c>
    </row>
    <row r="6" spans="1:14" x14ac:dyDescent="0.3">
      <c r="A6" s="11" t="s">
        <v>131</v>
      </c>
      <c r="B6" s="11" t="s">
        <v>85</v>
      </c>
      <c r="C6" s="11">
        <v>2023</v>
      </c>
      <c r="D6" s="11" t="s">
        <v>132</v>
      </c>
      <c r="E6" s="11" t="s">
        <v>133</v>
      </c>
      <c r="F6" s="11" t="s">
        <v>118</v>
      </c>
      <c r="G6" s="11" t="s">
        <v>134</v>
      </c>
      <c r="H6" s="13" t="s">
        <v>135</v>
      </c>
      <c r="I6" s="11"/>
      <c r="L6" s="11" t="s">
        <v>78</v>
      </c>
      <c r="M6" s="11" cm="1">
        <f t="array" ref="M6">QUARTILE(INDEX(VALUE(SUBSTITUTE($H$2:$H$80,"%","")),0)/100,3)</f>
        <v>0.49</v>
      </c>
      <c r="N6" s="11" t="s">
        <v>73</v>
      </c>
    </row>
    <row r="7" spans="1:14" x14ac:dyDescent="0.3">
      <c r="A7" s="11" t="s">
        <v>25</v>
      </c>
      <c r="B7" s="11" t="s">
        <v>85</v>
      </c>
      <c r="C7" s="11">
        <v>2022</v>
      </c>
      <c r="D7" s="11" t="s">
        <v>136</v>
      </c>
      <c r="E7" s="11" t="s">
        <v>112</v>
      </c>
      <c r="F7" s="11" t="s">
        <v>118</v>
      </c>
      <c r="G7" s="11" t="s">
        <v>137</v>
      </c>
      <c r="H7" s="13" t="s">
        <v>138</v>
      </c>
      <c r="I7" s="11" t="s">
        <v>139</v>
      </c>
      <c r="L7" s="11" t="s">
        <v>79</v>
      </c>
      <c r="M7" s="11" cm="1">
        <f t="array" ref="M7">QUARTILE(INDEX(VALUE(SUBSTITUTE($H$2:$H$80,"%","")),0)/100,4)</f>
        <v>0.95</v>
      </c>
      <c r="N7" s="11" t="s">
        <v>74</v>
      </c>
    </row>
    <row r="8" spans="1:14" x14ac:dyDescent="0.3">
      <c r="A8" s="11" t="s">
        <v>140</v>
      </c>
      <c r="B8" s="11" t="s">
        <v>85</v>
      </c>
      <c r="C8" s="11">
        <v>2016</v>
      </c>
      <c r="D8" s="11" t="s">
        <v>116</v>
      </c>
      <c r="E8" s="11" t="s">
        <v>117</v>
      </c>
      <c r="F8" s="11" t="s">
        <v>118</v>
      </c>
      <c r="G8" s="11" t="s">
        <v>119</v>
      </c>
      <c r="H8" s="13" t="s">
        <v>135</v>
      </c>
      <c r="I8" s="11"/>
      <c r="L8" s="11" t="s">
        <v>82</v>
      </c>
      <c r="M8" s="11" cm="1">
        <f t="array" ref="M8">AVERAGE(INDEX(VALUE(SUBSTITUTE($H$2:$H$80,"%","")),0)/100)</f>
        <v>0.38063291139240502</v>
      </c>
      <c r="N8" s="11" t="s">
        <v>81</v>
      </c>
    </row>
    <row r="9" spans="1:14" x14ac:dyDescent="0.3">
      <c r="A9" s="11" t="s">
        <v>44</v>
      </c>
      <c r="B9" s="11" t="s">
        <v>85</v>
      </c>
      <c r="C9" s="11">
        <v>2013</v>
      </c>
      <c r="D9" s="11" t="s">
        <v>141</v>
      </c>
      <c r="E9" s="11" t="s">
        <v>133</v>
      </c>
      <c r="F9" s="11" t="s">
        <v>113</v>
      </c>
      <c r="G9" s="11" t="s">
        <v>142</v>
      </c>
      <c r="H9" s="13" t="s">
        <v>143</v>
      </c>
      <c r="I9" s="11" t="s">
        <v>144</v>
      </c>
    </row>
    <row r="10" spans="1:14" x14ac:dyDescent="0.3">
      <c r="A10" s="11" t="s">
        <v>145</v>
      </c>
      <c r="B10" s="11" t="s">
        <v>85</v>
      </c>
      <c r="C10" s="11">
        <v>2012</v>
      </c>
      <c r="D10" s="11" t="s">
        <v>146</v>
      </c>
      <c r="E10" s="11" t="s">
        <v>117</v>
      </c>
      <c r="F10" s="11" t="s">
        <v>118</v>
      </c>
      <c r="G10" s="11" t="s">
        <v>147</v>
      </c>
      <c r="H10" s="13" t="s">
        <v>148</v>
      </c>
      <c r="I10" s="11" t="s">
        <v>149</v>
      </c>
    </row>
    <row r="11" spans="1:14" x14ac:dyDescent="0.3">
      <c r="A11" s="11" t="s">
        <v>15</v>
      </c>
      <c r="B11" s="11" t="s">
        <v>85</v>
      </c>
      <c r="C11" s="11">
        <v>2019</v>
      </c>
      <c r="D11" s="11" t="s">
        <v>116</v>
      </c>
      <c r="E11" s="11" t="s">
        <v>117</v>
      </c>
      <c r="F11" s="11" t="s">
        <v>118</v>
      </c>
      <c r="G11" s="11" t="s">
        <v>119</v>
      </c>
      <c r="H11" s="13" t="s">
        <v>150</v>
      </c>
      <c r="I11" s="11"/>
    </row>
    <row r="12" spans="1:14" x14ac:dyDescent="0.3">
      <c r="A12" s="11" t="s">
        <v>56</v>
      </c>
      <c r="B12" s="11" t="s">
        <v>110</v>
      </c>
      <c r="C12" s="11">
        <v>2017</v>
      </c>
      <c r="D12" s="11" t="s">
        <v>151</v>
      </c>
      <c r="E12" s="11" t="s">
        <v>127</v>
      </c>
      <c r="F12" s="11" t="s">
        <v>118</v>
      </c>
      <c r="G12" s="11" t="s">
        <v>152</v>
      </c>
      <c r="H12" s="13" t="s">
        <v>153</v>
      </c>
      <c r="I12" s="11" t="s">
        <v>154</v>
      </c>
    </row>
    <row r="13" spans="1:14" x14ac:dyDescent="0.3">
      <c r="A13" s="11" t="s">
        <v>45</v>
      </c>
      <c r="B13" s="11" t="s">
        <v>85</v>
      </c>
      <c r="C13" s="11">
        <v>2021</v>
      </c>
      <c r="D13" s="11" t="s">
        <v>141</v>
      </c>
      <c r="E13" s="11" t="s">
        <v>133</v>
      </c>
      <c r="F13" s="11" t="s">
        <v>113</v>
      </c>
      <c r="G13" s="11" t="s">
        <v>155</v>
      </c>
      <c r="H13" s="13" t="s">
        <v>156</v>
      </c>
      <c r="I13" s="11"/>
    </row>
    <row r="14" spans="1:14" x14ac:dyDescent="0.3">
      <c r="A14" s="11" t="s">
        <v>51</v>
      </c>
      <c r="B14" s="11" t="s">
        <v>85</v>
      </c>
      <c r="C14" s="11">
        <v>2014</v>
      </c>
      <c r="D14" s="11" t="s">
        <v>141</v>
      </c>
      <c r="E14" s="11" t="s">
        <v>133</v>
      </c>
      <c r="F14" s="11" t="s">
        <v>113</v>
      </c>
      <c r="G14" s="11" t="s">
        <v>157</v>
      </c>
      <c r="H14" s="13" t="s">
        <v>158</v>
      </c>
      <c r="I14" s="11" t="s">
        <v>159</v>
      </c>
    </row>
    <row r="15" spans="1:14" x14ac:dyDescent="0.3">
      <c r="A15" s="11" t="s">
        <v>160</v>
      </c>
      <c r="B15" s="11" t="s">
        <v>110</v>
      </c>
      <c r="C15" s="11">
        <v>2025</v>
      </c>
      <c r="D15" s="11" t="s">
        <v>161</v>
      </c>
      <c r="E15" s="11" t="s">
        <v>127</v>
      </c>
      <c r="F15" s="11" t="s">
        <v>113</v>
      </c>
      <c r="G15" s="11" t="s">
        <v>162</v>
      </c>
      <c r="H15" s="13" t="s">
        <v>143</v>
      </c>
      <c r="I15" s="11"/>
    </row>
    <row r="16" spans="1:14" x14ac:dyDescent="0.3">
      <c r="A16" s="11" t="s">
        <v>48</v>
      </c>
      <c r="B16" s="11" t="s">
        <v>110</v>
      </c>
      <c r="C16" s="11">
        <v>2017</v>
      </c>
      <c r="D16" s="11" t="s">
        <v>163</v>
      </c>
      <c r="E16" s="11" t="s">
        <v>127</v>
      </c>
      <c r="F16" s="11" t="s">
        <v>113</v>
      </c>
      <c r="G16" s="11" t="s">
        <v>164</v>
      </c>
      <c r="H16" s="13" t="s">
        <v>165</v>
      </c>
      <c r="I16" s="11" t="s">
        <v>166</v>
      </c>
    </row>
    <row r="17" spans="1:9" x14ac:dyDescent="0.3">
      <c r="A17" s="11" t="s">
        <v>167</v>
      </c>
      <c r="B17" s="11" t="s">
        <v>85</v>
      </c>
      <c r="C17" s="11">
        <v>2023</v>
      </c>
      <c r="D17" s="11" t="s">
        <v>146</v>
      </c>
      <c r="E17" s="11" t="s">
        <v>117</v>
      </c>
      <c r="F17" s="11" t="s">
        <v>118</v>
      </c>
      <c r="G17" s="11"/>
      <c r="H17" s="13" t="s">
        <v>150</v>
      </c>
      <c r="I17" s="11"/>
    </row>
    <row r="18" spans="1:9" x14ac:dyDescent="0.3">
      <c r="A18" s="11" t="s">
        <v>7</v>
      </c>
      <c r="B18" s="11" t="s">
        <v>110</v>
      </c>
      <c r="C18" s="11">
        <v>1992</v>
      </c>
      <c r="D18" s="11" t="s">
        <v>168</v>
      </c>
      <c r="E18" s="11" t="s">
        <v>112</v>
      </c>
      <c r="F18" s="11" t="s">
        <v>118</v>
      </c>
      <c r="G18" s="11" t="s">
        <v>169</v>
      </c>
      <c r="H18" s="13" t="s">
        <v>170</v>
      </c>
      <c r="I18" s="11" t="s">
        <v>171</v>
      </c>
    </row>
    <row r="19" spans="1:9" x14ac:dyDescent="0.3">
      <c r="A19" s="11" t="s">
        <v>172</v>
      </c>
      <c r="B19" s="11" t="s">
        <v>110</v>
      </c>
      <c r="C19" s="11">
        <v>2023</v>
      </c>
      <c r="D19" s="11" t="s">
        <v>161</v>
      </c>
      <c r="E19" s="11" t="s">
        <v>127</v>
      </c>
      <c r="F19" s="11" t="s">
        <v>113</v>
      </c>
      <c r="G19" s="11" t="s">
        <v>173</v>
      </c>
      <c r="H19" s="13" t="s">
        <v>174</v>
      </c>
      <c r="I19" s="11" t="s">
        <v>175</v>
      </c>
    </row>
    <row r="20" spans="1:9" x14ac:dyDescent="0.3">
      <c r="A20" s="11" t="s">
        <v>32</v>
      </c>
      <c r="B20" s="11" t="s">
        <v>110</v>
      </c>
      <c r="C20" s="11">
        <v>2000</v>
      </c>
      <c r="D20" s="11" t="s">
        <v>176</v>
      </c>
      <c r="E20" s="11" t="s">
        <v>112</v>
      </c>
      <c r="F20" s="11" t="s">
        <v>118</v>
      </c>
      <c r="G20" s="11" t="s">
        <v>177</v>
      </c>
      <c r="H20" s="13" t="s">
        <v>178</v>
      </c>
      <c r="I20" s="11" t="s">
        <v>179</v>
      </c>
    </row>
    <row r="21" spans="1:9" x14ac:dyDescent="0.3">
      <c r="A21" s="11" t="s">
        <v>10</v>
      </c>
      <c r="B21" s="11" t="s">
        <v>85</v>
      </c>
      <c r="C21" s="11">
        <v>2005</v>
      </c>
      <c r="D21" s="11" t="s">
        <v>180</v>
      </c>
      <c r="E21" s="11" t="s">
        <v>112</v>
      </c>
      <c r="F21" s="11" t="s">
        <v>118</v>
      </c>
      <c r="G21" s="11" t="s">
        <v>181</v>
      </c>
      <c r="H21" s="13" t="s">
        <v>182</v>
      </c>
      <c r="I21" s="11" t="s">
        <v>183</v>
      </c>
    </row>
    <row r="22" spans="1:9" x14ac:dyDescent="0.3">
      <c r="A22" s="11" t="s">
        <v>12</v>
      </c>
      <c r="B22" s="11" t="s">
        <v>110</v>
      </c>
      <c r="C22" s="11">
        <v>1990</v>
      </c>
      <c r="D22" s="11" t="s">
        <v>184</v>
      </c>
      <c r="E22" s="11" t="s">
        <v>112</v>
      </c>
      <c r="F22" s="11" t="s">
        <v>118</v>
      </c>
      <c r="G22" s="11" t="s">
        <v>185</v>
      </c>
      <c r="H22" s="13" t="s">
        <v>186</v>
      </c>
      <c r="I22" s="11" t="s">
        <v>187</v>
      </c>
    </row>
    <row r="23" spans="1:9" x14ac:dyDescent="0.3">
      <c r="A23" s="11" t="s">
        <v>27</v>
      </c>
      <c r="B23" s="11" t="s">
        <v>110</v>
      </c>
      <c r="C23" s="11">
        <v>2014</v>
      </c>
      <c r="D23" s="11" t="s">
        <v>188</v>
      </c>
      <c r="E23" s="11" t="s">
        <v>112</v>
      </c>
      <c r="F23" s="11" t="s">
        <v>118</v>
      </c>
      <c r="G23" s="11" t="s">
        <v>189</v>
      </c>
      <c r="H23" s="13" t="s">
        <v>190</v>
      </c>
      <c r="I23" s="11" t="s">
        <v>191</v>
      </c>
    </row>
    <row r="24" spans="1:9" x14ac:dyDescent="0.3">
      <c r="A24" s="11" t="s">
        <v>57</v>
      </c>
      <c r="B24" s="11" t="s">
        <v>85</v>
      </c>
      <c r="C24" s="11">
        <v>2016</v>
      </c>
      <c r="D24" s="11" t="s">
        <v>141</v>
      </c>
      <c r="E24" s="11" t="s">
        <v>133</v>
      </c>
      <c r="F24" s="11" t="s">
        <v>113</v>
      </c>
      <c r="G24" s="11" t="s">
        <v>192</v>
      </c>
      <c r="H24" s="13" t="s">
        <v>193</v>
      </c>
      <c r="I24" s="11"/>
    </row>
    <row r="25" spans="1:9" x14ac:dyDescent="0.3">
      <c r="A25" s="11" t="s">
        <v>26</v>
      </c>
      <c r="B25" s="11" t="s">
        <v>85</v>
      </c>
      <c r="C25" s="11">
        <v>2021</v>
      </c>
      <c r="D25" s="11" t="s">
        <v>194</v>
      </c>
      <c r="E25" s="11" t="s">
        <v>112</v>
      </c>
      <c r="F25" s="11" t="s">
        <v>118</v>
      </c>
      <c r="G25" s="11" t="s">
        <v>137</v>
      </c>
      <c r="H25" s="13" t="s">
        <v>195</v>
      </c>
      <c r="I25" s="11" t="s">
        <v>196</v>
      </c>
    </row>
    <row r="26" spans="1:9" x14ac:dyDescent="0.3">
      <c r="A26" s="11" t="s">
        <v>197</v>
      </c>
      <c r="B26" s="11" t="s">
        <v>100</v>
      </c>
      <c r="C26" s="11">
        <v>2023</v>
      </c>
      <c r="D26" s="11" t="s">
        <v>161</v>
      </c>
      <c r="E26" s="11" t="s">
        <v>127</v>
      </c>
      <c r="F26" s="11" t="s">
        <v>113</v>
      </c>
      <c r="G26" s="11" t="s">
        <v>173</v>
      </c>
      <c r="H26" s="13" t="s">
        <v>182</v>
      </c>
      <c r="I26" s="11" t="s">
        <v>179</v>
      </c>
    </row>
    <row r="27" spans="1:9" x14ac:dyDescent="0.3">
      <c r="A27" s="11" t="s">
        <v>52</v>
      </c>
      <c r="B27" s="11" t="s">
        <v>85</v>
      </c>
      <c r="C27" s="11">
        <v>2013</v>
      </c>
      <c r="D27" s="11" t="s">
        <v>141</v>
      </c>
      <c r="E27" s="11" t="s">
        <v>133</v>
      </c>
      <c r="F27" s="11" t="s">
        <v>113</v>
      </c>
      <c r="G27" s="11" t="s">
        <v>198</v>
      </c>
      <c r="H27" s="13" t="s">
        <v>199</v>
      </c>
      <c r="I27" s="11"/>
    </row>
    <row r="28" spans="1:9" x14ac:dyDescent="0.3">
      <c r="A28" s="11" t="s">
        <v>55</v>
      </c>
      <c r="B28" s="11" t="s">
        <v>85</v>
      </c>
      <c r="C28" s="11">
        <v>2014</v>
      </c>
      <c r="D28" s="11" t="s">
        <v>141</v>
      </c>
      <c r="E28" s="11" t="s">
        <v>133</v>
      </c>
      <c r="F28" s="11" t="s">
        <v>113</v>
      </c>
      <c r="G28" s="11" t="s">
        <v>128</v>
      </c>
      <c r="H28" s="13" t="s">
        <v>165</v>
      </c>
      <c r="I28" s="11"/>
    </row>
    <row r="29" spans="1:9" x14ac:dyDescent="0.3">
      <c r="A29" s="11" t="s">
        <v>200</v>
      </c>
      <c r="B29" s="11" t="s">
        <v>110</v>
      </c>
      <c r="C29" s="11">
        <v>2023</v>
      </c>
      <c r="D29" s="11" t="s">
        <v>201</v>
      </c>
      <c r="E29" s="11" t="s">
        <v>112</v>
      </c>
      <c r="F29" s="11" t="s">
        <v>118</v>
      </c>
      <c r="G29" s="11" t="s">
        <v>202</v>
      </c>
      <c r="H29" s="13" t="s">
        <v>203</v>
      </c>
      <c r="I29" s="11" t="s">
        <v>204</v>
      </c>
    </row>
    <row r="30" spans="1:9" x14ac:dyDescent="0.3">
      <c r="A30" s="11" t="s">
        <v>21</v>
      </c>
      <c r="B30" s="11" t="s">
        <v>110</v>
      </c>
      <c r="C30" s="11">
        <v>2010</v>
      </c>
      <c r="D30" s="11" t="s">
        <v>205</v>
      </c>
      <c r="E30" s="11" t="s">
        <v>112</v>
      </c>
      <c r="F30" s="11" t="s">
        <v>118</v>
      </c>
      <c r="G30" s="11" t="s">
        <v>206</v>
      </c>
      <c r="H30" s="13" t="s">
        <v>207</v>
      </c>
      <c r="I30" s="11" t="s">
        <v>208</v>
      </c>
    </row>
    <row r="31" spans="1:9" x14ac:dyDescent="0.3">
      <c r="A31" s="11" t="s">
        <v>65</v>
      </c>
      <c r="B31" s="11" t="s">
        <v>85</v>
      </c>
      <c r="C31" s="11">
        <v>2023</v>
      </c>
      <c r="D31" s="11" t="s">
        <v>209</v>
      </c>
      <c r="E31" s="11" t="s">
        <v>133</v>
      </c>
      <c r="F31" s="11" t="s">
        <v>113</v>
      </c>
      <c r="G31" s="11" t="s">
        <v>210</v>
      </c>
      <c r="H31" s="13" t="s">
        <v>211</v>
      </c>
      <c r="I31" s="11"/>
    </row>
    <row r="32" spans="1:9" x14ac:dyDescent="0.3">
      <c r="A32" s="11" t="s">
        <v>11</v>
      </c>
      <c r="B32" s="11" t="s">
        <v>110</v>
      </c>
      <c r="C32" s="11">
        <v>2010</v>
      </c>
      <c r="D32" s="11" t="s">
        <v>212</v>
      </c>
      <c r="E32" s="11" t="s">
        <v>112</v>
      </c>
      <c r="F32" s="11" t="s">
        <v>118</v>
      </c>
      <c r="G32" s="11" t="s">
        <v>213</v>
      </c>
      <c r="H32" s="13" t="s">
        <v>174</v>
      </c>
      <c r="I32" s="11" t="s">
        <v>214</v>
      </c>
    </row>
    <row r="33" spans="1:9" x14ac:dyDescent="0.3">
      <c r="A33" s="11" t="s">
        <v>61</v>
      </c>
      <c r="B33" s="11" t="s">
        <v>110</v>
      </c>
      <c r="C33" s="11">
        <v>2024</v>
      </c>
      <c r="D33" s="11" t="s">
        <v>215</v>
      </c>
      <c r="E33" s="11" t="s">
        <v>216</v>
      </c>
      <c r="F33" s="11" t="s">
        <v>118</v>
      </c>
      <c r="G33" s="11" t="s">
        <v>217</v>
      </c>
      <c r="H33" s="13" t="s">
        <v>218</v>
      </c>
      <c r="I33" s="11"/>
    </row>
    <row r="34" spans="1:9" x14ac:dyDescent="0.3">
      <c r="A34" s="11" t="s">
        <v>60</v>
      </c>
      <c r="B34" s="11" t="s">
        <v>110</v>
      </c>
      <c r="C34" s="11">
        <v>2012</v>
      </c>
      <c r="D34" s="11" t="s">
        <v>219</v>
      </c>
      <c r="E34" s="11" t="s">
        <v>133</v>
      </c>
      <c r="F34" s="11" t="s">
        <v>118</v>
      </c>
      <c r="G34" s="11" t="s">
        <v>220</v>
      </c>
      <c r="H34" s="13" t="s">
        <v>221</v>
      </c>
      <c r="I34" s="11" t="s">
        <v>222</v>
      </c>
    </row>
    <row r="35" spans="1:9" x14ac:dyDescent="0.3">
      <c r="A35" s="11" t="s">
        <v>63</v>
      </c>
      <c r="B35" s="11" t="s">
        <v>85</v>
      </c>
      <c r="C35" s="11">
        <v>2013</v>
      </c>
      <c r="D35" s="11" t="s">
        <v>223</v>
      </c>
      <c r="E35" s="11" t="s">
        <v>112</v>
      </c>
      <c r="F35" s="11" t="s">
        <v>113</v>
      </c>
      <c r="G35" s="11" t="s">
        <v>224</v>
      </c>
      <c r="H35" s="13" t="s">
        <v>225</v>
      </c>
      <c r="I35" s="11"/>
    </row>
    <row r="36" spans="1:9" x14ac:dyDescent="0.3">
      <c r="A36" s="11" t="s">
        <v>50</v>
      </c>
      <c r="B36" s="11" t="s">
        <v>85</v>
      </c>
      <c r="C36" s="11">
        <v>2015</v>
      </c>
      <c r="D36" s="11" t="s">
        <v>226</v>
      </c>
      <c r="E36" s="11" t="s">
        <v>133</v>
      </c>
      <c r="F36" s="11" t="s">
        <v>118</v>
      </c>
      <c r="G36" s="11" t="s">
        <v>164</v>
      </c>
      <c r="H36" s="13" t="s">
        <v>227</v>
      </c>
      <c r="I36" s="11" t="s">
        <v>228</v>
      </c>
    </row>
    <row r="37" spans="1:9" x14ac:dyDescent="0.3">
      <c r="A37" s="11" t="s">
        <v>229</v>
      </c>
      <c r="B37" s="11" t="s">
        <v>110</v>
      </c>
      <c r="C37" s="11">
        <v>2004</v>
      </c>
      <c r="D37" s="11" t="s">
        <v>230</v>
      </c>
      <c r="E37" s="11" t="s">
        <v>112</v>
      </c>
      <c r="F37" s="11" t="s">
        <v>118</v>
      </c>
      <c r="G37" s="11" t="s">
        <v>231</v>
      </c>
      <c r="H37" s="13" t="s">
        <v>232</v>
      </c>
      <c r="I37" s="11" t="s">
        <v>233</v>
      </c>
    </row>
    <row r="38" spans="1:9" x14ac:dyDescent="0.3">
      <c r="A38" s="11" t="s">
        <v>4</v>
      </c>
      <c r="B38" s="11" t="s">
        <v>110</v>
      </c>
      <c r="C38" s="11">
        <v>2008</v>
      </c>
      <c r="D38" s="11" t="s">
        <v>234</v>
      </c>
      <c r="E38" s="11" t="s">
        <v>112</v>
      </c>
      <c r="F38" s="11" t="s">
        <v>118</v>
      </c>
      <c r="G38" s="11" t="s">
        <v>235</v>
      </c>
      <c r="H38" s="13" t="s">
        <v>236</v>
      </c>
      <c r="I38" s="11" t="s">
        <v>237</v>
      </c>
    </row>
    <row r="39" spans="1:9" x14ac:dyDescent="0.3">
      <c r="A39" s="11" t="s">
        <v>22</v>
      </c>
      <c r="B39" s="11" t="s">
        <v>110</v>
      </c>
      <c r="C39" s="11">
        <v>2021</v>
      </c>
      <c r="D39" s="11" t="s">
        <v>238</v>
      </c>
      <c r="E39" s="11" t="s">
        <v>112</v>
      </c>
      <c r="F39" s="11" t="s">
        <v>118</v>
      </c>
      <c r="G39" s="11" t="s">
        <v>239</v>
      </c>
      <c r="H39" s="13" t="s">
        <v>236</v>
      </c>
      <c r="I39" s="11" t="s">
        <v>240</v>
      </c>
    </row>
    <row r="40" spans="1:9" x14ac:dyDescent="0.3">
      <c r="A40" s="11" t="s">
        <v>47</v>
      </c>
      <c r="B40" s="11" t="s">
        <v>85</v>
      </c>
      <c r="C40" s="11">
        <v>2018</v>
      </c>
      <c r="D40" s="11" t="s">
        <v>146</v>
      </c>
      <c r="E40" s="11" t="s">
        <v>117</v>
      </c>
      <c r="F40" s="11" t="s">
        <v>118</v>
      </c>
      <c r="G40" s="11" t="s">
        <v>241</v>
      </c>
      <c r="H40" s="13" t="s">
        <v>242</v>
      </c>
      <c r="I40" s="11" t="s">
        <v>243</v>
      </c>
    </row>
    <row r="41" spans="1:9" x14ac:dyDescent="0.3">
      <c r="A41" s="11" t="s">
        <v>59</v>
      </c>
      <c r="B41" s="11" t="s">
        <v>110</v>
      </c>
      <c r="C41" s="11">
        <v>2014</v>
      </c>
      <c r="D41" s="11" t="s">
        <v>161</v>
      </c>
      <c r="E41" s="11" t="s">
        <v>127</v>
      </c>
      <c r="F41" s="11" t="s">
        <v>113</v>
      </c>
      <c r="G41" s="11" t="s">
        <v>244</v>
      </c>
      <c r="H41" s="13" t="s">
        <v>245</v>
      </c>
      <c r="I41" s="11" t="s">
        <v>246</v>
      </c>
    </row>
    <row r="42" spans="1:9" x14ac:dyDescent="0.3">
      <c r="A42" s="11" t="s">
        <v>247</v>
      </c>
      <c r="B42" s="11" t="s">
        <v>110</v>
      </c>
      <c r="C42" s="11">
        <v>2025</v>
      </c>
      <c r="D42" s="11" t="s">
        <v>161</v>
      </c>
      <c r="E42" s="11" t="s">
        <v>127</v>
      </c>
      <c r="F42" s="11" t="s">
        <v>113</v>
      </c>
      <c r="G42" s="11" t="s">
        <v>248</v>
      </c>
      <c r="H42" s="13" t="s">
        <v>249</v>
      </c>
      <c r="I42" s="11"/>
    </row>
    <row r="43" spans="1:9" x14ac:dyDescent="0.3">
      <c r="A43" s="11" t="s">
        <v>250</v>
      </c>
      <c r="B43" s="11" t="s">
        <v>85</v>
      </c>
      <c r="C43" s="11">
        <v>2020</v>
      </c>
      <c r="D43" s="11" t="s">
        <v>161</v>
      </c>
      <c r="E43" s="11" t="s">
        <v>127</v>
      </c>
      <c r="F43" s="11" t="s">
        <v>113</v>
      </c>
      <c r="G43" s="11"/>
      <c r="H43" s="13" t="s">
        <v>138</v>
      </c>
      <c r="I43" s="11"/>
    </row>
    <row r="44" spans="1:9" x14ac:dyDescent="0.3">
      <c r="A44" s="11" t="s">
        <v>33</v>
      </c>
      <c r="B44" s="11" t="s">
        <v>85</v>
      </c>
      <c r="C44" s="11">
        <v>2022</v>
      </c>
      <c r="D44" s="11" t="s">
        <v>251</v>
      </c>
      <c r="E44" s="11" t="s">
        <v>112</v>
      </c>
      <c r="F44" s="11" t="s">
        <v>113</v>
      </c>
      <c r="G44" s="11" t="s">
        <v>252</v>
      </c>
      <c r="H44" s="13" t="s">
        <v>225</v>
      </c>
      <c r="I44" s="11" t="s">
        <v>253</v>
      </c>
    </row>
    <row r="45" spans="1:9" x14ac:dyDescent="0.3">
      <c r="A45" s="11" t="s">
        <v>254</v>
      </c>
      <c r="B45" s="11" t="s">
        <v>110</v>
      </c>
      <c r="C45" s="11">
        <v>2025</v>
      </c>
      <c r="D45" s="11" t="s">
        <v>161</v>
      </c>
      <c r="E45" s="11" t="s">
        <v>127</v>
      </c>
      <c r="F45" s="11" t="s">
        <v>113</v>
      </c>
      <c r="G45" s="11" t="s">
        <v>255</v>
      </c>
      <c r="H45" s="13" t="s">
        <v>256</v>
      </c>
      <c r="I45" s="11"/>
    </row>
    <row r="46" spans="1:9" x14ac:dyDescent="0.3">
      <c r="A46" s="11" t="s">
        <v>8</v>
      </c>
      <c r="B46" s="11" t="s">
        <v>110</v>
      </c>
      <c r="C46" s="11">
        <v>2021</v>
      </c>
      <c r="D46" s="11" t="s">
        <v>257</v>
      </c>
      <c r="E46" s="11" t="s">
        <v>112</v>
      </c>
      <c r="F46" s="11" t="s">
        <v>118</v>
      </c>
      <c r="G46" s="11" t="s">
        <v>258</v>
      </c>
      <c r="H46" s="13" t="s">
        <v>186</v>
      </c>
      <c r="I46" s="11"/>
    </row>
    <row r="47" spans="1:9" x14ac:dyDescent="0.3">
      <c r="A47" s="11" t="s">
        <v>16</v>
      </c>
      <c r="B47" s="11" t="s">
        <v>85</v>
      </c>
      <c r="C47" s="11">
        <v>2021</v>
      </c>
      <c r="D47" s="11" t="s">
        <v>116</v>
      </c>
      <c r="E47" s="11" t="s">
        <v>117</v>
      </c>
      <c r="F47" s="11" t="s">
        <v>118</v>
      </c>
      <c r="G47" s="11" t="s">
        <v>119</v>
      </c>
      <c r="H47" s="13" t="s">
        <v>259</v>
      </c>
      <c r="I47" s="11"/>
    </row>
    <row r="48" spans="1:9" x14ac:dyDescent="0.3">
      <c r="A48" s="11" t="s">
        <v>30</v>
      </c>
      <c r="B48" s="11" t="s">
        <v>85</v>
      </c>
      <c r="C48" s="11">
        <v>2008</v>
      </c>
      <c r="D48" s="11" t="s">
        <v>260</v>
      </c>
      <c r="E48" s="11" t="s">
        <v>133</v>
      </c>
      <c r="F48" s="11" t="s">
        <v>118</v>
      </c>
      <c r="G48" s="11" t="s">
        <v>261</v>
      </c>
      <c r="H48" s="13" t="s">
        <v>262</v>
      </c>
      <c r="I48" s="11" t="s">
        <v>263</v>
      </c>
    </row>
    <row r="49" spans="1:9" x14ac:dyDescent="0.3">
      <c r="A49" s="11" t="s">
        <v>264</v>
      </c>
      <c r="B49" s="11" t="s">
        <v>85</v>
      </c>
      <c r="C49" s="11">
        <v>2019</v>
      </c>
      <c r="D49" s="11" t="s">
        <v>116</v>
      </c>
      <c r="E49" s="11" t="s">
        <v>117</v>
      </c>
      <c r="F49" s="11" t="s">
        <v>118</v>
      </c>
      <c r="G49" s="11" t="s">
        <v>119</v>
      </c>
      <c r="H49" s="13" t="s">
        <v>138</v>
      </c>
      <c r="I49" s="11" t="s">
        <v>265</v>
      </c>
    </row>
    <row r="50" spans="1:9" x14ac:dyDescent="0.3">
      <c r="A50" s="11" t="s">
        <v>6</v>
      </c>
      <c r="B50" s="11" t="s">
        <v>110</v>
      </c>
      <c r="C50" s="11">
        <v>1991</v>
      </c>
      <c r="D50" s="11" t="s">
        <v>266</v>
      </c>
      <c r="E50" s="11" t="s">
        <v>112</v>
      </c>
      <c r="F50" s="11" t="s">
        <v>118</v>
      </c>
      <c r="G50" s="11" t="s">
        <v>267</v>
      </c>
      <c r="H50" s="13" t="s">
        <v>268</v>
      </c>
      <c r="I50" s="11" t="s">
        <v>269</v>
      </c>
    </row>
    <row r="51" spans="1:9" x14ac:dyDescent="0.3">
      <c r="A51" s="11" t="s">
        <v>18</v>
      </c>
      <c r="B51" s="11" t="s">
        <v>85</v>
      </c>
      <c r="C51" s="11">
        <v>2019</v>
      </c>
      <c r="D51" s="11" t="s">
        <v>116</v>
      </c>
      <c r="E51" s="11" t="s">
        <v>117</v>
      </c>
      <c r="F51" s="11" t="s">
        <v>118</v>
      </c>
      <c r="G51" s="11" t="s">
        <v>119</v>
      </c>
      <c r="H51" s="13" t="s">
        <v>138</v>
      </c>
      <c r="I51" s="11" t="s">
        <v>270</v>
      </c>
    </row>
    <row r="52" spans="1:9" x14ac:dyDescent="0.3">
      <c r="A52" s="11" t="s">
        <v>19</v>
      </c>
      <c r="B52" s="11" t="s">
        <v>85</v>
      </c>
      <c r="C52" s="11">
        <v>2022</v>
      </c>
      <c r="D52" s="11" t="s">
        <v>116</v>
      </c>
      <c r="E52" s="11" t="s">
        <v>117</v>
      </c>
      <c r="F52" s="11" t="s">
        <v>118</v>
      </c>
      <c r="G52" s="11" t="s">
        <v>119</v>
      </c>
      <c r="H52" s="13" t="s">
        <v>135</v>
      </c>
      <c r="I52" s="11"/>
    </row>
    <row r="53" spans="1:9" x14ac:dyDescent="0.3">
      <c r="A53" s="11" t="s">
        <v>271</v>
      </c>
      <c r="B53" s="11" t="s">
        <v>85</v>
      </c>
      <c r="C53" s="11">
        <v>2021</v>
      </c>
      <c r="D53" s="11" t="s">
        <v>146</v>
      </c>
      <c r="E53" s="11" t="s">
        <v>117</v>
      </c>
      <c r="F53" s="11" t="s">
        <v>118</v>
      </c>
      <c r="G53" s="11"/>
      <c r="H53" s="13" t="s">
        <v>272</v>
      </c>
      <c r="I53" s="11"/>
    </row>
    <row r="54" spans="1:9" x14ac:dyDescent="0.3">
      <c r="A54" s="11" t="s">
        <v>66</v>
      </c>
      <c r="B54" s="11" t="s">
        <v>110</v>
      </c>
      <c r="C54" s="11">
        <v>1990</v>
      </c>
      <c r="D54" s="11" t="s">
        <v>273</v>
      </c>
      <c r="E54" s="11" t="s">
        <v>112</v>
      </c>
      <c r="F54" s="11" t="s">
        <v>118</v>
      </c>
      <c r="G54" s="11" t="s">
        <v>274</v>
      </c>
      <c r="H54" s="13" t="s">
        <v>211</v>
      </c>
      <c r="I54" s="11" t="s">
        <v>275</v>
      </c>
    </row>
    <row r="55" spans="1:9" x14ac:dyDescent="0.3">
      <c r="A55" s="11" t="s">
        <v>9</v>
      </c>
      <c r="B55" s="11" t="s">
        <v>110</v>
      </c>
      <c r="C55" s="11">
        <v>2015</v>
      </c>
      <c r="D55" s="11" t="s">
        <v>276</v>
      </c>
      <c r="E55" s="11" t="s">
        <v>112</v>
      </c>
      <c r="F55" s="11" t="s">
        <v>118</v>
      </c>
      <c r="G55" s="11" t="s">
        <v>277</v>
      </c>
      <c r="H55" s="13" t="s">
        <v>182</v>
      </c>
      <c r="I55" s="11" t="s">
        <v>278</v>
      </c>
    </row>
    <row r="56" spans="1:9" x14ac:dyDescent="0.3">
      <c r="A56" s="11" t="s">
        <v>279</v>
      </c>
      <c r="B56" s="11" t="s">
        <v>85</v>
      </c>
      <c r="C56" s="11">
        <v>2013</v>
      </c>
      <c r="D56" s="11" t="s">
        <v>116</v>
      </c>
      <c r="E56" s="11" t="s">
        <v>117</v>
      </c>
      <c r="F56" s="11" t="s">
        <v>118</v>
      </c>
      <c r="G56" s="11" t="s">
        <v>280</v>
      </c>
      <c r="H56" s="13" t="s">
        <v>148</v>
      </c>
      <c r="I56" s="11" t="s">
        <v>281</v>
      </c>
    </row>
    <row r="57" spans="1:9" x14ac:dyDescent="0.3">
      <c r="A57" s="11" t="s">
        <v>282</v>
      </c>
      <c r="B57" s="11" t="s">
        <v>110</v>
      </c>
      <c r="C57" s="11">
        <v>2022</v>
      </c>
      <c r="D57" s="11" t="s">
        <v>161</v>
      </c>
      <c r="E57" s="11" t="s">
        <v>127</v>
      </c>
      <c r="F57" s="11" t="s">
        <v>113</v>
      </c>
      <c r="G57" s="11" t="s">
        <v>283</v>
      </c>
      <c r="H57" s="13" t="s">
        <v>249</v>
      </c>
      <c r="I57" s="11" t="s">
        <v>284</v>
      </c>
    </row>
    <row r="58" spans="1:9" x14ac:dyDescent="0.3">
      <c r="A58" s="11" t="s">
        <v>285</v>
      </c>
      <c r="B58" s="11" t="s">
        <v>85</v>
      </c>
      <c r="C58" s="11">
        <v>2009</v>
      </c>
      <c r="D58" s="11" t="s">
        <v>146</v>
      </c>
      <c r="E58" s="11" t="s">
        <v>117</v>
      </c>
      <c r="F58" s="11" t="s">
        <v>118</v>
      </c>
      <c r="G58" s="11" t="s">
        <v>286</v>
      </c>
      <c r="H58" s="13" t="s">
        <v>158</v>
      </c>
      <c r="I58" s="11" t="s">
        <v>287</v>
      </c>
    </row>
    <row r="59" spans="1:9" x14ac:dyDescent="0.3">
      <c r="A59" s="11" t="s">
        <v>62</v>
      </c>
      <c r="B59" s="11" t="s">
        <v>85</v>
      </c>
      <c r="C59" s="11">
        <v>2011</v>
      </c>
      <c r="D59" s="11" t="s">
        <v>219</v>
      </c>
      <c r="E59" s="11" t="s">
        <v>133</v>
      </c>
      <c r="F59" s="11" t="s">
        <v>118</v>
      </c>
      <c r="G59" s="11" t="s">
        <v>288</v>
      </c>
      <c r="H59" s="13" t="s">
        <v>193</v>
      </c>
      <c r="I59" s="11"/>
    </row>
    <row r="60" spans="1:9" x14ac:dyDescent="0.3">
      <c r="A60" s="11" t="s">
        <v>289</v>
      </c>
      <c r="B60" s="11" t="s">
        <v>110</v>
      </c>
      <c r="C60" s="11">
        <v>2024</v>
      </c>
      <c r="D60" s="11" t="s">
        <v>161</v>
      </c>
      <c r="E60" s="11" t="s">
        <v>127</v>
      </c>
      <c r="F60" s="11" t="s">
        <v>113</v>
      </c>
      <c r="G60" s="11" t="s">
        <v>290</v>
      </c>
      <c r="H60" s="13" t="s">
        <v>291</v>
      </c>
      <c r="I60" s="11" t="s">
        <v>144</v>
      </c>
    </row>
    <row r="61" spans="1:9" x14ac:dyDescent="0.3">
      <c r="A61" s="11" t="s">
        <v>46</v>
      </c>
      <c r="B61" s="11" t="s">
        <v>85</v>
      </c>
      <c r="C61" s="11">
        <v>2013</v>
      </c>
      <c r="D61" s="11" t="s">
        <v>141</v>
      </c>
      <c r="E61" s="11" t="s">
        <v>133</v>
      </c>
      <c r="F61" s="11" t="s">
        <v>113</v>
      </c>
      <c r="G61" s="11" t="s">
        <v>292</v>
      </c>
      <c r="H61" s="13" t="s">
        <v>293</v>
      </c>
      <c r="I61" s="11" t="s">
        <v>270</v>
      </c>
    </row>
    <row r="62" spans="1:9" x14ac:dyDescent="0.3">
      <c r="A62" s="11" t="s">
        <v>49</v>
      </c>
      <c r="B62" s="11" t="s">
        <v>85</v>
      </c>
      <c r="C62" s="11">
        <v>2013</v>
      </c>
      <c r="D62" s="11" t="s">
        <v>141</v>
      </c>
      <c r="E62" s="11" t="s">
        <v>133</v>
      </c>
      <c r="F62" s="11" t="s">
        <v>113</v>
      </c>
      <c r="G62" s="11" t="s">
        <v>164</v>
      </c>
      <c r="H62" s="13" t="s">
        <v>207</v>
      </c>
      <c r="I62" s="11"/>
    </row>
    <row r="63" spans="1:9" x14ac:dyDescent="0.3">
      <c r="A63" s="11" t="s">
        <v>37</v>
      </c>
      <c r="B63" s="11" t="s">
        <v>110</v>
      </c>
      <c r="C63" s="11">
        <v>2019</v>
      </c>
      <c r="D63" s="11" t="s">
        <v>294</v>
      </c>
      <c r="E63" s="11" t="s">
        <v>133</v>
      </c>
      <c r="F63" s="11" t="s">
        <v>118</v>
      </c>
      <c r="G63" s="11" t="s">
        <v>295</v>
      </c>
      <c r="H63" s="13" t="s">
        <v>296</v>
      </c>
      <c r="I63" s="11" t="s">
        <v>297</v>
      </c>
    </row>
    <row r="64" spans="1:9" x14ac:dyDescent="0.3">
      <c r="A64" s="11" t="s">
        <v>29</v>
      </c>
      <c r="B64" s="11" t="s">
        <v>110</v>
      </c>
      <c r="C64" s="11">
        <v>2023</v>
      </c>
      <c r="D64" s="11" t="s">
        <v>298</v>
      </c>
      <c r="E64" s="11" t="s">
        <v>112</v>
      </c>
      <c r="F64" s="11" t="s">
        <v>118</v>
      </c>
      <c r="G64" s="11" t="s">
        <v>299</v>
      </c>
      <c r="H64" s="13" t="s">
        <v>300</v>
      </c>
      <c r="I64" s="11" t="s">
        <v>301</v>
      </c>
    </row>
    <row r="65" spans="1:9" x14ac:dyDescent="0.3">
      <c r="A65" s="11" t="s">
        <v>42</v>
      </c>
      <c r="B65" s="11" t="s">
        <v>110</v>
      </c>
      <c r="C65" s="11">
        <v>2019</v>
      </c>
      <c r="D65" s="11" t="s">
        <v>302</v>
      </c>
      <c r="E65" s="11" t="s">
        <v>303</v>
      </c>
      <c r="F65" s="11" t="s">
        <v>113</v>
      </c>
      <c r="G65" s="11" t="s">
        <v>304</v>
      </c>
      <c r="H65" s="13" t="s">
        <v>305</v>
      </c>
      <c r="I65" s="11" t="s">
        <v>306</v>
      </c>
    </row>
    <row r="66" spans="1:9" x14ac:dyDescent="0.3">
      <c r="A66" s="11" t="s">
        <v>40</v>
      </c>
      <c r="B66" s="11" t="s">
        <v>110</v>
      </c>
      <c r="C66" s="11">
        <v>2014</v>
      </c>
      <c r="D66" s="11" t="s">
        <v>307</v>
      </c>
      <c r="E66" s="11" t="s">
        <v>112</v>
      </c>
      <c r="F66" s="11" t="s">
        <v>118</v>
      </c>
      <c r="G66" s="11" t="s">
        <v>231</v>
      </c>
      <c r="H66" s="13" t="s">
        <v>232</v>
      </c>
      <c r="I66" s="11" t="s">
        <v>308</v>
      </c>
    </row>
    <row r="67" spans="1:9" x14ac:dyDescent="0.3">
      <c r="A67" s="11" t="s">
        <v>309</v>
      </c>
      <c r="B67" s="11" t="s">
        <v>110</v>
      </c>
      <c r="C67" s="11">
        <v>2022</v>
      </c>
      <c r="D67" s="11" t="s">
        <v>161</v>
      </c>
      <c r="E67" s="11" t="s">
        <v>127</v>
      </c>
      <c r="F67" s="11" t="s">
        <v>113</v>
      </c>
      <c r="G67" s="11" t="s">
        <v>248</v>
      </c>
      <c r="H67" s="13" t="s">
        <v>310</v>
      </c>
      <c r="I67" s="11" t="s">
        <v>253</v>
      </c>
    </row>
    <row r="68" spans="1:9" x14ac:dyDescent="0.3">
      <c r="A68" s="11" t="s">
        <v>3</v>
      </c>
      <c r="B68" s="11" t="s">
        <v>110</v>
      </c>
      <c r="C68" s="11">
        <v>1991</v>
      </c>
      <c r="D68" s="11" t="s">
        <v>311</v>
      </c>
      <c r="E68" s="11" t="s">
        <v>112</v>
      </c>
      <c r="F68" s="11" t="s">
        <v>118</v>
      </c>
      <c r="G68" s="11" t="s">
        <v>312</v>
      </c>
      <c r="H68" s="13" t="s">
        <v>182</v>
      </c>
      <c r="I68" s="11" t="s">
        <v>313</v>
      </c>
    </row>
    <row r="69" spans="1:9" x14ac:dyDescent="0.3">
      <c r="A69" s="11" t="s">
        <v>5</v>
      </c>
      <c r="B69" s="11" t="s">
        <v>110</v>
      </c>
      <c r="C69" s="11">
        <v>2008</v>
      </c>
      <c r="D69" s="11" t="s">
        <v>314</v>
      </c>
      <c r="E69" s="11" t="s">
        <v>112</v>
      </c>
      <c r="F69" s="11" t="s">
        <v>118</v>
      </c>
      <c r="G69" s="11" t="s">
        <v>235</v>
      </c>
      <c r="H69" s="13" t="s">
        <v>315</v>
      </c>
      <c r="I69" s="11" t="s">
        <v>316</v>
      </c>
    </row>
    <row r="70" spans="1:9" x14ac:dyDescent="0.3">
      <c r="A70" s="11" t="s">
        <v>20</v>
      </c>
      <c r="B70" s="11" t="s">
        <v>85</v>
      </c>
      <c r="C70" s="11">
        <v>2008</v>
      </c>
      <c r="D70" s="11" t="s">
        <v>314</v>
      </c>
      <c r="E70" s="11" t="s">
        <v>112</v>
      </c>
      <c r="F70" s="11" t="s">
        <v>118</v>
      </c>
      <c r="G70" s="11" t="s">
        <v>317</v>
      </c>
      <c r="H70" s="13" t="s">
        <v>318</v>
      </c>
      <c r="I70" s="11" t="s">
        <v>319</v>
      </c>
    </row>
    <row r="71" spans="1:9" x14ac:dyDescent="0.3">
      <c r="A71" s="11" t="s">
        <v>38</v>
      </c>
      <c r="B71" s="11" t="s">
        <v>110</v>
      </c>
      <c r="C71" s="11">
        <v>2022</v>
      </c>
      <c r="D71" s="11" t="s">
        <v>161</v>
      </c>
      <c r="E71" s="11" t="s">
        <v>127</v>
      </c>
      <c r="F71" s="11" t="s">
        <v>113</v>
      </c>
      <c r="G71" s="11" t="s">
        <v>290</v>
      </c>
      <c r="H71" s="13" t="s">
        <v>272</v>
      </c>
      <c r="I71" s="11" t="s">
        <v>320</v>
      </c>
    </row>
    <row r="72" spans="1:9" x14ac:dyDescent="0.3">
      <c r="A72" s="11" t="s">
        <v>54</v>
      </c>
      <c r="B72" s="11" t="s">
        <v>85</v>
      </c>
      <c r="C72" s="11">
        <v>2013</v>
      </c>
      <c r="D72" s="11" t="s">
        <v>141</v>
      </c>
      <c r="E72" s="11" t="s">
        <v>133</v>
      </c>
      <c r="F72" s="11" t="s">
        <v>113</v>
      </c>
      <c r="G72" s="11" t="s">
        <v>128</v>
      </c>
      <c r="H72" s="13" t="s">
        <v>249</v>
      </c>
      <c r="I72" s="11"/>
    </row>
    <row r="73" spans="1:9" x14ac:dyDescent="0.3">
      <c r="A73" s="11" t="s">
        <v>321</v>
      </c>
      <c r="B73" s="11" t="s">
        <v>85</v>
      </c>
      <c r="C73" s="11">
        <v>2010</v>
      </c>
      <c r="D73" s="11" t="s">
        <v>219</v>
      </c>
      <c r="E73" s="11" t="s">
        <v>133</v>
      </c>
      <c r="F73" s="11" t="s">
        <v>118</v>
      </c>
      <c r="G73" s="11" t="s">
        <v>322</v>
      </c>
      <c r="H73" s="13" t="s">
        <v>323</v>
      </c>
      <c r="I73" s="11"/>
    </row>
    <row r="74" spans="1:9" x14ac:dyDescent="0.3">
      <c r="A74" s="11" t="s">
        <v>35</v>
      </c>
      <c r="B74" s="11" t="s">
        <v>110</v>
      </c>
      <c r="C74" s="11">
        <v>2013</v>
      </c>
      <c r="D74" s="11" t="s">
        <v>324</v>
      </c>
      <c r="E74" s="11" t="s">
        <v>112</v>
      </c>
      <c r="F74" s="11" t="s">
        <v>118</v>
      </c>
      <c r="G74" s="11" t="s">
        <v>325</v>
      </c>
      <c r="H74" s="13" t="s">
        <v>199</v>
      </c>
      <c r="I74" s="11" t="s">
        <v>326</v>
      </c>
    </row>
    <row r="75" spans="1:9" x14ac:dyDescent="0.3">
      <c r="A75" s="11" t="s">
        <v>23</v>
      </c>
      <c r="B75" s="11" t="s">
        <v>85</v>
      </c>
      <c r="C75" s="11">
        <v>2021</v>
      </c>
      <c r="D75" s="11" t="s">
        <v>324</v>
      </c>
      <c r="E75" s="11" t="s">
        <v>112</v>
      </c>
      <c r="F75" s="11" t="s">
        <v>118</v>
      </c>
      <c r="G75" s="11" t="s">
        <v>327</v>
      </c>
      <c r="H75" s="13" t="s">
        <v>328</v>
      </c>
      <c r="I75" s="11" t="s">
        <v>329</v>
      </c>
    </row>
    <row r="76" spans="1:9" x14ac:dyDescent="0.3">
      <c r="A76" s="11" t="s">
        <v>64</v>
      </c>
      <c r="B76" s="11" t="s">
        <v>110</v>
      </c>
      <c r="C76" s="11">
        <v>2011</v>
      </c>
      <c r="D76" s="11" t="s">
        <v>330</v>
      </c>
      <c r="E76" s="11" t="s">
        <v>112</v>
      </c>
      <c r="F76" s="11" t="s">
        <v>113</v>
      </c>
      <c r="G76" s="11" t="s">
        <v>210</v>
      </c>
      <c r="H76" s="13" t="s">
        <v>203</v>
      </c>
      <c r="I76" s="11" t="s">
        <v>331</v>
      </c>
    </row>
    <row r="77" spans="1:9" x14ac:dyDescent="0.3">
      <c r="A77" s="11" t="s">
        <v>2</v>
      </c>
      <c r="B77" s="11" t="s">
        <v>110</v>
      </c>
      <c r="C77" s="11">
        <v>2022</v>
      </c>
      <c r="D77" s="11" t="s">
        <v>332</v>
      </c>
      <c r="E77" s="11" t="s">
        <v>127</v>
      </c>
      <c r="F77" s="11" t="s">
        <v>118</v>
      </c>
      <c r="G77" s="11" t="s">
        <v>333</v>
      </c>
      <c r="H77" s="13" t="s">
        <v>334</v>
      </c>
      <c r="I77" s="11" t="s">
        <v>335</v>
      </c>
    </row>
    <row r="78" spans="1:9" x14ac:dyDescent="0.3">
      <c r="A78" s="11" t="s">
        <v>24</v>
      </c>
      <c r="B78" s="11" t="s">
        <v>85</v>
      </c>
      <c r="C78" s="11">
        <v>2023</v>
      </c>
      <c r="D78" s="11" t="s">
        <v>146</v>
      </c>
      <c r="E78" s="11" t="s">
        <v>117</v>
      </c>
      <c r="F78" s="11" t="s">
        <v>118</v>
      </c>
      <c r="G78" s="11" t="s">
        <v>336</v>
      </c>
      <c r="H78" s="13" t="s">
        <v>296</v>
      </c>
      <c r="I78" s="11" t="s">
        <v>337</v>
      </c>
    </row>
    <row r="79" spans="1:9" x14ac:dyDescent="0.3">
      <c r="A79" s="11" t="s">
        <v>338</v>
      </c>
      <c r="B79" s="11" t="s">
        <v>110</v>
      </c>
      <c r="C79" s="11">
        <v>2022</v>
      </c>
      <c r="D79" s="11" t="s">
        <v>161</v>
      </c>
      <c r="E79" s="11" t="s">
        <v>127</v>
      </c>
      <c r="F79" s="11" t="s">
        <v>113</v>
      </c>
      <c r="G79" s="11" t="s">
        <v>339</v>
      </c>
      <c r="H79" s="13" t="s">
        <v>203</v>
      </c>
      <c r="I79" s="11" t="s">
        <v>175</v>
      </c>
    </row>
    <row r="80" spans="1:9" x14ac:dyDescent="0.3">
      <c r="A80" s="11" t="s">
        <v>43</v>
      </c>
      <c r="B80" s="11" t="s">
        <v>110</v>
      </c>
      <c r="C80" s="11">
        <v>2017</v>
      </c>
      <c r="D80" s="11" t="s">
        <v>161</v>
      </c>
      <c r="E80" s="11" t="s">
        <v>127</v>
      </c>
      <c r="F80" s="11" t="s">
        <v>113</v>
      </c>
      <c r="G80" s="11" t="s">
        <v>255</v>
      </c>
      <c r="H80" s="13" t="s">
        <v>340</v>
      </c>
      <c r="I80" s="11" t="s">
        <v>341</v>
      </c>
    </row>
  </sheetData>
  <mergeCells count="1"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CarbonPricing</vt:lpstr>
      <vt:lpstr>Tax</vt:lpstr>
      <vt:lpstr>ETS</vt:lpstr>
      <vt:lpstr>State_of_CarbonPrice_2025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Keerati</dc:creator>
  <cp:lastModifiedBy>Chukorn, Keerati</cp:lastModifiedBy>
  <dcterms:created xsi:type="dcterms:W3CDTF">2025-07-15T14:19:07Z</dcterms:created>
  <dcterms:modified xsi:type="dcterms:W3CDTF">2025-08-09T22:01:30Z</dcterms:modified>
</cp:coreProperties>
</file>