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139f93b020088/Desktop/"/>
    </mc:Choice>
  </mc:AlternateContent>
  <xr:revisionPtr revIDLastSave="912" documentId="11_A1C5E22315B7740DBC153247E7CB9E2E818F7803" xr6:coauthVersionLast="47" xr6:coauthVersionMax="47" xr10:uidLastSave="{A1E4762D-6CA9-4EFD-A75D-150B318ED1B7}"/>
  <bookViews>
    <workbookView xWindow="44880" yWindow="-120" windowWidth="38640" windowHeight="15840" firstSheet="6" activeTab="11" xr2:uid="{00000000-000D-0000-FFFF-FFFF00000000}"/>
  </bookViews>
  <sheets>
    <sheet name="Input --&gt;" sheetId="17" r:id="rId1"/>
    <sheet name="Drivers" sheetId="20" r:id="rId2"/>
    <sheet name="Working --&gt;" sheetId="22" r:id="rId3"/>
    <sheet name="Revenue" sheetId="26" r:id="rId4"/>
    <sheet name="Opex" sheetId="29" r:id="rId5"/>
    <sheet name="Fixed Asset Roll Forward" sheetId="27" r:id="rId6"/>
    <sheet name="Financing" sheetId="23" r:id="rId7"/>
    <sheet name="P&amp;L" sheetId="24" r:id="rId8"/>
    <sheet name="WACC" sheetId="25" r:id="rId9"/>
    <sheet name="Cash Flow" sheetId="31" r:id="rId10"/>
    <sheet name="Output --&gt;" sheetId="21" r:id="rId11"/>
    <sheet name="Discounted Cash Flows" sheetId="30" r:id="rId12"/>
  </sheets>
  <externalReferences>
    <externalReference r:id="rId13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31" l="1"/>
  <c r="C6" i="20"/>
  <c r="C7" i="25"/>
  <c r="C29" i="25"/>
  <c r="C6" i="25"/>
  <c r="C5" i="25"/>
  <c r="C4" i="25"/>
  <c r="C3" i="25"/>
  <c r="C11" i="25"/>
  <c r="D11" i="25"/>
  <c r="C12" i="25"/>
  <c r="D12" i="25"/>
  <c r="D10" i="25"/>
  <c r="C10" i="25"/>
  <c r="D9" i="31"/>
  <c r="C16" i="23"/>
  <c r="C7" i="23"/>
  <c r="C8" i="23"/>
  <c r="C6" i="23"/>
  <c r="C11" i="23" s="1"/>
  <c r="C14" i="23" s="1"/>
  <c r="C9" i="27"/>
  <c r="C8" i="27"/>
  <c r="C5" i="27"/>
  <c r="C6" i="27"/>
  <c r="C4" i="27"/>
  <c r="C5" i="29"/>
  <c r="C6" i="29"/>
  <c r="C4" i="29"/>
  <c r="C9" i="29"/>
  <c r="C10" i="29"/>
  <c r="C8" i="29"/>
  <c r="C29" i="26"/>
  <c r="C30" i="26"/>
  <c r="C28" i="26"/>
  <c r="D11" i="23" l="1"/>
  <c r="C16" i="25"/>
  <c r="C28" i="25"/>
  <c r="H34" i="25" s="1"/>
  <c r="F34" i="25"/>
  <c r="L34" i="25"/>
  <c r="K34" i="25"/>
  <c r="J34" i="25"/>
  <c r="C31" i="26"/>
  <c r="D16" i="27"/>
  <c r="G22" i="27" s="1"/>
  <c r="L16" i="27"/>
  <c r="M29" i="27" s="1"/>
  <c r="C18" i="27"/>
  <c r="K16" i="27"/>
  <c r="L28" i="27" s="1"/>
  <c r="J16" i="27"/>
  <c r="J7" i="31" s="1"/>
  <c r="I16" i="27"/>
  <c r="I7" i="31" s="1"/>
  <c r="H16" i="27"/>
  <c r="H7" i="31" s="1"/>
  <c r="E16" i="27"/>
  <c r="E7" i="31" s="1"/>
  <c r="D15" i="27"/>
  <c r="C7" i="31" s="1"/>
  <c r="C8" i="31" s="1"/>
  <c r="C12" i="31" s="1"/>
  <c r="C18" i="23" s="1"/>
  <c r="C19" i="23" s="1"/>
  <c r="G16" i="27"/>
  <c r="G7" i="31" s="1"/>
  <c r="F16" i="27"/>
  <c r="F7" i="31" s="1"/>
  <c r="M16" i="27"/>
  <c r="M7" i="31" s="1"/>
  <c r="I22" i="27" l="1"/>
  <c r="M30" i="27"/>
  <c r="D34" i="25"/>
  <c r="C34" i="25"/>
  <c r="L7" i="31"/>
  <c r="E34" i="25"/>
  <c r="M34" i="25"/>
  <c r="G34" i="25"/>
  <c r="I12" i="23"/>
  <c r="I9" i="31" s="1"/>
  <c r="J12" i="23"/>
  <c r="J9" i="31" s="1"/>
  <c r="M12" i="23"/>
  <c r="M9" i="31" s="1"/>
  <c r="H12" i="23"/>
  <c r="H9" i="31" s="1"/>
  <c r="D16" i="23"/>
  <c r="K12" i="23"/>
  <c r="K9" i="31" s="1"/>
  <c r="E12" i="23"/>
  <c r="E9" i="31" s="1"/>
  <c r="L12" i="23"/>
  <c r="L9" i="31" s="1"/>
  <c r="F12" i="23"/>
  <c r="F9" i="31" s="1"/>
  <c r="G12" i="23"/>
  <c r="G9" i="31" s="1"/>
  <c r="D14" i="23"/>
  <c r="I34" i="25"/>
  <c r="L22" i="27"/>
  <c r="J22" i="27"/>
  <c r="E22" i="27"/>
  <c r="K22" i="27"/>
  <c r="H22" i="27"/>
  <c r="M22" i="27"/>
  <c r="F22" i="27"/>
  <c r="D7" i="31"/>
  <c r="J27" i="27"/>
  <c r="M28" i="27"/>
  <c r="L27" i="27"/>
  <c r="L26" i="27"/>
  <c r="K26" i="27"/>
  <c r="K28" i="27"/>
  <c r="K27" i="27"/>
  <c r="F23" i="27"/>
  <c r="M27" i="27"/>
  <c r="L29" i="27"/>
  <c r="K7" i="31"/>
  <c r="G23" i="27"/>
  <c r="J23" i="27"/>
  <c r="I23" i="27"/>
  <c r="I26" i="27"/>
  <c r="J26" i="27"/>
  <c r="M26" i="27"/>
  <c r="K23" i="27"/>
  <c r="L23" i="27"/>
  <c r="H23" i="27"/>
  <c r="M23" i="27"/>
  <c r="C17" i="25"/>
  <c r="C18" i="25" s="1"/>
  <c r="C20" i="25" s="1"/>
  <c r="D8" i="30"/>
  <c r="H24" i="27"/>
  <c r="I24" i="27"/>
  <c r="L24" i="27"/>
  <c r="J24" i="27"/>
  <c r="K24" i="27"/>
  <c r="G24" i="27"/>
  <c r="M24" i="27"/>
  <c r="F21" i="27"/>
  <c r="G21" i="27"/>
  <c r="H21" i="27"/>
  <c r="J21" i="27"/>
  <c r="K21" i="27"/>
  <c r="E21" i="27"/>
  <c r="E31" i="27" s="1"/>
  <c r="E17" i="27" s="1"/>
  <c r="D6" i="24" s="1"/>
  <c r="I21" i="27"/>
  <c r="C3" i="23"/>
  <c r="L21" i="27"/>
  <c r="M21" i="27"/>
  <c r="D21" i="27"/>
  <c r="D31" i="27" s="1"/>
  <c r="D17" i="27" s="1"/>
  <c r="K25" i="27"/>
  <c r="H25" i="27"/>
  <c r="I25" i="27"/>
  <c r="J25" i="27"/>
  <c r="L25" i="27"/>
  <c r="M25" i="27"/>
  <c r="D10" i="31" l="1"/>
  <c r="C8" i="24"/>
  <c r="E11" i="23"/>
  <c r="D16" i="25"/>
  <c r="F31" i="27"/>
  <c r="F17" i="27" s="1"/>
  <c r="E6" i="24" s="1"/>
  <c r="C21" i="25"/>
  <c r="C22" i="25" s="1"/>
  <c r="I31" i="27"/>
  <c r="I17" i="27" s="1"/>
  <c r="H6" i="24" s="1"/>
  <c r="L31" i="27"/>
  <c r="L17" i="27" s="1"/>
  <c r="K6" i="24" s="1"/>
  <c r="D18" i="27"/>
  <c r="E15" i="27" s="1"/>
  <c r="E18" i="27" s="1"/>
  <c r="F15" i="27" s="1"/>
  <c r="C6" i="24"/>
  <c r="K31" i="27"/>
  <c r="K17" i="27" s="1"/>
  <c r="J6" i="24" s="1"/>
  <c r="G31" i="27"/>
  <c r="G17" i="27" s="1"/>
  <c r="F6" i="24" s="1"/>
  <c r="J31" i="27"/>
  <c r="J17" i="27" s="1"/>
  <c r="I6" i="24" s="1"/>
  <c r="H31" i="27"/>
  <c r="H17" i="27" s="1"/>
  <c r="G6" i="24" s="1"/>
  <c r="M31" i="27"/>
  <c r="M17" i="27" s="1"/>
  <c r="L6" i="24" s="1"/>
  <c r="E14" i="23" l="1"/>
  <c r="E16" i="23"/>
  <c r="F18" i="27"/>
  <c r="G15" i="27" s="1"/>
  <c r="G18" i="27" s="1"/>
  <c r="H15" i="27" s="1"/>
  <c r="H18" i="27" s="1"/>
  <c r="I15" i="27" s="1"/>
  <c r="I18" i="27" s="1"/>
  <c r="J15" i="27" s="1"/>
  <c r="J18" i="27" s="1"/>
  <c r="K15" i="27" s="1"/>
  <c r="K18" i="27" s="1"/>
  <c r="L15" i="27" s="1"/>
  <c r="L18" i="27" s="1"/>
  <c r="M15" i="27" s="1"/>
  <c r="M18" i="27" s="1"/>
  <c r="C33" i="25"/>
  <c r="C35" i="25" s="1"/>
  <c r="C37" i="25" s="1"/>
  <c r="C39" i="25" s="1"/>
  <c r="E16" i="25" l="1"/>
  <c r="F11" i="23"/>
  <c r="E10" i="31"/>
  <c r="D8" i="24"/>
  <c r="F14" i="23" l="1"/>
  <c r="F16" i="23"/>
  <c r="F10" i="31" l="1"/>
  <c r="E8" i="24"/>
  <c r="G11" i="23"/>
  <c r="F16" i="25"/>
  <c r="G16" i="23" l="1"/>
  <c r="G14" i="23"/>
  <c r="H11" i="23" l="1"/>
  <c r="G16" i="25"/>
  <c r="G10" i="31"/>
  <c r="F8" i="24"/>
  <c r="D12" i="30"/>
  <c r="D14" i="30" s="1"/>
  <c r="D10" i="30"/>
  <c r="H16" i="23" l="1"/>
  <c r="H14" i="23"/>
  <c r="I11" i="23" l="1"/>
  <c r="H16" i="25"/>
  <c r="G8" i="24"/>
  <c r="H10" i="31"/>
  <c r="I16" i="23" l="1"/>
  <c r="I14" i="23"/>
  <c r="J11" i="23" l="1"/>
  <c r="I16" i="25"/>
  <c r="H8" i="24"/>
  <c r="I10" i="31"/>
  <c r="J16" i="23" l="1"/>
  <c r="J14" i="23"/>
  <c r="K11" i="23" l="1"/>
  <c r="J16" i="25"/>
  <c r="I8" i="24"/>
  <c r="J10" i="31"/>
  <c r="K16" i="23" l="1"/>
  <c r="K14" i="23"/>
  <c r="L11" i="23" l="1"/>
  <c r="K16" i="25"/>
  <c r="J8" i="24"/>
  <c r="K10" i="31"/>
  <c r="L16" i="23" l="1"/>
  <c r="L14" i="23"/>
  <c r="M11" i="23" l="1"/>
  <c r="L16" i="25"/>
  <c r="L10" i="31"/>
  <c r="K8" i="24"/>
  <c r="M14" i="23" l="1"/>
  <c r="M16" i="23"/>
  <c r="M10" i="31" l="1"/>
  <c r="L8" i="24"/>
  <c r="M16" i="25"/>
  <c r="C5" i="30"/>
  <c r="N9" i="30" s="1"/>
  <c r="E11" i="30" l="1"/>
  <c r="F11" i="30" l="1"/>
  <c r="G11" i="30" l="1"/>
  <c r="H11" i="30" l="1"/>
  <c r="I11" i="30" l="1"/>
  <c r="J11" i="30" l="1"/>
  <c r="K11" i="30" l="1"/>
  <c r="L11" i="30" l="1"/>
  <c r="M11" i="30" l="1"/>
  <c r="N11" i="30" l="1"/>
  <c r="N13" i="30" l="1"/>
  <c r="C10" i="26" l="1"/>
  <c r="C9" i="26"/>
  <c r="C8" i="26"/>
  <c r="C5" i="26"/>
  <c r="C6" i="26"/>
  <c r="C4" i="26"/>
  <c r="C25" i="26"/>
  <c r="D29" i="26" l="1"/>
  <c r="E29" i="26" s="1"/>
  <c r="F29" i="26" s="1"/>
  <c r="G29" i="26" s="1"/>
  <c r="H29" i="26" s="1"/>
  <c r="I29" i="26" s="1"/>
  <c r="J29" i="26" s="1"/>
  <c r="K29" i="26" s="1"/>
  <c r="L29" i="26" s="1"/>
  <c r="D30" i="26"/>
  <c r="D28" i="26"/>
  <c r="E28" i="26" s="1"/>
  <c r="F28" i="26" s="1"/>
  <c r="G28" i="26" s="1"/>
  <c r="H28" i="26" s="1"/>
  <c r="I28" i="26" s="1"/>
  <c r="J28" i="26" s="1"/>
  <c r="K28" i="26" s="1"/>
  <c r="L28" i="26" s="1"/>
  <c r="C16" i="26"/>
  <c r="C36" i="26" s="1"/>
  <c r="C15" i="29" s="1"/>
  <c r="C21" i="29" s="1"/>
  <c r="K16" i="26"/>
  <c r="K36" i="26" s="1"/>
  <c r="K15" i="29" s="1"/>
  <c r="K21" i="29" s="1"/>
  <c r="C17" i="26"/>
  <c r="C37" i="26" s="1"/>
  <c r="G15" i="26"/>
  <c r="F15" i="26"/>
  <c r="H17" i="26"/>
  <c r="G17" i="26"/>
  <c r="I16" i="26"/>
  <c r="I36" i="26" s="1"/>
  <c r="I15" i="29" s="1"/>
  <c r="I21" i="29" s="1"/>
  <c r="F17" i="26"/>
  <c r="H16" i="26"/>
  <c r="H36" i="26" s="1"/>
  <c r="H15" i="29" s="1"/>
  <c r="H21" i="29" s="1"/>
  <c r="G16" i="26"/>
  <c r="G36" i="26" s="1"/>
  <c r="G15" i="29" s="1"/>
  <c r="G21" i="29" s="1"/>
  <c r="L15" i="26"/>
  <c r="D15" i="26"/>
  <c r="E17" i="26"/>
  <c r="K15" i="26"/>
  <c r="L17" i="26"/>
  <c r="D17" i="26"/>
  <c r="D37" i="26" s="1"/>
  <c r="E16" i="26"/>
  <c r="E36" i="26" s="1"/>
  <c r="E15" i="29" s="1"/>
  <c r="E21" i="29" s="1"/>
  <c r="F16" i="26"/>
  <c r="F36" i="26" s="1"/>
  <c r="F15" i="29" s="1"/>
  <c r="F21" i="29" s="1"/>
  <c r="J15" i="26"/>
  <c r="K17" i="26"/>
  <c r="L16" i="26"/>
  <c r="L36" i="26" s="1"/>
  <c r="L15" i="29" s="1"/>
  <c r="L21" i="29" s="1"/>
  <c r="D16" i="26"/>
  <c r="D36" i="26" s="1"/>
  <c r="D15" i="29" s="1"/>
  <c r="D21" i="29" s="1"/>
  <c r="I15" i="26"/>
  <c r="H15" i="26"/>
  <c r="I17" i="26"/>
  <c r="J16" i="26"/>
  <c r="J36" i="26" s="1"/>
  <c r="J15" i="29" s="1"/>
  <c r="J21" i="29" s="1"/>
  <c r="E15" i="26"/>
  <c r="J17" i="26"/>
  <c r="C15" i="26"/>
  <c r="E18" i="26" l="1"/>
  <c r="E35" i="26"/>
  <c r="E14" i="29" s="1"/>
  <c r="E20" i="29" s="1"/>
  <c r="G18" i="26"/>
  <c r="G35" i="26"/>
  <c r="G14" i="29" s="1"/>
  <c r="G20" i="29" s="1"/>
  <c r="J18" i="26"/>
  <c r="J35" i="26"/>
  <c r="J14" i="29" s="1"/>
  <c r="J20" i="29" s="1"/>
  <c r="L18" i="26"/>
  <c r="L35" i="26"/>
  <c r="L14" i="29" s="1"/>
  <c r="L20" i="29" s="1"/>
  <c r="C16" i="29"/>
  <c r="C38" i="26"/>
  <c r="D16" i="29"/>
  <c r="D38" i="26"/>
  <c r="D18" i="26"/>
  <c r="D35" i="26"/>
  <c r="D14" i="29" s="1"/>
  <c r="D20" i="29" s="1"/>
  <c r="F18" i="26"/>
  <c r="F35" i="26"/>
  <c r="F14" i="29" s="1"/>
  <c r="F20" i="29" s="1"/>
  <c r="H18" i="26"/>
  <c r="H35" i="26"/>
  <c r="H14" i="29" s="1"/>
  <c r="H20" i="29" s="1"/>
  <c r="I18" i="26"/>
  <c r="I35" i="26"/>
  <c r="I14" i="29" s="1"/>
  <c r="I20" i="29" s="1"/>
  <c r="K18" i="26"/>
  <c r="K35" i="26"/>
  <c r="K14" i="29" s="1"/>
  <c r="K20" i="29" s="1"/>
  <c r="E30" i="26"/>
  <c r="D31" i="26"/>
  <c r="C18" i="26"/>
  <c r="C35" i="26"/>
  <c r="C14" i="29" s="1"/>
  <c r="C20" i="29" s="1"/>
  <c r="D4" i="24" l="1"/>
  <c r="E4" i="31"/>
  <c r="D22" i="29"/>
  <c r="D23" i="29" s="1"/>
  <c r="D17" i="29"/>
  <c r="D4" i="31"/>
  <c r="C4" i="24"/>
  <c r="F30" i="26"/>
  <c r="E31" i="26"/>
  <c r="E37" i="26"/>
  <c r="C22" i="29"/>
  <c r="C23" i="29" s="1"/>
  <c r="C17" i="29"/>
  <c r="E5" i="31" l="1"/>
  <c r="D5" i="24"/>
  <c r="G30" i="26"/>
  <c r="F31" i="26"/>
  <c r="F37" i="26"/>
  <c r="D5" i="31"/>
  <c r="C5" i="24"/>
  <c r="C7" i="24" s="1"/>
  <c r="C9" i="24" s="1"/>
  <c r="E16" i="29"/>
  <c r="E38" i="26"/>
  <c r="D7" i="24"/>
  <c r="D9" i="24" s="1"/>
  <c r="C10" i="24" l="1"/>
  <c r="D6" i="31" s="1"/>
  <c r="D8" i="31" s="1"/>
  <c r="D12" i="31" s="1"/>
  <c r="D10" i="24"/>
  <c r="E6" i="31" s="1"/>
  <c r="E8" i="31" s="1"/>
  <c r="E12" i="31" s="1"/>
  <c r="F16" i="29"/>
  <c r="F38" i="26"/>
  <c r="H30" i="26"/>
  <c r="G31" i="26"/>
  <c r="G37" i="26"/>
  <c r="E4" i="24"/>
  <c r="F4" i="31"/>
  <c r="E22" i="29"/>
  <c r="E23" i="29" s="1"/>
  <c r="E17" i="29"/>
  <c r="D11" i="24" l="1"/>
  <c r="C11" i="24"/>
  <c r="I30" i="26"/>
  <c r="H31" i="26"/>
  <c r="H37" i="26"/>
  <c r="F4" i="24"/>
  <c r="G4" i="31"/>
  <c r="F17" i="29"/>
  <c r="F22" i="29"/>
  <c r="F23" i="29" s="1"/>
  <c r="F8" i="30"/>
  <c r="E18" i="23"/>
  <c r="F5" i="31"/>
  <c r="E5" i="24"/>
  <c r="E7" i="24"/>
  <c r="E9" i="24" s="1"/>
  <c r="G16" i="29"/>
  <c r="G38" i="26"/>
  <c r="D18" i="23"/>
  <c r="D19" i="23" s="1"/>
  <c r="E8" i="30"/>
  <c r="E19" i="23" l="1"/>
  <c r="D11" i="31"/>
  <c r="D17" i="25"/>
  <c r="J30" i="26"/>
  <c r="I31" i="26"/>
  <c r="I37" i="26"/>
  <c r="G5" i="31"/>
  <c r="F5" i="24"/>
  <c r="F7" i="24" s="1"/>
  <c r="F9" i="24" s="1"/>
  <c r="G22" i="29"/>
  <c r="G23" i="29" s="1"/>
  <c r="G17" i="29"/>
  <c r="E10" i="30"/>
  <c r="E12" i="30"/>
  <c r="E14" i="30" s="1"/>
  <c r="H4" i="31"/>
  <c r="G4" i="24"/>
  <c r="H16" i="29"/>
  <c r="H38" i="26"/>
  <c r="F10" i="30"/>
  <c r="F12" i="30"/>
  <c r="F14" i="30" s="1"/>
  <c r="E10" i="24"/>
  <c r="F6" i="31" s="1"/>
  <c r="F8" i="31" s="1"/>
  <c r="F12" i="31" s="1"/>
  <c r="F10" i="24" l="1"/>
  <c r="G6" i="31" s="1"/>
  <c r="G8" i="31" s="1"/>
  <c r="G12" i="31" s="1"/>
  <c r="F18" i="23"/>
  <c r="F19" i="23" s="1"/>
  <c r="G8" i="30"/>
  <c r="K30" i="26"/>
  <c r="J31" i="26"/>
  <c r="J37" i="26"/>
  <c r="D18" i="25"/>
  <c r="D20" i="25" s="1"/>
  <c r="H22" i="29"/>
  <c r="H23" i="29" s="1"/>
  <c r="H17" i="29"/>
  <c r="I16" i="29"/>
  <c r="I38" i="26"/>
  <c r="E11" i="24"/>
  <c r="H4" i="24"/>
  <c r="I4" i="31"/>
  <c r="H5" i="31"/>
  <c r="G5" i="24"/>
  <c r="G7" i="24" s="1"/>
  <c r="G9" i="24" s="1"/>
  <c r="E11" i="31"/>
  <c r="E17" i="25"/>
  <c r="F11" i="24" l="1"/>
  <c r="D21" i="25"/>
  <c r="D33" i="25" s="1"/>
  <c r="D35" i="25" s="1"/>
  <c r="D37" i="25" s="1"/>
  <c r="D39" i="25" s="1"/>
  <c r="G10" i="24"/>
  <c r="H6" i="31" s="1"/>
  <c r="H8" i="31" s="1"/>
  <c r="H12" i="31" s="1"/>
  <c r="J16" i="29"/>
  <c r="J38" i="26"/>
  <c r="L30" i="26"/>
  <c r="K31" i="26"/>
  <c r="K37" i="26"/>
  <c r="E18" i="25"/>
  <c r="E20" i="25" s="1"/>
  <c r="I22" i="29"/>
  <c r="I23" i="29" s="1"/>
  <c r="I17" i="29"/>
  <c r="G10" i="30"/>
  <c r="G12" i="30"/>
  <c r="G14" i="30" s="1"/>
  <c r="F17" i="25"/>
  <c r="F11" i="31"/>
  <c r="H5" i="24"/>
  <c r="H7" i="24" s="1"/>
  <c r="H9" i="24" s="1"/>
  <c r="I5" i="31"/>
  <c r="I4" i="24"/>
  <c r="J4" i="31"/>
  <c r="H8" i="30"/>
  <c r="G18" i="23"/>
  <c r="G19" i="23" s="1"/>
  <c r="D22" i="25" l="1"/>
  <c r="G11" i="24"/>
  <c r="K16" i="29"/>
  <c r="K38" i="26"/>
  <c r="L31" i="26"/>
  <c r="L37" i="26"/>
  <c r="F18" i="25"/>
  <c r="F20" i="25" s="1"/>
  <c r="J4" i="24"/>
  <c r="K4" i="31"/>
  <c r="G17" i="25"/>
  <c r="G11" i="31"/>
  <c r="H10" i="30"/>
  <c r="H12" i="30"/>
  <c r="H14" i="30" s="1"/>
  <c r="J22" i="29"/>
  <c r="J23" i="29" s="1"/>
  <c r="J17" i="29"/>
  <c r="H10" i="24"/>
  <c r="I6" i="31" s="1"/>
  <c r="I8" i="31" s="1"/>
  <c r="I12" i="31" s="1"/>
  <c r="I5" i="24"/>
  <c r="I7" i="24" s="1"/>
  <c r="I9" i="24" s="1"/>
  <c r="J5" i="31"/>
  <c r="E21" i="25"/>
  <c r="E22" i="25" s="1"/>
  <c r="H18" i="23"/>
  <c r="H19" i="23" s="1"/>
  <c r="I8" i="30"/>
  <c r="E33" i="25" l="1"/>
  <c r="E35" i="25" s="1"/>
  <c r="E37" i="25" s="1"/>
  <c r="E39" i="25" s="1"/>
  <c r="F21" i="25"/>
  <c r="F22" i="25" s="1"/>
  <c r="I18" i="23"/>
  <c r="I19" i="23" s="1"/>
  <c r="J8" i="30"/>
  <c r="I10" i="30"/>
  <c r="I12" i="30"/>
  <c r="I14" i="30" s="1"/>
  <c r="J5" i="24"/>
  <c r="J7" i="24" s="1"/>
  <c r="J9" i="24" s="1"/>
  <c r="K5" i="31"/>
  <c r="L4" i="31"/>
  <c r="K4" i="24"/>
  <c r="H17" i="25"/>
  <c r="H11" i="31"/>
  <c r="I10" i="24"/>
  <c r="J6" i="31" s="1"/>
  <c r="J8" i="31" s="1"/>
  <c r="J12" i="31" s="1"/>
  <c r="L16" i="29"/>
  <c r="L38" i="26"/>
  <c r="H11" i="24"/>
  <c r="G18" i="25"/>
  <c r="G20" i="25" s="1"/>
  <c r="K22" i="29"/>
  <c r="K23" i="29" s="1"/>
  <c r="K17" i="29"/>
  <c r="G21" i="25" l="1"/>
  <c r="G33" i="25" s="1"/>
  <c r="G35" i="25" s="1"/>
  <c r="G37" i="25" s="1"/>
  <c r="G39" i="25" s="1"/>
  <c r="F33" i="25"/>
  <c r="F35" i="25" s="1"/>
  <c r="F37" i="25" s="1"/>
  <c r="F39" i="25" s="1"/>
  <c r="I11" i="24"/>
  <c r="J10" i="24"/>
  <c r="K6" i="31" s="1"/>
  <c r="K8" i="31" s="1"/>
  <c r="K12" i="31" s="1"/>
  <c r="J18" i="23"/>
  <c r="J19" i="23" s="1"/>
  <c r="K8" i="30"/>
  <c r="M4" i="31"/>
  <c r="L4" i="24"/>
  <c r="L22" i="29"/>
  <c r="L23" i="29" s="1"/>
  <c r="L17" i="29"/>
  <c r="L5" i="31"/>
  <c r="K5" i="24"/>
  <c r="K7" i="24" s="1"/>
  <c r="K9" i="24" s="1"/>
  <c r="J10" i="30"/>
  <c r="J12" i="30"/>
  <c r="J14" i="30" s="1"/>
  <c r="H18" i="25"/>
  <c r="H20" i="25" s="1"/>
  <c r="I17" i="25"/>
  <c r="I11" i="31"/>
  <c r="G22" i="25" l="1"/>
  <c r="J11" i="24"/>
  <c r="K10" i="24"/>
  <c r="L6" i="31" s="1"/>
  <c r="L8" i="31" s="1"/>
  <c r="L12" i="31" s="1"/>
  <c r="M5" i="31"/>
  <c r="L5" i="24"/>
  <c r="L7" i="24" s="1"/>
  <c r="L9" i="24" s="1"/>
  <c r="H21" i="25"/>
  <c r="H22" i="25" s="1"/>
  <c r="K10" i="30"/>
  <c r="K12" i="30"/>
  <c r="K14" i="30" s="1"/>
  <c r="J17" i="25"/>
  <c r="J11" i="31"/>
  <c r="I18" i="25"/>
  <c r="I20" i="25" s="1"/>
  <c r="K18" i="23"/>
  <c r="K19" i="23" s="1"/>
  <c r="L8" i="30"/>
  <c r="K11" i="24" l="1"/>
  <c r="H33" i="25"/>
  <c r="H35" i="25" s="1"/>
  <c r="H37" i="25" s="1"/>
  <c r="H39" i="25" s="1"/>
  <c r="L10" i="24"/>
  <c r="M6" i="31" s="1"/>
  <c r="M8" i="31" s="1"/>
  <c r="M12" i="31" s="1"/>
  <c r="K11" i="31"/>
  <c r="K17" i="25"/>
  <c r="L10" i="30"/>
  <c r="L12" i="30"/>
  <c r="L14" i="30" s="1"/>
  <c r="L18" i="23"/>
  <c r="L19" i="23" s="1"/>
  <c r="M8" i="30"/>
  <c r="I21" i="25"/>
  <c r="I33" i="25" s="1"/>
  <c r="I35" i="25" s="1"/>
  <c r="I37" i="25" s="1"/>
  <c r="I39" i="25" s="1"/>
  <c r="J18" i="25"/>
  <c r="J20" i="25" s="1"/>
  <c r="L11" i="24" l="1"/>
  <c r="M10" i="30"/>
  <c r="M12" i="30"/>
  <c r="M14" i="30" s="1"/>
  <c r="L17" i="25"/>
  <c r="L11" i="31"/>
  <c r="K18" i="25"/>
  <c r="K20" i="25" s="1"/>
  <c r="J21" i="25"/>
  <c r="J22" i="25" s="1"/>
  <c r="I22" i="25"/>
  <c r="N8" i="30"/>
  <c r="M18" i="23"/>
  <c r="M19" i="23" s="1"/>
  <c r="J33" i="25" l="1"/>
  <c r="J35" i="25" s="1"/>
  <c r="J37" i="25" s="1"/>
  <c r="J39" i="25" s="1"/>
  <c r="K21" i="25"/>
  <c r="K22" i="25" s="1"/>
  <c r="N10" i="30"/>
  <c r="D18" i="30" s="1"/>
  <c r="D22" i="30" s="1"/>
  <c r="N12" i="30"/>
  <c r="N14" i="30" s="1"/>
  <c r="D16" i="30" s="1"/>
  <c r="M11" i="31"/>
  <c r="M17" i="25"/>
  <c r="L18" i="25"/>
  <c r="L20" i="25" s="1"/>
  <c r="L21" i="25" l="1"/>
  <c r="L22" i="25" s="1"/>
  <c r="M18" i="25"/>
  <c r="M20" i="25" s="1"/>
  <c r="K33" i="25"/>
  <c r="K35" i="25" s="1"/>
  <c r="K37" i="25" s="1"/>
  <c r="K39" i="25" s="1"/>
  <c r="L33" i="25" l="1"/>
  <c r="L35" i="25" s="1"/>
  <c r="L37" i="25" s="1"/>
  <c r="L39" i="25" s="1"/>
  <c r="M21" i="25"/>
  <c r="M22" i="25" s="1"/>
  <c r="M33" i="25" l="1"/>
  <c r="M35" i="25" s="1"/>
  <c r="M37" i="25" s="1"/>
  <c r="M39" i="25" s="1"/>
</calcChain>
</file>

<file path=xl/sharedStrings.xml><?xml version="1.0" encoding="utf-8"?>
<sst xmlns="http://schemas.openxmlformats.org/spreadsheetml/2006/main" count="200" uniqueCount="118">
  <si>
    <t>Base case</t>
  </si>
  <si>
    <t>Best case</t>
  </si>
  <si>
    <t>Worst case</t>
  </si>
  <si>
    <t>Expected long-term inflation Italy</t>
  </si>
  <si>
    <t>Estimated initial investment (in EUR)</t>
  </si>
  <si>
    <t>Useful life (years)</t>
  </si>
  <si>
    <t>Selected case</t>
  </si>
  <si>
    <t>Drivers</t>
  </si>
  <si>
    <t xml:space="preserve"> </t>
  </si>
  <si>
    <t>Financing facilities</t>
  </si>
  <si>
    <t>Inflation</t>
  </si>
  <si>
    <t>Interest rate Senior Facility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</si>
  <si>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</si>
  <si>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</si>
  <si>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</si>
  <si>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</si>
  <si>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</si>
  <si>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</si>
  <si>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Comparable companies</t>
  </si>
  <si>
    <t>Company A</t>
  </si>
  <si>
    <t>Beta</t>
  </si>
  <si>
    <t>Company B</t>
  </si>
  <si>
    <t>Company C</t>
  </si>
  <si>
    <t>Leverage (D/E)</t>
  </si>
  <si>
    <t>Price per MWh (EUR)</t>
  </si>
  <si>
    <t>Senior Facility (million EUR)</t>
  </si>
  <si>
    <t>Repayment schedule</t>
  </si>
  <si>
    <t>Company X beta</t>
  </si>
  <si>
    <t>Market risk premium</t>
  </si>
  <si>
    <t>Risk-free rate</t>
  </si>
  <si>
    <t>Installed capacity (MW)</t>
  </si>
  <si>
    <t>Capacity factor</t>
  </si>
  <si>
    <t>Hours per day</t>
  </si>
  <si>
    <t>Days in one year</t>
  </si>
  <si>
    <t>Capex after year 1</t>
  </si>
  <si>
    <t>Opex as a % of Revenue</t>
  </si>
  <si>
    <t>Workings --&gt;</t>
  </si>
  <si>
    <t>Savings forecast</t>
  </si>
  <si>
    <t>Productivity (as a %)</t>
  </si>
  <si>
    <t>Energy Production MWh</t>
  </si>
  <si>
    <t>Revenue (EUR)</t>
  </si>
  <si>
    <t>Price per MWh</t>
  </si>
  <si>
    <t>Opex</t>
  </si>
  <si>
    <t>Best Case</t>
  </si>
  <si>
    <t>Base Case</t>
  </si>
  <si>
    <t>Worst Case</t>
  </si>
  <si>
    <t>Revenue</t>
  </si>
  <si>
    <t>Selected Case</t>
  </si>
  <si>
    <t>Fixed Asset Roll-Forward</t>
  </si>
  <si>
    <t>Investment Plan</t>
  </si>
  <si>
    <t>Year 1</t>
  </si>
  <si>
    <t>in EUR</t>
  </si>
  <si>
    <t>Beginning PP&amp;E</t>
  </si>
  <si>
    <t>Capex</t>
  </si>
  <si>
    <t>D&amp;A</t>
  </si>
  <si>
    <t>Ending PP&amp;E</t>
  </si>
  <si>
    <t>D&amp;A Schedule (in 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</si>
  <si>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</si>
  <si>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</si>
  <si>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</si>
  <si>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</si>
  <si>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</si>
  <si>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</si>
  <si>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</si>
  <si>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</si>
  <si>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</si>
  <si>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</si>
  <si>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</si>
  <si>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Financing</t>
  </si>
  <si>
    <t>Invsetment in Year 0</t>
  </si>
  <si>
    <t>Beginning Debt</t>
  </si>
  <si>
    <t>Repayment</t>
  </si>
  <si>
    <t>Ending Debt</t>
  </si>
  <si>
    <t>Interest Expense</t>
  </si>
  <si>
    <t>Net Cash Flow</t>
  </si>
  <si>
    <t>Equity Financing</t>
  </si>
  <si>
    <t>Cash Flow</t>
  </si>
  <si>
    <t>Taxes</t>
  </si>
  <si>
    <t>Operating Cash Flow</t>
  </si>
  <si>
    <t>Debt Repayment</t>
  </si>
  <si>
    <t xml:space="preserve">Increase of Equity </t>
  </si>
  <si>
    <t>Residual Value</t>
  </si>
  <si>
    <t>P&amp;L</t>
  </si>
  <si>
    <t>EBIT</t>
  </si>
  <si>
    <t>EBT</t>
  </si>
  <si>
    <t>Net Income</t>
  </si>
  <si>
    <t>WACC</t>
  </si>
  <si>
    <t>Cost of Debt</t>
  </si>
  <si>
    <t xml:space="preserve">Risk Free Rate </t>
  </si>
  <si>
    <t>Tax Rate</t>
  </si>
  <si>
    <t xml:space="preserve">Market Risk Premium </t>
  </si>
  <si>
    <t>Debt Financing</t>
  </si>
  <si>
    <t>Total Financing</t>
  </si>
  <si>
    <t>Debt Financing %</t>
  </si>
  <si>
    <t>Equity Financing %</t>
  </si>
  <si>
    <t>Total Financing %</t>
  </si>
  <si>
    <t>Comparable Companies:</t>
  </si>
  <si>
    <t>Average Leverage (D/E) :</t>
  </si>
  <si>
    <t xml:space="preserve">Average Beta: </t>
  </si>
  <si>
    <t>Project Beta:</t>
  </si>
  <si>
    <t>Debt/Equity</t>
  </si>
  <si>
    <t>Beta Unlevered</t>
  </si>
  <si>
    <t>Project Beta</t>
  </si>
  <si>
    <t xml:space="preserve">Cost of Equity: </t>
  </si>
  <si>
    <t>Company  Beta</t>
  </si>
  <si>
    <t>Discounted Cash Flows</t>
  </si>
  <si>
    <t>Residual value</t>
  </si>
  <si>
    <t>Net Cash Flow with Residual Value</t>
  </si>
  <si>
    <t>Cost of equity</t>
  </si>
  <si>
    <t>Discounted Cash Flow</t>
  </si>
  <si>
    <t>Present Value Residual Value</t>
  </si>
  <si>
    <t>Discounted Cash Flow with Residual Value</t>
  </si>
  <si>
    <t>Discounted Cash Flows (NPV)</t>
  </si>
  <si>
    <t>*</t>
  </si>
  <si>
    <t>IRR</t>
  </si>
  <si>
    <t>Sensitivity analysis</t>
  </si>
  <si>
    <t>I will create a capital budgeting model that uses the inputs listed below. I will calculate the project's feasibility in terms of NPV, IRR, and perform a sensitivity analysis.</t>
  </si>
  <si>
    <t>I will assume the company has a IRR hurdle rate of 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</si>
</sst>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8" formatCode="0.000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11"/>
      <color rgb="FF002060"/>
      <name val="Arial"/>
      <family val="2"/>
    </font>
    <font>
      <sz val="9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b/>
      <sz val="9"/>
      <color rgb="FF7030A0"/>
      <name val="Arial"/>
      <family val="2"/>
    </font>
    <font>
      <sz val="9"/>
      <color theme="5"/>
      <name val="Arial"/>
      <family val="2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4" fillId="2" borderId="0" xfId="0" applyFont="1" applyFill="1"/>
    <xf numFmtId="164" fontId="3" fillId="2" borderId="0" xfId="1" applyNumberFormat="1" applyFont="1" applyFill="1"/>
    <xf numFmtId="0" fontId="7" fillId="3" borderId="0" xfId="0" applyFont="1" applyFill="1"/>
    <xf numFmtId="0" fontId="6" fillId="2" borderId="0" xfId="0" applyFont="1" applyFill="1" applyBorder="1"/>
    <xf numFmtId="164" fontId="3" fillId="2" borderId="0" xfId="1" applyNumberFormat="1" applyFont="1" applyFill="1" applyBorder="1"/>
    <xf numFmtId="9" fontId="3" fillId="2" borderId="0" xfId="0" applyNumberFormat="1" applyFont="1" applyFill="1" applyAlignment="1">
      <alignment horizontal="right"/>
    </xf>
    <xf numFmtId="9" fontId="3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2" fillId="2" borderId="0" xfId="0" applyFont="1" applyFill="1" applyBorder="1"/>
    <xf numFmtId="2" fontId="3" fillId="2" borderId="0" xfId="0" applyNumberFormat="1" applyFont="1" applyFill="1"/>
    <xf numFmtId="165" fontId="3" fillId="2" borderId="0" xfId="0" applyNumberFormat="1" applyFont="1" applyFill="1"/>
    <xf numFmtId="9" fontId="3" fillId="2" borderId="0" xfId="2" applyFont="1" applyFill="1"/>
    <xf numFmtId="0" fontId="5" fillId="2" borderId="2" xfId="0" applyFont="1" applyFill="1" applyBorder="1"/>
    <xf numFmtId="164" fontId="5" fillId="2" borderId="2" xfId="1" applyNumberFormat="1" applyFont="1" applyFill="1" applyBorder="1"/>
    <xf numFmtId="164" fontId="5" fillId="2" borderId="0" xfId="1" applyNumberFormat="1" applyFont="1" applyFill="1" applyBorder="1"/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14" fillId="2" borderId="3" xfId="0" applyFont="1" applyFill="1" applyBorder="1"/>
    <xf numFmtId="0" fontId="15" fillId="2" borderId="0" xfId="0" applyFont="1" applyFill="1"/>
    <xf numFmtId="0" fontId="16" fillId="2" borderId="0" xfId="0" applyFont="1" applyFill="1"/>
    <xf numFmtId="0" fontId="17" fillId="2" borderId="3" xfId="0" applyFont="1" applyFill="1" applyBorder="1"/>
    <xf numFmtId="9" fontId="15" fillId="2" borderId="0" xfId="0" applyNumberFormat="1" applyFont="1" applyFill="1"/>
    <xf numFmtId="43" fontId="15" fillId="2" borderId="0" xfId="1" applyFont="1" applyFill="1"/>
    <xf numFmtId="164" fontId="15" fillId="2" borderId="0" xfId="1" applyNumberFormat="1" applyFont="1" applyFill="1"/>
    <xf numFmtId="0" fontId="17" fillId="2" borderId="3" xfId="0" applyFont="1" applyFill="1" applyBorder="1" applyAlignment="1">
      <alignment horizontal="right"/>
    </xf>
    <xf numFmtId="0" fontId="17" fillId="2" borderId="0" xfId="0" applyFont="1" applyFill="1"/>
    <xf numFmtId="0" fontId="17" fillId="2" borderId="2" xfId="0" applyFont="1" applyFill="1" applyBorder="1"/>
    <xf numFmtId="164" fontId="17" fillId="2" borderId="2" xfId="1" applyNumberFormat="1" applyFont="1" applyFill="1" applyBorder="1"/>
    <xf numFmtId="0" fontId="18" fillId="2" borderId="0" xfId="0" applyFont="1" applyFill="1"/>
    <xf numFmtId="0" fontId="11" fillId="2" borderId="0" xfId="0" applyFont="1" applyFill="1"/>
    <xf numFmtId="0" fontId="20" fillId="2" borderId="0" xfId="0" applyFont="1" applyFill="1"/>
    <xf numFmtId="0" fontId="21" fillId="2" borderId="0" xfId="0" applyFont="1" applyFill="1"/>
    <xf numFmtId="9" fontId="15" fillId="2" borderId="0" xfId="2" applyFont="1" applyFill="1"/>
    <xf numFmtId="0" fontId="19" fillId="2" borderId="4" xfId="0" applyFont="1" applyFill="1" applyBorder="1"/>
    <xf numFmtId="0" fontId="17" fillId="2" borderId="5" xfId="0" applyFont="1" applyFill="1" applyBorder="1"/>
    <xf numFmtId="164" fontId="15" fillId="2" borderId="5" xfId="1" applyNumberFormat="1" applyFont="1" applyFill="1" applyBorder="1"/>
    <xf numFmtId="164" fontId="15" fillId="2" borderId="0" xfId="0" applyNumberFormat="1" applyFont="1" applyFill="1"/>
    <xf numFmtId="164" fontId="17" fillId="2" borderId="5" xfId="0" applyNumberFormat="1" applyFont="1" applyFill="1" applyBorder="1"/>
    <xf numFmtId="164" fontId="10" fillId="3" borderId="0" xfId="1" applyNumberFormat="1" applyFont="1" applyFill="1"/>
    <xf numFmtId="43" fontId="3" fillId="2" borderId="0" xfId="1" applyFont="1" applyFill="1"/>
    <xf numFmtId="164" fontId="3" fillId="2" borderId="0" xfId="1" applyNumberFormat="1" applyFont="1" applyFill="1" applyAlignment="1">
      <alignment horizontal="right"/>
    </xf>
    <xf numFmtId="0" fontId="11" fillId="2" borderId="4" xfId="0" applyFont="1" applyFill="1" applyBorder="1"/>
    <xf numFmtId="0" fontId="11" fillId="2" borderId="2" xfId="0" applyFont="1" applyFill="1" applyBorder="1"/>
    <xf numFmtId="164" fontId="0" fillId="2" borderId="0" xfId="0" applyNumberFormat="1" applyFill="1"/>
    <xf numFmtId="164" fontId="0" fillId="2" borderId="2" xfId="0" applyNumberFormat="1" applyFill="1" applyBorder="1"/>
    <xf numFmtId="164" fontId="0" fillId="2" borderId="0" xfId="1" applyNumberFormat="1" applyFont="1" applyFill="1"/>
    <xf numFmtId="164" fontId="0" fillId="2" borderId="2" xfId="1" applyNumberFormat="1" applyFont="1" applyFill="1" applyBorder="1"/>
    <xf numFmtId="0" fontId="19" fillId="2" borderId="2" xfId="0" applyFont="1" applyFill="1" applyBorder="1"/>
    <xf numFmtId="0" fontId="19" fillId="2" borderId="5" xfId="0" applyFont="1" applyFill="1" applyBorder="1"/>
    <xf numFmtId="43" fontId="20" fillId="2" borderId="0" xfId="1" applyFont="1" applyFill="1"/>
    <xf numFmtId="164" fontId="20" fillId="2" borderId="0" xfId="1" applyNumberFormat="1" applyFont="1" applyFill="1"/>
    <xf numFmtId="43" fontId="19" fillId="2" borderId="2" xfId="1" applyFont="1" applyFill="1" applyBorder="1"/>
    <xf numFmtId="0" fontId="22" fillId="2" borderId="0" xfId="0" applyFont="1" applyFill="1"/>
    <xf numFmtId="164" fontId="22" fillId="2" borderId="0" xfId="1" applyNumberFormat="1" applyFont="1" applyFill="1"/>
    <xf numFmtId="0" fontId="23" fillId="2" borderId="0" xfId="0" applyFont="1" applyFill="1"/>
    <xf numFmtId="164" fontId="19" fillId="2" borderId="2" xfId="1" applyNumberFormat="1" applyFont="1" applyFill="1" applyBorder="1"/>
    <xf numFmtId="164" fontId="24" fillId="2" borderId="5" xfId="1" applyNumberFormat="1" applyFont="1" applyFill="1" applyBorder="1"/>
    <xf numFmtId="164" fontId="20" fillId="2" borderId="2" xfId="0" applyNumberFormat="1" applyFont="1" applyFill="1" applyBorder="1"/>
    <xf numFmtId="164" fontId="17" fillId="2" borderId="2" xfId="0" applyNumberFormat="1" applyFont="1" applyFill="1" applyBorder="1"/>
    <xf numFmtId="0" fontId="25" fillId="2" borderId="0" xfId="0" applyFont="1" applyFill="1"/>
    <xf numFmtId="164" fontId="25" fillId="2" borderId="0" xfId="1" applyNumberFormat="1" applyFont="1" applyFill="1"/>
    <xf numFmtId="43" fontId="19" fillId="2" borderId="5" xfId="0" applyNumberFormat="1" applyFont="1" applyFill="1" applyBorder="1"/>
    <xf numFmtId="164" fontId="19" fillId="2" borderId="5" xfId="0" applyNumberFormat="1" applyFont="1" applyFill="1" applyBorder="1"/>
    <xf numFmtId="164" fontId="23" fillId="2" borderId="0" xfId="0" applyNumberFormat="1" applyFont="1" applyFill="1"/>
    <xf numFmtId="164" fontId="13" fillId="2" borderId="0" xfId="1" applyNumberFormat="1" applyFont="1" applyFill="1"/>
    <xf numFmtId="165" fontId="15" fillId="2" borderId="0" xfId="2" applyNumberFormat="1" applyFont="1" applyFill="1"/>
    <xf numFmtId="164" fontId="17" fillId="2" borderId="0" xfId="1" applyNumberFormat="1" applyFont="1" applyFill="1"/>
    <xf numFmtId="164" fontId="19" fillId="2" borderId="4" xfId="1" applyNumberFormat="1" applyFont="1" applyFill="1" applyBorder="1"/>
    <xf numFmtId="49" fontId="19" fillId="2" borderId="4" xfId="1" applyNumberFormat="1" applyFont="1" applyFill="1" applyBorder="1" applyAlignment="1">
      <alignment horizontal="right"/>
    </xf>
    <xf numFmtId="164" fontId="17" fillId="2" borderId="5" xfId="1" applyNumberFormat="1" applyFont="1" applyFill="1" applyBorder="1"/>
    <xf numFmtId="9" fontId="17" fillId="2" borderId="2" xfId="2" applyFont="1" applyFill="1" applyBorder="1"/>
    <xf numFmtId="43" fontId="15" fillId="2" borderId="0" xfId="1" applyNumberFormat="1" applyFont="1" applyFill="1"/>
    <xf numFmtId="43" fontId="17" fillId="2" borderId="2" xfId="1" applyFont="1" applyFill="1" applyBorder="1"/>
    <xf numFmtId="165" fontId="15" fillId="2" borderId="5" xfId="2" applyNumberFormat="1" applyFont="1" applyFill="1" applyBorder="1"/>
    <xf numFmtId="0" fontId="1" fillId="2" borderId="0" xfId="0" applyFont="1" applyFill="1"/>
    <xf numFmtId="164" fontId="3" fillId="2" borderId="0" xfId="1" applyNumberFormat="1" applyFont="1" applyFill="1" applyBorder="1" applyAlignment="1">
      <alignment horizontal="left"/>
    </xf>
    <xf numFmtId="165" fontId="3" fillId="2" borderId="0" xfId="2" applyNumberFormat="1" applyFont="1" applyFill="1" applyBorder="1"/>
    <xf numFmtId="164" fontId="3" fillId="2" borderId="2" xfId="1" applyNumberFormat="1" applyFont="1" applyFill="1" applyBorder="1"/>
    <xf numFmtId="0" fontId="5" fillId="2" borderId="0" xfId="0" applyFont="1" applyFill="1"/>
    <xf numFmtId="164" fontId="5" fillId="2" borderId="0" xfId="2" applyNumberFormat="1" applyFont="1" applyFill="1" applyBorder="1"/>
    <xf numFmtId="8" fontId="1" fillId="2" borderId="0" xfId="0" applyNumberFormat="1" applyFont="1" applyFill="1"/>
    <xf numFmtId="165" fontId="5" fillId="2" borderId="0" xfId="0" applyNumberFormat="1" applyFont="1" applyFill="1"/>
    <xf numFmtId="168" fontId="7" fillId="3" borderId="0" xfId="2" applyNumberFormat="1" applyFont="1" applyFill="1" applyAlignment="1">
      <alignment horizontal="center"/>
    </xf>
    <xf numFmtId="168" fontId="3" fillId="2" borderId="0" xfId="2" applyNumberFormat="1" applyFont="1" applyFill="1"/>
    <xf numFmtId="165" fontId="1" fillId="2" borderId="0" xfId="0" applyNumberFormat="1" applyFont="1" applyFill="1"/>
    <xf numFmtId="0" fontId="26" fillId="2" borderId="0" xfId="0" applyFont="1" applyFill="1" applyAlignment="1">
      <alignment horizontal="center"/>
    </xf>
    <xf numFmtId="165" fontId="1" fillId="2" borderId="0" xfId="2" applyNumberFormat="1" applyFont="1" applyFill="1"/>
    <xf numFmtId="164" fontId="1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11</xdr:row>
      <xdr:rowOff>152400</xdr:rowOff>
    </xdr:from>
    <xdr:to>
      <xdr:col>13</xdr:col>
      <xdr:colOff>409575</xdr:colOff>
      <xdr:row>15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5155CB-06A2-4496-A6E7-B2D8B0D1EA8A}"/>
            </a:ext>
          </a:extLst>
        </xdr:cNvPr>
        <xdr:cNvSpPr/>
      </xdr:nvSpPr>
      <xdr:spPr>
        <a:xfrm>
          <a:off x="3838574" y="1990725"/>
          <a:ext cx="6096001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Installed capacity (MW) x Capacity factor x Days in the year x Hours per day = Energy output (MWh)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15</xdr:row>
      <xdr:rowOff>133350</xdr:rowOff>
    </xdr:from>
    <xdr:to>
      <xdr:col>13</xdr:col>
      <xdr:colOff>409575</xdr:colOff>
      <xdr:row>27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1DE466A-A038-42E9-BC98-3C5257E674D3}"/>
            </a:ext>
          </a:extLst>
        </xdr:cNvPr>
        <xdr:cNvSpPr/>
      </xdr:nvSpPr>
      <xdr:spPr>
        <a:xfrm>
          <a:off x="5038725" y="2914650"/>
          <a:ext cx="7496175" cy="214312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5</xdr:col>
      <xdr:colOff>95250</xdr:colOff>
      <xdr:row>17</xdr:row>
      <xdr:rowOff>38099</xdr:rowOff>
    </xdr:from>
    <xdr:ext cx="6934200" cy="17515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CD8653-2A7B-4E62-800D-74B32A2F6194}"/>
            </a:ext>
          </a:extLst>
        </xdr:cNvPr>
        <xdr:cNvSpPr txBox="1"/>
      </xdr:nvSpPr>
      <xdr:spPr>
        <a:xfrm>
          <a:off x="5324475" y="3181349"/>
          <a:ext cx="6934200" cy="17515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chemeClr val="bg1"/>
              </a:solidFill>
            </a:rPr>
            <a:t>Recommendations:</a:t>
          </a:r>
        </a:p>
        <a:p>
          <a:endParaRPr lang="en-US" sz="1200" b="0">
            <a:solidFill>
              <a:schemeClr val="bg1"/>
            </a:solidFill>
          </a:endParaRPr>
        </a:p>
        <a:p>
          <a:r>
            <a:rPr lang="en-US" sz="1000" b="0">
              <a:solidFill>
                <a:schemeClr val="bg1"/>
              </a:solidFill>
            </a:rPr>
            <a:t>Based on the company IRR hurdle rate</a:t>
          </a:r>
          <a:r>
            <a:rPr lang="en-US" sz="1000" b="0" baseline="0">
              <a:solidFill>
                <a:schemeClr val="bg1"/>
              </a:solidFill>
            </a:rPr>
            <a:t> &gt; 11% and the NPVs,  It makes sense to proceed with the capital budgeting project under Scenario 1 and 3 and DOES NOT make sense to proceed under Scenario 2. </a:t>
          </a:r>
        </a:p>
        <a:p>
          <a:endParaRPr lang="en-US" sz="1000" b="0" baseline="0">
            <a:solidFill>
              <a:schemeClr val="bg1"/>
            </a:solidFill>
          </a:endParaRPr>
        </a:p>
        <a:p>
          <a:r>
            <a:rPr lang="en-US" sz="1000" b="0" baseline="0">
              <a:solidFill>
                <a:schemeClr val="bg1"/>
              </a:solidFill>
            </a:rPr>
            <a:t>That being said, Scenario 2 still presents a lucrative opportunity generating and the ability to generate $49.4M in cashflow but nowhere near the $100M+ opportunites under Scenario 1 and 3. </a:t>
          </a:r>
        </a:p>
        <a:p>
          <a:endParaRPr lang="en-US" sz="1000" b="0" baseline="0">
            <a:solidFill>
              <a:schemeClr val="bg1"/>
            </a:solidFill>
          </a:endParaRPr>
        </a:p>
        <a:p>
          <a:r>
            <a:rPr lang="en-US" sz="1000" b="0" baseline="0">
              <a:solidFill>
                <a:schemeClr val="bg1"/>
              </a:solidFill>
            </a:rPr>
            <a:t>Higher residual values of the intitial capital outlay may be possible if we can extend the useful life of assets thus generating a high enough IRR in scenario 2 to also be a viable option to move ahead with the project. </a:t>
          </a:r>
          <a:endParaRPr lang="en-US" sz="1000" b="0">
            <a:solidFill>
              <a:schemeClr val="bg1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pital%5eMbudgeting_sol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--&gt;"/>
      <sheetName val="Drivers"/>
      <sheetName val="Workings --&gt;"/>
      <sheetName val="Revenue"/>
      <sheetName val="Opex"/>
      <sheetName val="Fixed asset roll-forward"/>
      <sheetName val="Financing"/>
      <sheetName val="Cash Flow"/>
      <sheetName val="P&amp;L"/>
      <sheetName val="WACC"/>
      <sheetName val="Output --&gt;"/>
      <sheetName val="Discounted Cash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3">
          <cell r="D33">
            <v>5.1284683684794677E-2</v>
          </cell>
          <cell r="E33">
            <v>5.0483490566037736E-2</v>
          </cell>
          <cell r="F33">
            <v>4.8881104328523869E-2</v>
          </cell>
          <cell r="G33">
            <v>4.7278718091009996E-2</v>
          </cell>
          <cell r="H33">
            <v>4.5676331853496122E-2</v>
          </cell>
          <cell r="I33">
            <v>4.4073945615982241E-2</v>
          </cell>
          <cell r="J33">
            <v>4.2471559378468374E-2</v>
          </cell>
          <cell r="K33">
            <v>4.08691731409545E-2</v>
          </cell>
          <cell r="L33">
            <v>3.9266786903440626E-2</v>
          </cell>
          <cell r="M33">
            <v>3.7664400665926752E-2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B17"/>
  <sheetViews>
    <sheetView workbookViewId="0">
      <selection activeCell="J40" sqref="J40"/>
    </sheetView>
  </sheetViews>
  <sheetFormatPr defaultColWidth="9.1328125" defaultRowHeight="11.65" x14ac:dyDescent="0.35"/>
  <cols>
    <col min="1" max="1" width="2" style="10" customWidth="1"/>
    <col min="2" max="16384" width="9.1328125" style="10"/>
  </cols>
  <sheetData>
    <row r="17" spans="2:2" ht="50.25" x14ac:dyDescent="1.3">
      <c r="B17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60"/>
  <sheetViews>
    <sheetView workbookViewId="0">
      <selection activeCell="B5" sqref="B5"/>
    </sheetView>
  </sheetViews>
  <sheetFormatPr defaultColWidth="9.1328125" defaultRowHeight="11.65" x14ac:dyDescent="0.35"/>
  <cols>
    <col min="1" max="1" width="2" style="12" customWidth="1"/>
    <col min="2" max="2" width="35.73046875" style="12" bestFit="1" customWidth="1"/>
    <col min="3" max="3" width="12" style="12" bestFit="1" customWidth="1"/>
    <col min="4" max="4" width="10.86328125" style="12" customWidth="1"/>
    <col min="5" max="16384" width="9.1328125" style="12"/>
  </cols>
  <sheetData>
    <row r="1" spans="2:3" s="11" customFormat="1" ht="15" x14ac:dyDescent="0.4">
      <c r="B1" s="1" t="s">
        <v>7</v>
      </c>
    </row>
    <row r="2" spans="2:3" s="11" customFormat="1" ht="13.5" x14ac:dyDescent="0.35"/>
    <row r="3" spans="2:3" s="11" customFormat="1" ht="13.5" x14ac:dyDescent="0.35">
      <c r="B3" s="12" t="s">
        <v>116</v>
      </c>
    </row>
    <row r="4" spans="2:3" s="11" customFormat="1" ht="13.5" x14ac:dyDescent="0.35">
      <c r="B4" s="12" t="s">
        <v>117</v>
      </c>
    </row>
    <row r="5" spans="2:3" s="11" customFormat="1" ht="13.5" x14ac:dyDescent="0.35"/>
    <row r="6" spans="2:3" s="11" customFormat="1" ht="13.5" x14ac:dyDescent="0.35">
      <c r="B6" s="12" t="s">
        <v>6</v>
      </c>
      <c r="C6" s="3">
        <f>'Discounted Cash Flows'!C3</f>
        <v>2</v>
      </c>
    </row>
    <row r="7" spans="2:3" s="11" customFormat="1" ht="13.5" x14ac:dyDescent="0.35"/>
    <row r="8" spans="2:3" s="11" customFormat="1" ht="13.9" thickBot="1" x14ac:dyDescent="0.4">
      <c r="B8" s="14" t="s">
        <v>30</v>
      </c>
      <c r="C8" s="14"/>
    </row>
    <row r="9" spans="2:3" s="11" customFormat="1" ht="13.5" x14ac:dyDescent="0.35">
      <c r="B9" s="12" t="s">
        <v>1</v>
      </c>
      <c r="C9" s="12">
        <v>220</v>
      </c>
    </row>
    <row r="10" spans="2:3" s="11" customFormat="1" ht="13.5" x14ac:dyDescent="0.35">
      <c r="B10" s="12" t="s">
        <v>0</v>
      </c>
      <c r="C10" s="12">
        <v>200</v>
      </c>
    </row>
    <row r="11" spans="2:3" s="11" customFormat="1" ht="13.5" x14ac:dyDescent="0.35">
      <c r="B11" s="12" t="s">
        <v>2</v>
      </c>
      <c r="C11" s="12">
        <v>180</v>
      </c>
    </row>
    <row r="12" spans="2:3" s="11" customFormat="1" ht="13.5" x14ac:dyDescent="0.35">
      <c r="B12" s="12"/>
      <c r="C12" s="12"/>
    </row>
    <row r="13" spans="2:3" s="11" customFormat="1" ht="13.5" x14ac:dyDescent="0.35">
      <c r="B13" s="12" t="s">
        <v>31</v>
      </c>
      <c r="C13" s="20">
        <v>0.25</v>
      </c>
    </row>
    <row r="14" spans="2:3" s="11" customFormat="1" ht="13.5" x14ac:dyDescent="0.35">
      <c r="B14" s="12" t="s">
        <v>33</v>
      </c>
      <c r="C14" s="12">
        <v>365</v>
      </c>
    </row>
    <row r="15" spans="2:3" s="11" customFormat="1" ht="13.5" x14ac:dyDescent="0.35">
      <c r="B15" s="12" t="s">
        <v>32</v>
      </c>
      <c r="C15" s="12">
        <v>24</v>
      </c>
    </row>
    <row r="16" spans="2:3" s="11" customFormat="1" ht="13.5" x14ac:dyDescent="0.35"/>
    <row r="17" spans="2:7" s="11" customFormat="1" ht="13.9" thickBot="1" x14ac:dyDescent="0.4">
      <c r="B17" s="14" t="s">
        <v>10</v>
      </c>
      <c r="C17" s="14"/>
    </row>
    <row r="18" spans="2:7" s="11" customFormat="1" ht="13.5" x14ac:dyDescent="0.35">
      <c r="B18" s="12" t="s">
        <v>3</v>
      </c>
      <c r="C18" s="13">
        <v>0.01</v>
      </c>
    </row>
    <row r="19" spans="2:7" s="11" customFormat="1" ht="13.5" x14ac:dyDescent="0.35"/>
    <row r="20" spans="2:7" s="11" customFormat="1" ht="13.9" thickBot="1" x14ac:dyDescent="0.4">
      <c r="B20" s="14" t="s">
        <v>24</v>
      </c>
      <c r="C20" s="14"/>
      <c r="F20" s="4" t="s">
        <v>8</v>
      </c>
      <c r="G20" s="4"/>
    </row>
    <row r="21" spans="2:7" s="11" customFormat="1" ht="13.5" x14ac:dyDescent="0.35">
      <c r="B21" s="12" t="s">
        <v>1</v>
      </c>
      <c r="C21" s="2">
        <v>220</v>
      </c>
      <c r="F21" s="15"/>
      <c r="G21" s="5"/>
    </row>
    <row r="22" spans="2:7" s="11" customFormat="1" ht="13.5" x14ac:dyDescent="0.35">
      <c r="B22" s="12" t="s">
        <v>0</v>
      </c>
      <c r="C22" s="2">
        <v>210</v>
      </c>
      <c r="F22" s="15"/>
      <c r="G22" s="5"/>
    </row>
    <row r="23" spans="2:7" s="11" customFormat="1" ht="13.5" x14ac:dyDescent="0.35">
      <c r="B23" s="12" t="s">
        <v>2</v>
      </c>
      <c r="C23" s="2">
        <v>200</v>
      </c>
      <c r="F23" s="15"/>
      <c r="G23" s="5"/>
    </row>
    <row r="24" spans="2:7" s="11" customFormat="1" ht="13.5" x14ac:dyDescent="0.35">
      <c r="F24" s="15"/>
      <c r="G24" s="5"/>
    </row>
    <row r="25" spans="2:7" s="11" customFormat="1" ht="13.9" thickBot="1" x14ac:dyDescent="0.4">
      <c r="B25" s="14" t="s">
        <v>35</v>
      </c>
      <c r="C25" s="14"/>
      <c r="F25" s="15"/>
      <c r="G25" s="5"/>
    </row>
    <row r="26" spans="2:7" s="11" customFormat="1" ht="13.5" x14ac:dyDescent="0.35">
      <c r="B26" s="12" t="s">
        <v>1</v>
      </c>
      <c r="C26" s="13">
        <v>-0.15</v>
      </c>
      <c r="F26" s="15"/>
      <c r="G26" s="5"/>
    </row>
    <row r="27" spans="2:7" s="11" customFormat="1" ht="13.5" x14ac:dyDescent="0.35">
      <c r="B27" s="12" t="s">
        <v>0</v>
      </c>
      <c r="C27" s="13">
        <v>-0.16</v>
      </c>
      <c r="F27" s="15"/>
      <c r="G27" s="5"/>
    </row>
    <row r="28" spans="2:7" s="11" customFormat="1" ht="13.5" x14ac:dyDescent="0.35">
      <c r="B28" s="12" t="s">
        <v>2</v>
      </c>
      <c r="C28" s="13">
        <v>0.17</v>
      </c>
      <c r="F28" s="15"/>
      <c r="G28" s="5"/>
    </row>
    <row r="29" spans="2:7" s="11" customFormat="1" ht="13.5" x14ac:dyDescent="0.35">
      <c r="F29" s="15"/>
      <c r="G29" s="5"/>
    </row>
    <row r="30" spans="2:7" s="11" customFormat="1" ht="13.5" x14ac:dyDescent="0.35">
      <c r="F30" s="15"/>
      <c r="G30" s="5"/>
    </row>
    <row r="31" spans="2:7" s="11" customFormat="1" ht="13.5" x14ac:dyDescent="0.35">
      <c r="F31" s="15"/>
      <c r="G31" s="5"/>
    </row>
    <row r="32" spans="2:7" s="17" customFormat="1" ht="13.9" thickBot="1" x14ac:dyDescent="0.4">
      <c r="B32" s="14" t="s">
        <v>4</v>
      </c>
      <c r="C32" s="14"/>
    </row>
    <row r="33" spans="2:15" s="11" customFormat="1" ht="13.5" x14ac:dyDescent="0.35">
      <c r="B33" s="12" t="s">
        <v>1</v>
      </c>
      <c r="C33" s="2">
        <v>500000000</v>
      </c>
    </row>
    <row r="34" spans="2:15" x14ac:dyDescent="0.35">
      <c r="B34" s="12" t="s">
        <v>0</v>
      </c>
      <c r="C34" s="2">
        <v>510000000</v>
      </c>
    </row>
    <row r="35" spans="2:15" x14ac:dyDescent="0.35">
      <c r="B35" s="12" t="s">
        <v>2</v>
      </c>
      <c r="C35" s="2">
        <v>520000000</v>
      </c>
    </row>
    <row r="37" spans="2:15" x14ac:dyDescent="0.35">
      <c r="B37" s="12" t="s">
        <v>5</v>
      </c>
      <c r="C37" s="2">
        <v>10</v>
      </c>
    </row>
    <row r="38" spans="2:15" x14ac:dyDescent="0.35">
      <c r="B38" s="12" t="s">
        <v>34</v>
      </c>
      <c r="C38" s="13">
        <v>0.03</v>
      </c>
    </row>
    <row r="39" spans="2:15" x14ac:dyDescent="0.35">
      <c r="B39" s="16"/>
      <c r="C39" s="16"/>
    </row>
    <row r="40" spans="2:15" ht="12" thickBot="1" x14ac:dyDescent="0.4">
      <c r="B40" s="14" t="s">
        <v>9</v>
      </c>
      <c r="C40" s="14"/>
    </row>
    <row r="41" spans="2:15" x14ac:dyDescent="0.35">
      <c r="B41" s="12" t="s">
        <v>25</v>
      </c>
      <c r="C41" s="2">
        <v>300000000</v>
      </c>
    </row>
    <row r="42" spans="2:15" x14ac:dyDescent="0.35">
      <c r="B42" s="12" t="s">
        <v>11</v>
      </c>
      <c r="C42" s="13">
        <v>0.04</v>
      </c>
    </row>
    <row r="43" spans="2:15" x14ac:dyDescent="0.35">
      <c r="B43" s="12" t="s">
        <v>14</v>
      </c>
      <c r="C43" s="6" t="s">
        <v>13</v>
      </c>
    </row>
    <row r="44" spans="2:15" x14ac:dyDescent="0.35">
      <c r="C44" s="13"/>
    </row>
    <row r="45" spans="2:15" ht="12" thickBot="1" x14ac:dyDescent="0.4">
      <c r="B45" s="14" t="s">
        <v>26</v>
      </c>
      <c r="C45" s="14">
        <v>0</v>
      </c>
      <c r="D45" s="14">
        <v>1</v>
      </c>
      <c r="E45" s="14">
        <v>2</v>
      </c>
      <c r="F45" s="14">
        <v>3</v>
      </c>
      <c r="G45" s="14">
        <v>4</v>
      </c>
      <c r="H45" s="14">
        <v>5</v>
      </c>
      <c r="I45" s="14">
        <v>6</v>
      </c>
      <c r="J45" s="14">
        <v>7</v>
      </c>
      <c r="K45" s="14">
        <v>8</v>
      </c>
      <c r="L45" s="14">
        <v>9</v>
      </c>
      <c r="M45" s="14">
        <v>10</v>
      </c>
      <c r="N45" s="14">
        <v>11</v>
      </c>
      <c r="O45" s="14">
        <v>12</v>
      </c>
    </row>
    <row r="46" spans="2:15" x14ac:dyDescent="0.35">
      <c r="B46" s="5" t="s">
        <v>17</v>
      </c>
      <c r="C46" s="7">
        <v>0</v>
      </c>
      <c r="D46" s="7">
        <v>0</v>
      </c>
      <c r="E46" s="7">
        <v>0.05</v>
      </c>
      <c r="F46" s="7">
        <v>0.1</v>
      </c>
      <c r="G46" s="7">
        <v>0.1</v>
      </c>
      <c r="H46" s="7">
        <v>0.1</v>
      </c>
      <c r="I46" s="7">
        <v>0.1</v>
      </c>
      <c r="J46" s="7">
        <v>0.1</v>
      </c>
      <c r="K46" s="7">
        <v>0.1</v>
      </c>
      <c r="L46" s="7">
        <v>0.1</v>
      </c>
      <c r="M46" s="7">
        <v>0.1</v>
      </c>
      <c r="N46" s="13">
        <v>0.1</v>
      </c>
      <c r="O46" s="13">
        <v>0.05</v>
      </c>
    </row>
    <row r="48" spans="2:15" x14ac:dyDescent="0.35">
      <c r="B48" s="12" t="s">
        <v>12</v>
      </c>
      <c r="C48" s="13">
        <v>0.3</v>
      </c>
    </row>
    <row r="49" spans="2:4" x14ac:dyDescent="0.35">
      <c r="B49" s="12" t="s">
        <v>15</v>
      </c>
      <c r="C49" s="2">
        <v>100000000</v>
      </c>
    </row>
    <row r="51" spans="2:4" ht="12" thickBot="1" x14ac:dyDescent="0.4">
      <c r="B51" s="14" t="s">
        <v>18</v>
      </c>
      <c r="C51" s="8" t="s">
        <v>23</v>
      </c>
      <c r="D51" s="8" t="s">
        <v>20</v>
      </c>
    </row>
    <row r="52" spans="2:4" x14ac:dyDescent="0.35">
      <c r="B52" s="12" t="s">
        <v>19</v>
      </c>
      <c r="C52" s="13">
        <v>0.7</v>
      </c>
      <c r="D52" s="18">
        <v>0.5</v>
      </c>
    </row>
    <row r="53" spans="2:4" x14ac:dyDescent="0.35">
      <c r="B53" s="12" t="s">
        <v>21</v>
      </c>
      <c r="C53" s="13">
        <v>0.8</v>
      </c>
      <c r="D53" s="18">
        <v>0.4</v>
      </c>
    </row>
    <row r="54" spans="2:4" x14ac:dyDescent="0.35">
      <c r="B54" s="12" t="s">
        <v>22</v>
      </c>
      <c r="C54" s="13">
        <v>0.65</v>
      </c>
      <c r="D54" s="18">
        <v>0.35</v>
      </c>
    </row>
    <row r="55" spans="2:4" x14ac:dyDescent="0.35">
      <c r="C55" s="13"/>
    </row>
    <row r="56" spans="2:4" x14ac:dyDescent="0.35">
      <c r="B56" s="15" t="s">
        <v>27</v>
      </c>
      <c r="C56" s="15">
        <v>0.9</v>
      </c>
    </row>
    <row r="57" spans="2:4" x14ac:dyDescent="0.35">
      <c r="B57" s="15"/>
      <c r="C57" s="15"/>
    </row>
    <row r="58" spans="2:4" x14ac:dyDescent="0.35">
      <c r="B58" s="15"/>
      <c r="C58" s="15"/>
    </row>
    <row r="59" spans="2:4" x14ac:dyDescent="0.35">
      <c r="B59" s="12" t="s">
        <v>28</v>
      </c>
      <c r="C59" s="19">
        <v>5.5E-2</v>
      </c>
    </row>
    <row r="60" spans="2:4" x14ac:dyDescent="0.35">
      <c r="B60" s="12" t="s">
        <v>29</v>
      </c>
      <c r="C60" s="19">
        <v>0.02</v>
      </c>
    </row>
  </sheetData>
  <dataValidations count="1">
    <dataValidation type="list" allowBlank="1" showInputMessage="1" showErrorMessage="1" sqref="C6" xr:uid="{00000000-0002-0000-0100-000000000000}">
      <formula1>"1,2,3"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EA4F-C671-4A6F-A2BA-7B03332D8514}">
  <sheetPr>
    <tabColor rgb="FF002060"/>
  </sheetPr>
  <dimension ref="B17"/>
  <sheetViews>
    <sheetView workbookViewId="0">
      <selection activeCell="B18" sqref="B18"/>
    </sheetView>
  </sheetViews>
  <sheetFormatPr defaultColWidth="9.1328125" defaultRowHeight="11.65" x14ac:dyDescent="0.35"/>
  <cols>
    <col min="1" max="1" width="2" style="10" customWidth="1"/>
    <col min="2" max="16384" width="9.1328125" style="10"/>
  </cols>
  <sheetData>
    <row r="17" spans="2:2" ht="50.25" x14ac:dyDescent="1.3">
      <c r="B17" s="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8F99-BC01-4F61-96A3-B02A98EE15AC}">
  <dimension ref="B1:L38"/>
  <sheetViews>
    <sheetView workbookViewId="0">
      <selection activeCell="N17" sqref="N17"/>
    </sheetView>
  </sheetViews>
  <sheetFormatPr defaultColWidth="9.1328125" defaultRowHeight="11.65" x14ac:dyDescent="0.35"/>
  <cols>
    <col min="1" max="1" width="2" style="12" customWidth="1"/>
    <col min="2" max="2" width="30.265625" style="12" bestFit="1" customWidth="1"/>
    <col min="3" max="12" width="11" style="12" bestFit="1" customWidth="1"/>
    <col min="13" max="16384" width="9.1328125" style="12"/>
  </cols>
  <sheetData>
    <row r="1" spans="2:12" ht="15" x14ac:dyDescent="0.4">
      <c r="B1" s="1" t="s">
        <v>37</v>
      </c>
    </row>
    <row r="2" spans="2:12" ht="15" x14ac:dyDescent="0.4">
      <c r="B2" s="1"/>
    </row>
    <row r="3" spans="2:12" ht="12" thickBot="1" x14ac:dyDescent="0.4">
      <c r="B3" s="14" t="s">
        <v>30</v>
      </c>
      <c r="C3" s="14"/>
    </row>
    <row r="4" spans="2:12" x14ac:dyDescent="0.35">
      <c r="B4" s="12" t="s">
        <v>1</v>
      </c>
      <c r="C4" s="12">
        <f>Drivers!C9</f>
        <v>220</v>
      </c>
    </row>
    <row r="5" spans="2:12" x14ac:dyDescent="0.35">
      <c r="B5" s="12" t="s">
        <v>0</v>
      </c>
      <c r="C5" s="12">
        <f>Drivers!C10</f>
        <v>200</v>
      </c>
    </row>
    <row r="6" spans="2:12" x14ac:dyDescent="0.35">
      <c r="B6" s="12" t="s">
        <v>2</v>
      </c>
      <c r="C6" s="12">
        <f>Drivers!C11</f>
        <v>180</v>
      </c>
    </row>
    <row r="8" spans="2:12" x14ac:dyDescent="0.35">
      <c r="B8" s="12" t="s">
        <v>31</v>
      </c>
      <c r="C8" s="20">
        <f>Drivers!C13</f>
        <v>0.25</v>
      </c>
    </row>
    <row r="9" spans="2:12" x14ac:dyDescent="0.35">
      <c r="B9" s="12" t="s">
        <v>33</v>
      </c>
      <c r="C9" s="12">
        <f>Drivers!C14</f>
        <v>365</v>
      </c>
    </row>
    <row r="10" spans="2:12" x14ac:dyDescent="0.35">
      <c r="B10" s="12" t="s">
        <v>32</v>
      </c>
      <c r="C10" s="12">
        <f>Drivers!C15</f>
        <v>24</v>
      </c>
    </row>
    <row r="11" spans="2:12" x14ac:dyDescent="0.35">
      <c r="C11" s="2"/>
    </row>
    <row r="12" spans="2:12" x14ac:dyDescent="0.35">
      <c r="C12" s="2"/>
    </row>
    <row r="14" spans="2:12" ht="12" thickBot="1" x14ac:dyDescent="0.4">
      <c r="B14" s="14" t="s">
        <v>39</v>
      </c>
      <c r="C14" s="14">
        <v>1</v>
      </c>
      <c r="D14" s="14">
        <v>2</v>
      </c>
      <c r="E14" s="14">
        <v>3</v>
      </c>
      <c r="F14" s="14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  <c r="L14" s="14">
        <v>10</v>
      </c>
    </row>
    <row r="15" spans="2:12" x14ac:dyDescent="0.35">
      <c r="B15" s="12" t="s">
        <v>1</v>
      </c>
      <c r="C15" s="2">
        <f>$C4*$C$8*$C$9*$C$10</f>
        <v>481800</v>
      </c>
      <c r="D15" s="2">
        <f t="shared" ref="D15:L15" si="0">$C4*$C$8*$C$9*$C$10</f>
        <v>481800</v>
      </c>
      <c r="E15" s="2">
        <f t="shared" si="0"/>
        <v>481800</v>
      </c>
      <c r="F15" s="2">
        <f t="shared" si="0"/>
        <v>481800</v>
      </c>
      <c r="G15" s="2">
        <f t="shared" si="0"/>
        <v>481800</v>
      </c>
      <c r="H15" s="2">
        <f t="shared" si="0"/>
        <v>481800</v>
      </c>
      <c r="I15" s="2">
        <f t="shared" si="0"/>
        <v>481800</v>
      </c>
      <c r="J15" s="2">
        <f t="shared" si="0"/>
        <v>481800</v>
      </c>
      <c r="K15" s="2">
        <f t="shared" si="0"/>
        <v>481800</v>
      </c>
      <c r="L15" s="2">
        <f t="shared" si="0"/>
        <v>481800</v>
      </c>
    </row>
    <row r="16" spans="2:12" x14ac:dyDescent="0.35">
      <c r="B16" s="12" t="s">
        <v>0</v>
      </c>
      <c r="C16" s="2">
        <f t="shared" ref="C16:L17" si="1">$C5*$C$8*$C$9*$C$10</f>
        <v>438000</v>
      </c>
      <c r="D16" s="2">
        <f t="shared" si="1"/>
        <v>438000</v>
      </c>
      <c r="E16" s="2">
        <f t="shared" si="1"/>
        <v>438000</v>
      </c>
      <c r="F16" s="2">
        <f t="shared" si="1"/>
        <v>438000</v>
      </c>
      <c r="G16" s="2">
        <f t="shared" si="1"/>
        <v>438000</v>
      </c>
      <c r="H16" s="2">
        <f t="shared" si="1"/>
        <v>438000</v>
      </c>
      <c r="I16" s="2">
        <f t="shared" si="1"/>
        <v>438000</v>
      </c>
      <c r="J16" s="2">
        <f t="shared" si="1"/>
        <v>438000</v>
      </c>
      <c r="K16" s="2">
        <f t="shared" si="1"/>
        <v>438000</v>
      </c>
      <c r="L16" s="2">
        <f t="shared" si="1"/>
        <v>438000</v>
      </c>
    </row>
    <row r="17" spans="2:12" x14ac:dyDescent="0.35">
      <c r="B17" s="12" t="s">
        <v>2</v>
      </c>
      <c r="C17" s="2">
        <f t="shared" si="1"/>
        <v>394200</v>
      </c>
      <c r="D17" s="2">
        <f t="shared" si="1"/>
        <v>394200</v>
      </c>
      <c r="E17" s="2">
        <f t="shared" si="1"/>
        <v>394200</v>
      </c>
      <c r="F17" s="2">
        <f t="shared" si="1"/>
        <v>394200</v>
      </c>
      <c r="G17" s="2">
        <f t="shared" si="1"/>
        <v>394200</v>
      </c>
      <c r="H17" s="2">
        <f t="shared" si="1"/>
        <v>394200</v>
      </c>
      <c r="I17" s="2">
        <f t="shared" si="1"/>
        <v>394200</v>
      </c>
      <c r="J17" s="2">
        <f t="shared" si="1"/>
        <v>394200</v>
      </c>
      <c r="K17" s="2">
        <f t="shared" si="1"/>
        <v>394200</v>
      </c>
      <c r="L17" s="2">
        <f t="shared" si="1"/>
        <v>394200</v>
      </c>
    </row>
    <row r="18" spans="2:12" x14ac:dyDescent="0.35">
      <c r="B18" s="21" t="s">
        <v>6</v>
      </c>
      <c r="C18" s="22">
        <f>CHOOSE(Drivers!$C$6,Revenue!C15,Revenue!C16,Revenue!C17)</f>
        <v>438000</v>
      </c>
      <c r="D18" s="22">
        <f>CHOOSE(Drivers!$C$6,Revenue!D15,Revenue!D16,Revenue!D17)</f>
        <v>438000</v>
      </c>
      <c r="E18" s="22">
        <f>CHOOSE(Drivers!$C$6,Revenue!E15,Revenue!E16,Revenue!E17)</f>
        <v>438000</v>
      </c>
      <c r="F18" s="22">
        <f>CHOOSE(Drivers!$C$6,Revenue!F15,Revenue!F16,Revenue!F17)</f>
        <v>438000</v>
      </c>
      <c r="G18" s="22">
        <f>CHOOSE(Drivers!$C$6,Revenue!G15,Revenue!G16,Revenue!G17)</f>
        <v>438000</v>
      </c>
      <c r="H18" s="22">
        <f>CHOOSE(Drivers!$C$6,Revenue!H15,Revenue!H16,Revenue!H17)</f>
        <v>438000</v>
      </c>
      <c r="I18" s="22">
        <f>CHOOSE(Drivers!$C$6,Revenue!I15,Revenue!I16,Revenue!I17)</f>
        <v>438000</v>
      </c>
      <c r="J18" s="22">
        <f>CHOOSE(Drivers!$C$6,Revenue!J15,Revenue!J16,Revenue!J17)</f>
        <v>438000</v>
      </c>
      <c r="K18" s="22">
        <f>CHOOSE(Drivers!$C$6,Revenue!K15,Revenue!K16,Revenue!K17)</f>
        <v>438000</v>
      </c>
      <c r="L18" s="22">
        <f>CHOOSE(Drivers!$C$6,Revenue!L15,Revenue!L16,Revenue!L17)</f>
        <v>438000</v>
      </c>
    </row>
    <row r="20" spans="2:12" ht="12" thickBot="1" x14ac:dyDescent="0.4">
      <c r="B20" s="14" t="s">
        <v>38</v>
      </c>
      <c r="C20" s="14">
        <v>1</v>
      </c>
      <c r="D20" s="14">
        <v>2</v>
      </c>
      <c r="E20" s="14">
        <v>3</v>
      </c>
      <c r="F20" s="14">
        <v>4</v>
      </c>
      <c r="G20" s="14">
        <v>5</v>
      </c>
      <c r="H20" s="14">
        <v>6</v>
      </c>
      <c r="I20" s="14">
        <v>7</v>
      </c>
      <c r="J20" s="14">
        <v>8</v>
      </c>
      <c r="K20" s="14">
        <v>9</v>
      </c>
      <c r="L20" s="14">
        <v>10</v>
      </c>
    </row>
    <row r="21" spans="2:12" x14ac:dyDescent="0.35">
      <c r="B21" s="12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35">
      <c r="B22" s="12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x14ac:dyDescent="0.35">
      <c r="B23" s="12" t="s">
        <v>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5" spans="2:12" x14ac:dyDescent="0.35">
      <c r="B25" s="12" t="s">
        <v>3</v>
      </c>
      <c r="C25" s="13">
        <f>Drivers!C18</f>
        <v>0.01</v>
      </c>
    </row>
    <row r="26" spans="2:12" x14ac:dyDescent="0.35">
      <c r="C26" s="13"/>
    </row>
    <row r="27" spans="2:12" ht="12" thickBot="1" x14ac:dyDescent="0.4">
      <c r="B27" s="14" t="s">
        <v>41</v>
      </c>
      <c r="C27" s="14">
        <v>1</v>
      </c>
      <c r="D27" s="14">
        <v>2</v>
      </c>
      <c r="E27" s="14">
        <v>3</v>
      </c>
      <c r="F27" s="14">
        <v>4</v>
      </c>
      <c r="G27" s="14">
        <v>5</v>
      </c>
      <c r="H27" s="14">
        <v>6</v>
      </c>
      <c r="I27" s="14">
        <v>7</v>
      </c>
      <c r="J27" s="14">
        <v>8</v>
      </c>
      <c r="K27" s="14">
        <v>9</v>
      </c>
      <c r="L27" s="14">
        <v>10</v>
      </c>
    </row>
    <row r="28" spans="2:12" x14ac:dyDescent="0.35">
      <c r="B28" s="12" t="s">
        <v>1</v>
      </c>
      <c r="C28" s="2">
        <f>Drivers!C21</f>
        <v>220</v>
      </c>
      <c r="D28" s="2">
        <f>C28*(1+$C$25)</f>
        <v>222.2</v>
      </c>
      <c r="E28" s="2">
        <f t="shared" ref="E28:L28" si="2">D28*(1+$C$25)</f>
        <v>224.422</v>
      </c>
      <c r="F28" s="2">
        <f t="shared" si="2"/>
        <v>226.66622000000001</v>
      </c>
      <c r="G28" s="2">
        <f t="shared" si="2"/>
        <v>228.93288220000002</v>
      </c>
      <c r="H28" s="2">
        <f t="shared" si="2"/>
        <v>231.22221102200004</v>
      </c>
      <c r="I28" s="2">
        <f t="shared" si="2"/>
        <v>233.53443313222004</v>
      </c>
      <c r="J28" s="2">
        <f t="shared" si="2"/>
        <v>235.86977746354225</v>
      </c>
      <c r="K28" s="2">
        <f t="shared" si="2"/>
        <v>238.22847523817768</v>
      </c>
      <c r="L28" s="2">
        <f t="shared" si="2"/>
        <v>240.61075999055947</v>
      </c>
    </row>
    <row r="29" spans="2:12" x14ac:dyDescent="0.35">
      <c r="B29" s="12" t="s">
        <v>0</v>
      </c>
      <c r="C29" s="2">
        <f>Drivers!C22</f>
        <v>210</v>
      </c>
      <c r="D29" s="2">
        <f t="shared" ref="D29:L30" si="3">C29*(1+$C$25)</f>
        <v>212.1</v>
      </c>
      <c r="E29" s="2">
        <f t="shared" si="3"/>
        <v>214.221</v>
      </c>
      <c r="F29" s="2">
        <f t="shared" si="3"/>
        <v>216.36321000000001</v>
      </c>
      <c r="G29" s="2">
        <f t="shared" si="3"/>
        <v>218.52684210000001</v>
      </c>
      <c r="H29" s="2">
        <f t="shared" si="3"/>
        <v>220.712110521</v>
      </c>
      <c r="I29" s="2">
        <f t="shared" si="3"/>
        <v>222.91923162621001</v>
      </c>
      <c r="J29" s="2">
        <f t="shared" si="3"/>
        <v>225.14842394247211</v>
      </c>
      <c r="K29" s="2">
        <f t="shared" si="3"/>
        <v>227.39990818189682</v>
      </c>
      <c r="L29" s="2">
        <f t="shared" si="3"/>
        <v>229.67390726371579</v>
      </c>
    </row>
    <row r="30" spans="2:12" x14ac:dyDescent="0.35">
      <c r="B30" s="12" t="s">
        <v>2</v>
      </c>
      <c r="C30" s="2">
        <f>Drivers!C23</f>
        <v>200</v>
      </c>
      <c r="D30" s="2">
        <f t="shared" si="3"/>
        <v>202</v>
      </c>
      <c r="E30" s="2">
        <f t="shared" si="3"/>
        <v>204.02</v>
      </c>
      <c r="F30" s="2">
        <f t="shared" si="3"/>
        <v>206.06020000000001</v>
      </c>
      <c r="G30" s="2">
        <f t="shared" si="3"/>
        <v>208.120802</v>
      </c>
      <c r="H30" s="2">
        <f t="shared" si="3"/>
        <v>210.20201001999999</v>
      </c>
      <c r="I30" s="2">
        <f t="shared" si="3"/>
        <v>212.3040301202</v>
      </c>
      <c r="J30" s="2">
        <f t="shared" si="3"/>
        <v>214.42707042140199</v>
      </c>
      <c r="K30" s="2">
        <f t="shared" si="3"/>
        <v>216.57134112561602</v>
      </c>
      <c r="L30" s="2">
        <f t="shared" si="3"/>
        <v>218.73705453687217</v>
      </c>
    </row>
    <row r="31" spans="2:12" x14ac:dyDescent="0.35">
      <c r="B31" s="21" t="s">
        <v>6</v>
      </c>
      <c r="C31" s="22">
        <f>CHOOSE(Drivers!$C$6,Revenue!C28,Revenue!C29,Revenue!C30)</f>
        <v>210</v>
      </c>
      <c r="D31" s="22">
        <f>CHOOSE(Drivers!$C$6,Revenue!D28,Revenue!D29,Revenue!D30)</f>
        <v>212.1</v>
      </c>
      <c r="E31" s="22">
        <f>CHOOSE(Drivers!$C$6,Revenue!E28,Revenue!E29,Revenue!E30)</f>
        <v>214.221</v>
      </c>
      <c r="F31" s="22">
        <f>CHOOSE(Drivers!$C$6,Revenue!F28,Revenue!F29,Revenue!F30)</f>
        <v>216.36321000000001</v>
      </c>
      <c r="G31" s="22">
        <f>CHOOSE(Drivers!$C$6,Revenue!G28,Revenue!G29,Revenue!G30)</f>
        <v>218.52684210000001</v>
      </c>
      <c r="H31" s="22">
        <f>CHOOSE(Drivers!$C$6,Revenue!H28,Revenue!H29,Revenue!H30)</f>
        <v>220.712110521</v>
      </c>
      <c r="I31" s="22">
        <f>CHOOSE(Drivers!$C$6,Revenue!I28,Revenue!I29,Revenue!I30)</f>
        <v>222.91923162621001</v>
      </c>
      <c r="J31" s="22">
        <f>CHOOSE(Drivers!$C$6,Revenue!J28,Revenue!J29,Revenue!J30)</f>
        <v>225.14842394247211</v>
      </c>
      <c r="K31" s="22">
        <f>CHOOSE(Drivers!$C$6,Revenue!K28,Revenue!K29,Revenue!K30)</f>
        <v>227.39990818189682</v>
      </c>
      <c r="L31" s="22">
        <f>CHOOSE(Drivers!$C$6,Revenue!L28,Revenue!L29,Revenue!L30)</f>
        <v>229.67390726371579</v>
      </c>
    </row>
    <row r="32" spans="2:12" x14ac:dyDescent="0.35">
      <c r="B32" s="16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2:12" x14ac:dyDescent="0.35">
      <c r="B33" s="16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2:12" ht="12" thickBot="1" x14ac:dyDescent="0.4">
      <c r="B34" s="14" t="s">
        <v>40</v>
      </c>
      <c r="C34" s="14">
        <v>1</v>
      </c>
      <c r="D34" s="14">
        <v>2</v>
      </c>
      <c r="E34" s="14">
        <v>3</v>
      </c>
      <c r="F34" s="14">
        <v>4</v>
      </c>
      <c r="G34" s="14">
        <v>5</v>
      </c>
      <c r="H34" s="14">
        <v>6</v>
      </c>
      <c r="I34" s="14">
        <v>7</v>
      </c>
      <c r="J34" s="14">
        <v>8</v>
      </c>
      <c r="K34" s="14">
        <v>9</v>
      </c>
      <c r="L34" s="14">
        <v>10</v>
      </c>
    </row>
    <row r="35" spans="2:12" x14ac:dyDescent="0.35">
      <c r="B35" s="12" t="s">
        <v>1</v>
      </c>
      <c r="C35" s="2">
        <f>C15*C28</f>
        <v>105996000</v>
      </c>
      <c r="D35" s="2">
        <f t="shared" ref="D35:L35" si="4">D15*D28</f>
        <v>107055960</v>
      </c>
      <c r="E35" s="2">
        <f t="shared" si="4"/>
        <v>108126519.59999999</v>
      </c>
      <c r="F35" s="2">
        <f t="shared" si="4"/>
        <v>109207784.796</v>
      </c>
      <c r="G35" s="2">
        <f t="shared" si="4"/>
        <v>110299862.64396001</v>
      </c>
      <c r="H35" s="2">
        <f t="shared" si="4"/>
        <v>111402861.27039962</v>
      </c>
      <c r="I35" s="2">
        <f t="shared" si="4"/>
        <v>112516889.88310362</v>
      </c>
      <c r="J35" s="2">
        <f t="shared" si="4"/>
        <v>113642058.78193465</v>
      </c>
      <c r="K35" s="2">
        <f t="shared" si="4"/>
        <v>114778479.369754</v>
      </c>
      <c r="L35" s="2">
        <f t="shared" si="4"/>
        <v>115926264.16345155</v>
      </c>
    </row>
    <row r="36" spans="2:12" x14ac:dyDescent="0.35">
      <c r="B36" s="12" t="s">
        <v>0</v>
      </c>
      <c r="C36" s="2">
        <f t="shared" ref="C36:L37" si="5">C16*C29</f>
        <v>91980000</v>
      </c>
      <c r="D36" s="2">
        <f t="shared" si="5"/>
        <v>92899800</v>
      </c>
      <c r="E36" s="2">
        <f t="shared" si="5"/>
        <v>93828798</v>
      </c>
      <c r="F36" s="2">
        <f t="shared" si="5"/>
        <v>94767085.980000004</v>
      </c>
      <c r="G36" s="2">
        <f t="shared" si="5"/>
        <v>95714756.8398</v>
      </c>
      <c r="H36" s="2">
        <f t="shared" si="5"/>
        <v>96671904.408197999</v>
      </c>
      <c r="I36" s="2">
        <f t="shared" si="5"/>
        <v>97638623.452279985</v>
      </c>
      <c r="J36" s="2">
        <f t="shared" si="5"/>
        <v>98615009.68680279</v>
      </c>
      <c r="K36" s="2">
        <f t="shared" si="5"/>
        <v>99601159.783670813</v>
      </c>
      <c r="L36" s="2">
        <f t="shared" si="5"/>
        <v>100597171.38150752</v>
      </c>
    </row>
    <row r="37" spans="2:12" x14ac:dyDescent="0.35">
      <c r="B37" s="12" t="s">
        <v>2</v>
      </c>
      <c r="C37" s="2">
        <f t="shared" si="5"/>
        <v>78840000</v>
      </c>
      <c r="D37" s="2">
        <f t="shared" si="5"/>
        <v>79628400</v>
      </c>
      <c r="E37" s="2">
        <f t="shared" si="5"/>
        <v>80424684</v>
      </c>
      <c r="F37" s="2">
        <f t="shared" si="5"/>
        <v>81228930.840000004</v>
      </c>
      <c r="G37" s="2">
        <f t="shared" si="5"/>
        <v>82041220.148399994</v>
      </c>
      <c r="H37" s="2">
        <f t="shared" si="5"/>
        <v>82861632.349883988</v>
      </c>
      <c r="I37" s="2">
        <f t="shared" si="5"/>
        <v>83690248.673382834</v>
      </c>
      <c r="J37" s="2">
        <f t="shared" si="5"/>
        <v>84527151.160116673</v>
      </c>
      <c r="K37" s="2">
        <f t="shared" si="5"/>
        <v>85372422.671717837</v>
      </c>
      <c r="L37" s="2">
        <f t="shared" si="5"/>
        <v>86226146.898435012</v>
      </c>
    </row>
    <row r="38" spans="2:12" x14ac:dyDescent="0.35">
      <c r="B38" s="21" t="s">
        <v>6</v>
      </c>
      <c r="C38" s="22">
        <f>CHOOSE(Drivers!$C$6,Revenue!C35,Revenue!C36,Revenue!C37)</f>
        <v>91980000</v>
      </c>
      <c r="D38" s="22">
        <f>CHOOSE(Drivers!$C$6,Revenue!D35,Revenue!D36,Revenue!D37)</f>
        <v>92899800</v>
      </c>
      <c r="E38" s="22">
        <f>CHOOSE(Drivers!$C$6,Revenue!E35,Revenue!E36,Revenue!E37)</f>
        <v>93828798</v>
      </c>
      <c r="F38" s="22">
        <f>CHOOSE(Drivers!$C$6,Revenue!F35,Revenue!F36,Revenue!F37)</f>
        <v>94767085.980000004</v>
      </c>
      <c r="G38" s="22">
        <f>CHOOSE(Drivers!$C$6,Revenue!G35,Revenue!G36,Revenue!G37)</f>
        <v>95714756.8398</v>
      </c>
      <c r="H38" s="22">
        <f>CHOOSE(Drivers!$C$6,Revenue!H35,Revenue!H36,Revenue!H37)</f>
        <v>96671904.408197999</v>
      </c>
      <c r="I38" s="22">
        <f>CHOOSE(Drivers!$C$6,Revenue!I35,Revenue!I36,Revenue!I37)</f>
        <v>97638623.452279985</v>
      </c>
      <c r="J38" s="22">
        <f>CHOOSE(Drivers!$C$6,Revenue!J35,Revenue!J36,Revenue!J37)</f>
        <v>98615009.68680279</v>
      </c>
      <c r="K38" s="22">
        <f>CHOOSE(Drivers!$C$6,Revenue!K35,Revenue!K36,Revenue!K37)</f>
        <v>99601159.783670813</v>
      </c>
      <c r="L38" s="22">
        <f>CHOOSE(Drivers!$C$6,Revenue!L35,Revenue!L36,Revenue!L37)</f>
        <v>100597171.38150752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67E3-E903-4438-8F92-F26C6186632A}">
  <dimension ref="B1:Q39"/>
  <sheetViews>
    <sheetView workbookViewId="0">
      <selection activeCell="C7" sqref="C7"/>
    </sheetView>
  </sheetViews>
  <sheetFormatPr defaultColWidth="8.6640625" defaultRowHeight="14.25" x14ac:dyDescent="0.45"/>
  <cols>
    <col min="1" max="1" width="1.86328125" style="24" customWidth="1"/>
    <col min="2" max="2" width="20.86328125" style="24" bestFit="1" customWidth="1"/>
    <col min="3" max="12" width="13.53125" style="24" bestFit="1" customWidth="1"/>
    <col min="13" max="16384" width="8.6640625" style="24"/>
  </cols>
  <sheetData>
    <row r="1" spans="2:17" ht="15.4" x14ac:dyDescent="0.45">
      <c r="B1" s="26" t="s">
        <v>42</v>
      </c>
    </row>
    <row r="3" spans="2:17" x14ac:dyDescent="0.45">
      <c r="B3" s="30" t="s">
        <v>35</v>
      </c>
      <c r="C3" s="27"/>
      <c r="D3" s="27"/>
    </row>
    <row r="4" spans="2:17" x14ac:dyDescent="0.45">
      <c r="B4" s="28" t="s">
        <v>43</v>
      </c>
      <c r="C4" s="31">
        <f>Drivers!C26</f>
        <v>-0.15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2:17" x14ac:dyDescent="0.45">
      <c r="B5" s="28" t="s">
        <v>44</v>
      </c>
      <c r="C5" s="31">
        <f>Drivers!C27</f>
        <v>-0.16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2:17" x14ac:dyDescent="0.45">
      <c r="B6" s="28" t="s">
        <v>45</v>
      </c>
      <c r="C6" s="31">
        <f>Drivers!C28</f>
        <v>0.17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7" x14ac:dyDescent="0.4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2:17" x14ac:dyDescent="0.45">
      <c r="B8" s="12" t="s">
        <v>31</v>
      </c>
      <c r="C8" s="31">
        <f>Drivers!C13</f>
        <v>0.25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9"/>
    </row>
    <row r="9" spans="2:17" x14ac:dyDescent="0.45">
      <c r="B9" s="12" t="s">
        <v>33</v>
      </c>
      <c r="C9" s="33">
        <f>Drivers!C14</f>
        <v>365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x14ac:dyDescent="0.45">
      <c r="B10" s="12" t="s">
        <v>32</v>
      </c>
      <c r="C10" s="33">
        <f>Drivers!C15</f>
        <v>24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2:17" x14ac:dyDescent="0.4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45">
      <c r="B13" s="30" t="s">
        <v>46</v>
      </c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4">
        <v>6</v>
      </c>
      <c r="I13" s="34">
        <v>7</v>
      </c>
      <c r="J13" s="34">
        <v>8</v>
      </c>
      <c r="K13" s="34">
        <v>9</v>
      </c>
      <c r="L13" s="34">
        <v>10</v>
      </c>
      <c r="M13" s="28"/>
      <c r="N13" s="28"/>
      <c r="O13" s="28"/>
      <c r="P13" s="28"/>
      <c r="Q13" s="29"/>
    </row>
    <row r="14" spans="2:17" x14ac:dyDescent="0.45">
      <c r="B14" s="28" t="s">
        <v>43</v>
      </c>
      <c r="C14" s="33">
        <f>Revenue!C35</f>
        <v>105996000</v>
      </c>
      <c r="D14" s="33">
        <f>Revenue!D35</f>
        <v>107055960</v>
      </c>
      <c r="E14" s="33">
        <f>Revenue!E35</f>
        <v>108126519.59999999</v>
      </c>
      <c r="F14" s="33">
        <f>Revenue!F35</f>
        <v>109207784.796</v>
      </c>
      <c r="G14" s="33">
        <f>Revenue!G35</f>
        <v>110299862.64396001</v>
      </c>
      <c r="H14" s="33">
        <f>Revenue!H35</f>
        <v>111402861.27039962</v>
      </c>
      <c r="I14" s="33">
        <f>Revenue!I35</f>
        <v>112516889.88310362</v>
      </c>
      <c r="J14" s="33">
        <f>Revenue!J35</f>
        <v>113642058.78193465</v>
      </c>
      <c r="K14" s="33">
        <f>Revenue!K35</f>
        <v>114778479.369754</v>
      </c>
      <c r="L14" s="33">
        <f>Revenue!L35</f>
        <v>115926264.16345155</v>
      </c>
      <c r="M14" s="28"/>
      <c r="N14" s="28"/>
      <c r="O14" s="28"/>
      <c r="P14" s="28"/>
      <c r="Q14" s="29"/>
    </row>
    <row r="15" spans="2:17" x14ac:dyDescent="0.45">
      <c r="B15" s="28" t="s">
        <v>44</v>
      </c>
      <c r="C15" s="33">
        <f>Revenue!C36</f>
        <v>91980000</v>
      </c>
      <c r="D15" s="33">
        <f>Revenue!D36</f>
        <v>92899800</v>
      </c>
      <c r="E15" s="33">
        <f>Revenue!E36</f>
        <v>93828798</v>
      </c>
      <c r="F15" s="33">
        <f>Revenue!F36</f>
        <v>94767085.980000004</v>
      </c>
      <c r="G15" s="33">
        <f>Revenue!G36</f>
        <v>95714756.8398</v>
      </c>
      <c r="H15" s="33">
        <f>Revenue!H36</f>
        <v>96671904.408197999</v>
      </c>
      <c r="I15" s="33">
        <f>Revenue!I36</f>
        <v>97638623.452279985</v>
      </c>
      <c r="J15" s="33">
        <f>Revenue!J36</f>
        <v>98615009.68680279</v>
      </c>
      <c r="K15" s="33">
        <f>Revenue!K36</f>
        <v>99601159.783670813</v>
      </c>
      <c r="L15" s="33">
        <f>Revenue!L36</f>
        <v>100597171.38150752</v>
      </c>
      <c r="M15" s="28"/>
      <c r="N15" s="28"/>
      <c r="O15" s="28"/>
      <c r="P15" s="28"/>
      <c r="Q15" s="29"/>
    </row>
    <row r="16" spans="2:17" x14ac:dyDescent="0.45">
      <c r="B16" s="28" t="s">
        <v>45</v>
      </c>
      <c r="C16" s="33">
        <f>Revenue!C37</f>
        <v>78840000</v>
      </c>
      <c r="D16" s="33">
        <f>Revenue!D37</f>
        <v>79628400</v>
      </c>
      <c r="E16" s="33">
        <f>Revenue!E37</f>
        <v>80424684</v>
      </c>
      <c r="F16" s="33">
        <f>Revenue!F37</f>
        <v>81228930.840000004</v>
      </c>
      <c r="G16" s="33">
        <f>Revenue!G37</f>
        <v>82041220.148399994</v>
      </c>
      <c r="H16" s="33">
        <f>Revenue!H37</f>
        <v>82861632.349883988</v>
      </c>
      <c r="I16" s="33">
        <f>Revenue!I37</f>
        <v>83690248.673382834</v>
      </c>
      <c r="J16" s="33">
        <f>Revenue!J37</f>
        <v>84527151.160116673</v>
      </c>
      <c r="K16" s="33">
        <f>Revenue!K37</f>
        <v>85372422.671717837</v>
      </c>
      <c r="L16" s="33">
        <f>Revenue!L37</f>
        <v>86226146.898435012</v>
      </c>
      <c r="M16" s="28"/>
      <c r="N16" s="28"/>
      <c r="O16" s="28"/>
      <c r="P16" s="28"/>
      <c r="Q16" s="29"/>
    </row>
    <row r="17" spans="2:17" s="39" customFormat="1" x14ac:dyDescent="0.45">
      <c r="B17" s="36" t="s">
        <v>47</v>
      </c>
      <c r="C17" s="37">
        <f>CHOOSE(Drivers!$C$6,C14,C15,C16)</f>
        <v>91980000</v>
      </c>
      <c r="D17" s="37">
        <f>CHOOSE(Drivers!$C$6,D14,D15,D16)</f>
        <v>92899800</v>
      </c>
      <c r="E17" s="37">
        <f>CHOOSE(Drivers!$C$6,E14,E15,E16)</f>
        <v>93828798</v>
      </c>
      <c r="F17" s="37">
        <f>CHOOSE(Drivers!$C$6,F14,F15,F16)</f>
        <v>94767085.980000004</v>
      </c>
      <c r="G17" s="37">
        <f>CHOOSE(Drivers!$C$6,G14,G15,G16)</f>
        <v>95714756.8398</v>
      </c>
      <c r="H17" s="37">
        <f>CHOOSE(Drivers!$C$6,H14,H15,H16)</f>
        <v>96671904.408197999</v>
      </c>
      <c r="I17" s="37">
        <f>CHOOSE(Drivers!$C$6,I14,I15,I16)</f>
        <v>97638623.452279985</v>
      </c>
      <c r="J17" s="37">
        <f>CHOOSE(Drivers!$C$6,J14,J15,J16)</f>
        <v>98615009.68680279</v>
      </c>
      <c r="K17" s="37">
        <f>CHOOSE(Drivers!$C$6,K14,K15,K16)</f>
        <v>99601159.783670813</v>
      </c>
      <c r="L17" s="37">
        <f>CHOOSE(Drivers!$C$6,L14,L15,L16)</f>
        <v>100597171.38150752</v>
      </c>
      <c r="M17" s="35"/>
      <c r="N17" s="35"/>
      <c r="O17" s="35"/>
      <c r="P17" s="35"/>
      <c r="Q17" s="38"/>
    </row>
    <row r="18" spans="2:17" x14ac:dyDescent="0.4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2:17" x14ac:dyDescent="0.45">
      <c r="B19" s="30" t="s">
        <v>35</v>
      </c>
      <c r="C19" s="34">
        <v>1</v>
      </c>
      <c r="D19" s="34">
        <v>2</v>
      </c>
      <c r="E19" s="34">
        <v>3</v>
      </c>
      <c r="F19" s="34">
        <v>4</v>
      </c>
      <c r="G19" s="34">
        <v>5</v>
      </c>
      <c r="H19" s="34">
        <v>6</v>
      </c>
      <c r="I19" s="34">
        <v>7</v>
      </c>
      <c r="J19" s="34">
        <v>8</v>
      </c>
      <c r="K19" s="34">
        <v>9</v>
      </c>
      <c r="L19" s="34">
        <v>10</v>
      </c>
      <c r="M19" s="28"/>
      <c r="N19" s="28"/>
      <c r="O19" s="28"/>
      <c r="P19" s="28"/>
      <c r="Q19" s="29"/>
    </row>
    <row r="20" spans="2:17" x14ac:dyDescent="0.45">
      <c r="B20" s="28" t="s">
        <v>43</v>
      </c>
      <c r="C20" s="33">
        <f>$C4*C14</f>
        <v>-15899400</v>
      </c>
      <c r="D20" s="33">
        <f t="shared" ref="D20:M20" si="0">$C4*D14</f>
        <v>-16058394</v>
      </c>
      <c r="E20" s="33">
        <f t="shared" si="0"/>
        <v>-16218977.939999998</v>
      </c>
      <c r="F20" s="33">
        <f t="shared" si="0"/>
        <v>-16381167.7194</v>
      </c>
      <c r="G20" s="33">
        <f t="shared" si="0"/>
        <v>-16544979.396594001</v>
      </c>
      <c r="H20" s="33">
        <f t="shared" si="0"/>
        <v>-16710429.190559942</v>
      </c>
      <c r="I20" s="33">
        <f t="shared" si="0"/>
        <v>-16877533.482465543</v>
      </c>
      <c r="J20" s="33">
        <f t="shared" si="0"/>
        <v>-17046308.817290198</v>
      </c>
      <c r="K20" s="33">
        <f t="shared" si="0"/>
        <v>-17216771.905463099</v>
      </c>
      <c r="L20" s="33">
        <f t="shared" si="0"/>
        <v>-17388939.624517731</v>
      </c>
      <c r="M20" s="28"/>
      <c r="N20" s="28"/>
      <c r="O20" s="28"/>
      <c r="P20" s="28"/>
      <c r="Q20" s="29"/>
    </row>
    <row r="21" spans="2:17" x14ac:dyDescent="0.45">
      <c r="B21" s="28" t="s">
        <v>44</v>
      </c>
      <c r="C21" s="33">
        <f t="shared" ref="C21:L22" si="1">$C5*C15</f>
        <v>-14716800</v>
      </c>
      <c r="D21" s="33">
        <f t="shared" si="1"/>
        <v>-14863968</v>
      </c>
      <c r="E21" s="33">
        <f t="shared" si="1"/>
        <v>-15012607.68</v>
      </c>
      <c r="F21" s="33">
        <f t="shared" si="1"/>
        <v>-15162733.756800001</v>
      </c>
      <c r="G21" s="33">
        <f t="shared" si="1"/>
        <v>-15314361.094368</v>
      </c>
      <c r="H21" s="33">
        <f t="shared" si="1"/>
        <v>-15467504.70531168</v>
      </c>
      <c r="I21" s="33">
        <f t="shared" si="1"/>
        <v>-15622179.752364798</v>
      </c>
      <c r="J21" s="33">
        <f t="shared" si="1"/>
        <v>-15778401.549888447</v>
      </c>
      <c r="K21" s="33">
        <f t="shared" si="1"/>
        <v>-15936185.565387331</v>
      </c>
      <c r="L21" s="33">
        <f t="shared" si="1"/>
        <v>-16095547.421041204</v>
      </c>
      <c r="M21" s="28"/>
      <c r="N21" s="28"/>
      <c r="O21" s="28"/>
      <c r="P21" s="28"/>
      <c r="Q21" s="29"/>
    </row>
    <row r="22" spans="2:17" x14ac:dyDescent="0.45">
      <c r="B22" s="28" t="s">
        <v>45</v>
      </c>
      <c r="C22" s="33">
        <f t="shared" si="1"/>
        <v>13402800.000000002</v>
      </c>
      <c r="D22" s="33">
        <f t="shared" si="1"/>
        <v>13536828.000000002</v>
      </c>
      <c r="E22" s="33">
        <f t="shared" si="1"/>
        <v>13672196.280000001</v>
      </c>
      <c r="F22" s="33">
        <f t="shared" si="1"/>
        <v>13808918.242800001</v>
      </c>
      <c r="G22" s="33">
        <f t="shared" si="1"/>
        <v>13947007.425228</v>
      </c>
      <c r="H22" s="33">
        <f t="shared" si="1"/>
        <v>14086477.499480279</v>
      </c>
      <c r="I22" s="33">
        <f t="shared" si="1"/>
        <v>14227342.274475083</v>
      </c>
      <c r="J22" s="33">
        <f t="shared" si="1"/>
        <v>14369615.697219836</v>
      </c>
      <c r="K22" s="33">
        <f t="shared" si="1"/>
        <v>14513311.854192033</v>
      </c>
      <c r="L22" s="33">
        <f t="shared" si="1"/>
        <v>14658444.972733952</v>
      </c>
      <c r="M22" s="28"/>
      <c r="N22" s="28"/>
      <c r="O22" s="28"/>
      <c r="P22" s="28"/>
      <c r="Q22" s="29"/>
    </row>
    <row r="23" spans="2:17" s="39" customFormat="1" x14ac:dyDescent="0.45">
      <c r="B23" s="36" t="s">
        <v>47</v>
      </c>
      <c r="C23" s="37">
        <f>CHOOSE(Drivers!$C$6,Opex!C20,Opex!C21,Opex!C22)</f>
        <v>-14716800</v>
      </c>
      <c r="D23" s="37">
        <f>CHOOSE(Drivers!$C$6,Opex!D20,Opex!D21,Opex!D22)</f>
        <v>-14863968</v>
      </c>
      <c r="E23" s="37">
        <f>CHOOSE(Drivers!$C$6,Opex!E20,Opex!E21,Opex!E22)</f>
        <v>-15012607.68</v>
      </c>
      <c r="F23" s="37">
        <f>CHOOSE(Drivers!$C$6,Opex!F20,Opex!F21,Opex!F22)</f>
        <v>-15162733.756800001</v>
      </c>
      <c r="G23" s="37">
        <f>CHOOSE(Drivers!$C$6,Opex!G20,Opex!G21,Opex!G22)</f>
        <v>-15314361.094368</v>
      </c>
      <c r="H23" s="37">
        <f>CHOOSE(Drivers!$C$6,Opex!H20,Opex!H21,Opex!H22)</f>
        <v>-15467504.70531168</v>
      </c>
      <c r="I23" s="37">
        <f>CHOOSE(Drivers!$C$6,Opex!I20,Opex!I21,Opex!I22)</f>
        <v>-15622179.752364798</v>
      </c>
      <c r="J23" s="37">
        <f>CHOOSE(Drivers!$C$6,Opex!J20,Opex!J21,Opex!J22)</f>
        <v>-15778401.549888447</v>
      </c>
      <c r="K23" s="37">
        <f>CHOOSE(Drivers!$C$6,Opex!K20,Opex!K21,Opex!K22)</f>
        <v>-15936185.565387331</v>
      </c>
      <c r="L23" s="37">
        <f>CHOOSE(Drivers!$C$6,Opex!L20,Opex!L21,Opex!L22)</f>
        <v>-16095547.421041204</v>
      </c>
      <c r="M23" s="35"/>
      <c r="N23" s="35"/>
      <c r="O23" s="35"/>
      <c r="P23" s="35"/>
      <c r="Q23" s="38"/>
    </row>
    <row r="24" spans="2:17" x14ac:dyDescent="0.4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x14ac:dyDescent="0.4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x14ac:dyDescent="0.4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x14ac:dyDescent="0.4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x14ac:dyDescent="0.4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x14ac:dyDescent="0.4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x14ac:dyDescent="0.4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x14ac:dyDescent="0.4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2:17" x14ac:dyDescent="0.4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2:17" x14ac:dyDescent="0.4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x14ac:dyDescent="0.4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x14ac:dyDescent="0.4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9"/>
    </row>
    <row r="36" spans="2:17" x14ac:dyDescent="0.45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9"/>
    </row>
    <row r="37" spans="2:17" x14ac:dyDescent="0.4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4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4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98C3-77EC-4046-9DBC-4A2AB9ED3329}">
  <dimension ref="B1:M32"/>
  <sheetViews>
    <sheetView workbookViewId="0">
      <selection activeCell="D37" sqref="D37"/>
    </sheetView>
  </sheetViews>
  <sheetFormatPr defaultRowHeight="11.65" x14ac:dyDescent="0.35"/>
  <cols>
    <col min="1" max="1" width="1.86328125" style="28" customWidth="1"/>
    <col min="2" max="2" width="29.06640625" style="28" bestFit="1" customWidth="1"/>
    <col min="3" max="3" width="11.1328125" style="28" bestFit="1" customWidth="1"/>
    <col min="4" max="4" width="11.1328125" style="28" customWidth="1"/>
    <col min="5" max="13" width="11.1328125" style="28" bestFit="1" customWidth="1"/>
    <col min="14" max="16384" width="9.06640625" style="28"/>
  </cols>
  <sheetData>
    <row r="1" spans="2:13" ht="13.9" x14ac:dyDescent="0.4">
      <c r="B1" s="41" t="s">
        <v>48</v>
      </c>
    </row>
    <row r="3" spans="2:13" ht="12" thickBot="1" x14ac:dyDescent="0.4">
      <c r="B3" s="14" t="s">
        <v>4</v>
      </c>
      <c r="C3" s="14"/>
    </row>
    <row r="4" spans="2:13" x14ac:dyDescent="0.35">
      <c r="B4" s="12" t="s">
        <v>1</v>
      </c>
      <c r="C4" s="2">
        <f>Drivers!C33</f>
        <v>500000000</v>
      </c>
    </row>
    <row r="5" spans="2:13" x14ac:dyDescent="0.35">
      <c r="B5" s="12" t="s">
        <v>0</v>
      </c>
      <c r="C5" s="2">
        <f>Drivers!C34</f>
        <v>510000000</v>
      </c>
    </row>
    <row r="6" spans="2:13" x14ac:dyDescent="0.35">
      <c r="B6" s="12" t="s">
        <v>2</v>
      </c>
      <c r="C6" s="2">
        <f>Drivers!C35</f>
        <v>520000000</v>
      </c>
    </row>
    <row r="8" spans="2:13" x14ac:dyDescent="0.35">
      <c r="B8" s="12" t="s">
        <v>5</v>
      </c>
      <c r="C8" s="2">
        <f>Drivers!C37</f>
        <v>10</v>
      </c>
    </row>
    <row r="9" spans="2:13" x14ac:dyDescent="0.35">
      <c r="B9" s="12" t="s">
        <v>34</v>
      </c>
      <c r="C9" s="20">
        <f>Drivers!C38</f>
        <v>0.03</v>
      </c>
    </row>
    <row r="11" spans="2:13" ht="12" thickBot="1" x14ac:dyDescent="0.4">
      <c r="B11" s="43" t="s">
        <v>49</v>
      </c>
      <c r="C11" s="43">
        <v>0</v>
      </c>
      <c r="D11" s="43">
        <v>1</v>
      </c>
      <c r="E11" s="43">
        <v>2</v>
      </c>
      <c r="F11" s="43">
        <v>3</v>
      </c>
      <c r="G11" s="43">
        <v>4</v>
      </c>
      <c r="H11" s="43">
        <v>5</v>
      </c>
      <c r="I11" s="43">
        <v>6</v>
      </c>
      <c r="J11" s="43">
        <v>7</v>
      </c>
      <c r="K11" s="43">
        <v>8</v>
      </c>
      <c r="L11" s="43">
        <v>9</v>
      </c>
      <c r="M11" s="43">
        <v>10</v>
      </c>
    </row>
    <row r="12" spans="2:13" x14ac:dyDescent="0.35">
      <c r="B12" s="28" t="s">
        <v>50</v>
      </c>
      <c r="C12" s="42">
        <v>1</v>
      </c>
      <c r="D12" s="42">
        <v>0.03</v>
      </c>
      <c r="E12" s="42">
        <v>0.03</v>
      </c>
      <c r="F12" s="42">
        <v>0.03</v>
      </c>
      <c r="G12" s="42">
        <v>0.03</v>
      </c>
      <c r="H12" s="42">
        <v>0.03</v>
      </c>
      <c r="I12" s="42">
        <v>0.03</v>
      </c>
      <c r="J12" s="42">
        <v>0.03</v>
      </c>
      <c r="K12" s="42">
        <v>0.03</v>
      </c>
      <c r="L12" s="42">
        <v>0.03</v>
      </c>
      <c r="M12" s="42">
        <v>0.03</v>
      </c>
    </row>
    <row r="14" spans="2:13" ht="12" thickBot="1" x14ac:dyDescent="0.4">
      <c r="B14" s="43" t="s">
        <v>51</v>
      </c>
      <c r="C14" s="43"/>
      <c r="D14" s="43">
        <v>1</v>
      </c>
      <c r="E14" s="43">
        <v>2</v>
      </c>
      <c r="F14" s="43">
        <v>3</v>
      </c>
      <c r="G14" s="43">
        <v>4</v>
      </c>
      <c r="H14" s="43">
        <v>5</v>
      </c>
      <c r="I14" s="43">
        <v>6</v>
      </c>
      <c r="J14" s="43">
        <v>7</v>
      </c>
      <c r="K14" s="43">
        <v>8</v>
      </c>
      <c r="L14" s="43">
        <v>9</v>
      </c>
      <c r="M14" s="43">
        <v>10</v>
      </c>
    </row>
    <row r="15" spans="2:13" x14ac:dyDescent="0.35">
      <c r="B15" s="28" t="s">
        <v>52</v>
      </c>
      <c r="C15" s="33"/>
      <c r="D15" s="33">
        <f>CHOOSE(Drivers!$C$6,'Fixed Asset Roll Forward'!$C$4,'Fixed Asset Roll Forward'!$C$5,'Fixed Asset Roll Forward'!$C$6)</f>
        <v>510000000</v>
      </c>
      <c r="E15" s="33">
        <f>D18</f>
        <v>474300000</v>
      </c>
      <c r="F15" s="33">
        <f t="shared" ref="F15:M15" si="0">E18</f>
        <v>437070000</v>
      </c>
      <c r="G15" s="33">
        <f t="shared" si="0"/>
        <v>398310000</v>
      </c>
      <c r="H15" s="33">
        <f t="shared" si="0"/>
        <v>358020000</v>
      </c>
      <c r="I15" s="33">
        <f t="shared" si="0"/>
        <v>316200000</v>
      </c>
      <c r="J15" s="33">
        <f t="shared" si="0"/>
        <v>272850000</v>
      </c>
      <c r="K15" s="33">
        <f t="shared" si="0"/>
        <v>227970000</v>
      </c>
      <c r="L15" s="33">
        <f t="shared" si="0"/>
        <v>181560000</v>
      </c>
      <c r="M15" s="33">
        <f t="shared" si="0"/>
        <v>133620000</v>
      </c>
    </row>
    <row r="16" spans="2:13" x14ac:dyDescent="0.35">
      <c r="B16" s="28" t="s">
        <v>53</v>
      </c>
      <c r="C16" s="32"/>
      <c r="D16" s="33">
        <f>CHOOSE(Drivers!$C$6,'Fixed Asset Roll Forward'!$C$4,'Fixed Asset Roll Forward'!$C$5,'Fixed Asset Roll Forward'!$C$6)*'Fixed Asset Roll Forward'!D12</f>
        <v>15300000</v>
      </c>
      <c r="E16" s="33">
        <f>CHOOSE(Drivers!$C$6,'Fixed Asset Roll Forward'!$C$4,'Fixed Asset Roll Forward'!$C$5,'Fixed Asset Roll Forward'!$C$6)*'Fixed Asset Roll Forward'!E12</f>
        <v>15300000</v>
      </c>
      <c r="F16" s="33">
        <f>CHOOSE(Drivers!$C$6,'Fixed Asset Roll Forward'!$C$4,'Fixed Asset Roll Forward'!$C$5,'Fixed Asset Roll Forward'!$C$6)*'Fixed Asset Roll Forward'!F12</f>
        <v>15300000</v>
      </c>
      <c r="G16" s="33">
        <f>CHOOSE(Drivers!$C$6,'Fixed Asset Roll Forward'!$C$4,'Fixed Asset Roll Forward'!$C$5,'Fixed Asset Roll Forward'!$C$6)*'Fixed Asset Roll Forward'!G12</f>
        <v>15300000</v>
      </c>
      <c r="H16" s="33">
        <f>CHOOSE(Drivers!$C$6,'Fixed Asset Roll Forward'!$C$4,'Fixed Asset Roll Forward'!$C$5,'Fixed Asset Roll Forward'!$C$6)*'Fixed Asset Roll Forward'!H12</f>
        <v>15300000</v>
      </c>
      <c r="I16" s="33">
        <f>CHOOSE(Drivers!$C$6,'Fixed Asset Roll Forward'!$C$4,'Fixed Asset Roll Forward'!$C$5,'Fixed Asset Roll Forward'!$C$6)*'Fixed Asset Roll Forward'!I12</f>
        <v>15300000</v>
      </c>
      <c r="J16" s="33">
        <f>CHOOSE(Drivers!$C$6,'Fixed Asset Roll Forward'!$C$4,'Fixed Asset Roll Forward'!$C$5,'Fixed Asset Roll Forward'!$C$6)*'Fixed Asset Roll Forward'!J12</f>
        <v>15300000</v>
      </c>
      <c r="K16" s="33">
        <f>CHOOSE(Drivers!$C$6,'Fixed Asset Roll Forward'!$C$4,'Fixed Asset Roll Forward'!$C$5,'Fixed Asset Roll Forward'!$C$6)*'Fixed Asset Roll Forward'!K12</f>
        <v>15300000</v>
      </c>
      <c r="L16" s="33">
        <f>CHOOSE(Drivers!$C$6,'Fixed Asset Roll Forward'!$C$4,'Fixed Asset Roll Forward'!$C$5,'Fixed Asset Roll Forward'!$C$6)*'Fixed Asset Roll Forward'!L12</f>
        <v>15300000</v>
      </c>
      <c r="M16" s="33">
        <f>CHOOSE(Drivers!$C$6,'Fixed Asset Roll Forward'!$C$4,'Fixed Asset Roll Forward'!$C$5,'Fixed Asset Roll Forward'!$C$6)*'Fixed Asset Roll Forward'!M12</f>
        <v>15300000</v>
      </c>
    </row>
    <row r="17" spans="2:13" x14ac:dyDescent="0.35">
      <c r="B17" s="28" t="s">
        <v>54</v>
      </c>
      <c r="D17" s="46">
        <f>D31</f>
        <v>-51000000</v>
      </c>
      <c r="E17" s="46">
        <f t="shared" ref="E17:M17" si="1">E31</f>
        <v>-52530000</v>
      </c>
      <c r="F17" s="46">
        <f t="shared" si="1"/>
        <v>-54060000</v>
      </c>
      <c r="G17" s="46">
        <f t="shared" si="1"/>
        <v>-55590000</v>
      </c>
      <c r="H17" s="46">
        <f t="shared" si="1"/>
        <v>-57120000</v>
      </c>
      <c r="I17" s="46">
        <f t="shared" si="1"/>
        <v>-58650000</v>
      </c>
      <c r="J17" s="46">
        <f t="shared" si="1"/>
        <v>-60180000</v>
      </c>
      <c r="K17" s="46">
        <f t="shared" si="1"/>
        <v>-61710000</v>
      </c>
      <c r="L17" s="46">
        <f t="shared" si="1"/>
        <v>-63240000</v>
      </c>
      <c r="M17" s="46">
        <f t="shared" si="1"/>
        <v>-64770000</v>
      </c>
    </row>
    <row r="18" spans="2:13" ht="12" thickBot="1" x14ac:dyDescent="0.4">
      <c r="B18" s="44" t="s">
        <v>55</v>
      </c>
      <c r="C18" s="45">
        <f>CHOOSE(Drivers!$C$6,'Fixed Asset Roll Forward'!C4,'Fixed Asset Roll Forward'!C5,'Fixed Asset Roll Forward'!C6)</f>
        <v>510000000</v>
      </c>
      <c r="D18" s="45">
        <f>SUM(D15:D17)</f>
        <v>474300000</v>
      </c>
      <c r="E18" s="45">
        <f t="shared" ref="E18:M18" si="2">SUM(E15:E17)</f>
        <v>437070000</v>
      </c>
      <c r="F18" s="45">
        <f t="shared" si="2"/>
        <v>398310000</v>
      </c>
      <c r="G18" s="45">
        <f t="shared" si="2"/>
        <v>358020000</v>
      </c>
      <c r="H18" s="45">
        <f t="shared" si="2"/>
        <v>316200000</v>
      </c>
      <c r="I18" s="45">
        <f t="shared" si="2"/>
        <v>272850000</v>
      </c>
      <c r="J18" s="45">
        <f t="shared" si="2"/>
        <v>227970000</v>
      </c>
      <c r="K18" s="45">
        <f t="shared" si="2"/>
        <v>181560000</v>
      </c>
      <c r="L18" s="45">
        <f t="shared" si="2"/>
        <v>133620000</v>
      </c>
      <c r="M18" s="45">
        <f t="shared" si="2"/>
        <v>84150000</v>
      </c>
    </row>
    <row r="20" spans="2:13" ht="17.25" customHeight="1" thickBot="1" x14ac:dyDescent="0.4">
      <c r="B20" s="43" t="s">
        <v>56</v>
      </c>
      <c r="C20" s="43">
        <v>0</v>
      </c>
      <c r="D20" s="43">
        <v>1</v>
      </c>
      <c r="E20" s="43">
        <v>2</v>
      </c>
      <c r="F20" s="43">
        <v>3</v>
      </c>
      <c r="G20" s="43">
        <v>4</v>
      </c>
      <c r="H20" s="43">
        <v>5</v>
      </c>
      <c r="I20" s="43">
        <v>6</v>
      </c>
      <c r="J20" s="43">
        <v>7</v>
      </c>
      <c r="K20" s="43">
        <v>8</v>
      </c>
      <c r="L20" s="43">
        <v>9</v>
      </c>
      <c r="M20" s="43">
        <v>10</v>
      </c>
    </row>
    <row r="21" spans="2:13" x14ac:dyDescent="0.35">
      <c r="B21" s="28" t="s">
        <v>57</v>
      </c>
      <c r="D21" s="33">
        <f>-$D$15/$C$8</f>
        <v>-51000000</v>
      </c>
      <c r="E21" s="33">
        <f t="shared" ref="E21:M21" si="3">-$D$15/$C$8</f>
        <v>-51000000</v>
      </c>
      <c r="F21" s="33">
        <f t="shared" si="3"/>
        <v>-51000000</v>
      </c>
      <c r="G21" s="33">
        <f t="shared" si="3"/>
        <v>-51000000</v>
      </c>
      <c r="H21" s="33">
        <f t="shared" si="3"/>
        <v>-51000000</v>
      </c>
      <c r="I21" s="33">
        <f t="shared" si="3"/>
        <v>-51000000</v>
      </c>
      <c r="J21" s="33">
        <f t="shared" si="3"/>
        <v>-51000000</v>
      </c>
      <c r="K21" s="33">
        <f t="shared" si="3"/>
        <v>-51000000</v>
      </c>
      <c r="L21" s="33">
        <f t="shared" si="3"/>
        <v>-51000000</v>
      </c>
      <c r="M21" s="33">
        <f t="shared" si="3"/>
        <v>-51000000</v>
      </c>
    </row>
    <row r="22" spans="2:13" x14ac:dyDescent="0.35">
      <c r="B22" s="28" t="s">
        <v>58</v>
      </c>
      <c r="D22" s="46"/>
      <c r="E22" s="46">
        <f>-$D$16/$C$8</f>
        <v>-1530000</v>
      </c>
      <c r="F22" s="46">
        <f t="shared" ref="F22:M22" si="4">-$D$16/$C$8</f>
        <v>-1530000</v>
      </c>
      <c r="G22" s="46">
        <f t="shared" si="4"/>
        <v>-1530000</v>
      </c>
      <c r="H22" s="46">
        <f t="shared" si="4"/>
        <v>-1530000</v>
      </c>
      <c r="I22" s="46">
        <f t="shared" si="4"/>
        <v>-1530000</v>
      </c>
      <c r="J22" s="46">
        <f t="shared" si="4"/>
        <v>-1530000</v>
      </c>
      <c r="K22" s="46">
        <f t="shared" si="4"/>
        <v>-1530000</v>
      </c>
      <c r="L22" s="46">
        <f t="shared" si="4"/>
        <v>-1530000</v>
      </c>
      <c r="M22" s="46">
        <f t="shared" si="4"/>
        <v>-1530000</v>
      </c>
    </row>
    <row r="23" spans="2:13" x14ac:dyDescent="0.35">
      <c r="B23" s="28" t="s">
        <v>59</v>
      </c>
      <c r="D23" s="46"/>
      <c r="E23" s="46"/>
      <c r="F23" s="46">
        <f>-$E$16/$C$8</f>
        <v>-1530000</v>
      </c>
      <c r="G23" s="46">
        <f t="shared" ref="G23:M23" si="5">-$E$16/$C$8</f>
        <v>-1530000</v>
      </c>
      <c r="H23" s="46">
        <f t="shared" si="5"/>
        <v>-1530000</v>
      </c>
      <c r="I23" s="46">
        <f t="shared" si="5"/>
        <v>-1530000</v>
      </c>
      <c r="J23" s="46">
        <f t="shared" si="5"/>
        <v>-1530000</v>
      </c>
      <c r="K23" s="46">
        <f t="shared" si="5"/>
        <v>-1530000</v>
      </c>
      <c r="L23" s="46">
        <f t="shared" si="5"/>
        <v>-1530000</v>
      </c>
      <c r="M23" s="46">
        <f t="shared" si="5"/>
        <v>-1530000</v>
      </c>
    </row>
    <row r="24" spans="2:13" x14ac:dyDescent="0.35">
      <c r="B24" s="28" t="s">
        <v>60</v>
      </c>
      <c r="D24" s="46"/>
      <c r="E24" s="46"/>
      <c r="F24" s="46"/>
      <c r="G24" s="46">
        <f>-$F$16/$C$8</f>
        <v>-1530000</v>
      </c>
      <c r="H24" s="46">
        <f t="shared" ref="H24:M24" si="6">-$F$16/$C$8</f>
        <v>-1530000</v>
      </c>
      <c r="I24" s="46">
        <f t="shared" si="6"/>
        <v>-1530000</v>
      </c>
      <c r="J24" s="46">
        <f t="shared" si="6"/>
        <v>-1530000</v>
      </c>
      <c r="K24" s="46">
        <f t="shared" si="6"/>
        <v>-1530000</v>
      </c>
      <c r="L24" s="46">
        <f t="shared" si="6"/>
        <v>-1530000</v>
      </c>
      <c r="M24" s="46">
        <f t="shared" si="6"/>
        <v>-1530000</v>
      </c>
    </row>
    <row r="25" spans="2:13" x14ac:dyDescent="0.35">
      <c r="B25" s="28" t="s">
        <v>61</v>
      </c>
      <c r="D25" s="46"/>
      <c r="E25" s="46"/>
      <c r="F25" s="46"/>
      <c r="G25" s="46"/>
      <c r="H25" s="46">
        <f>-$G$16/$C$8</f>
        <v>-1530000</v>
      </c>
      <c r="I25" s="46">
        <f t="shared" ref="I25:M25" si="7">-$G$16/$C$8</f>
        <v>-1530000</v>
      </c>
      <c r="J25" s="46">
        <f t="shared" si="7"/>
        <v>-1530000</v>
      </c>
      <c r="K25" s="46">
        <f t="shared" si="7"/>
        <v>-1530000</v>
      </c>
      <c r="L25" s="46">
        <f t="shared" si="7"/>
        <v>-1530000</v>
      </c>
      <c r="M25" s="46">
        <f t="shared" si="7"/>
        <v>-1530000</v>
      </c>
    </row>
    <row r="26" spans="2:13" x14ac:dyDescent="0.35">
      <c r="B26" s="28" t="s">
        <v>62</v>
      </c>
      <c r="D26" s="46"/>
      <c r="E26" s="46"/>
      <c r="F26" s="46"/>
      <c r="G26" s="46"/>
      <c r="H26" s="46"/>
      <c r="I26" s="46">
        <f>-$H$16/$C$8</f>
        <v>-1530000</v>
      </c>
      <c r="J26" s="46">
        <f t="shared" ref="J26:M26" si="8">-$H$16/$C$8</f>
        <v>-1530000</v>
      </c>
      <c r="K26" s="46">
        <f t="shared" si="8"/>
        <v>-1530000</v>
      </c>
      <c r="L26" s="46">
        <f t="shared" si="8"/>
        <v>-1530000</v>
      </c>
      <c r="M26" s="46">
        <f t="shared" si="8"/>
        <v>-1530000</v>
      </c>
    </row>
    <row r="27" spans="2:13" x14ac:dyDescent="0.35">
      <c r="B27" s="28" t="s">
        <v>63</v>
      </c>
      <c r="D27" s="46"/>
      <c r="E27" s="46"/>
      <c r="F27" s="46"/>
      <c r="G27" s="46"/>
      <c r="H27" s="46"/>
      <c r="I27" s="46"/>
      <c r="J27" s="46">
        <f>-$I$16/$C$8</f>
        <v>-1530000</v>
      </c>
      <c r="K27" s="46">
        <f t="shared" ref="K27:M27" si="9">-$I$16/$C$8</f>
        <v>-1530000</v>
      </c>
      <c r="L27" s="46">
        <f t="shared" si="9"/>
        <v>-1530000</v>
      </c>
      <c r="M27" s="46">
        <f t="shared" si="9"/>
        <v>-1530000</v>
      </c>
    </row>
    <row r="28" spans="2:13" x14ac:dyDescent="0.35">
      <c r="B28" s="28" t="s">
        <v>64</v>
      </c>
      <c r="D28" s="46"/>
      <c r="E28" s="46"/>
      <c r="F28" s="46"/>
      <c r="G28" s="46"/>
      <c r="H28" s="46"/>
      <c r="I28" s="46"/>
      <c r="J28" s="46"/>
      <c r="K28" s="46">
        <f>-$K$16/$C$8</f>
        <v>-1530000</v>
      </c>
      <c r="L28" s="46">
        <f t="shared" ref="L28:M28" si="10">-$K$16/$C$8</f>
        <v>-1530000</v>
      </c>
      <c r="M28" s="46">
        <f t="shared" si="10"/>
        <v>-1530000</v>
      </c>
    </row>
    <row r="29" spans="2:13" x14ac:dyDescent="0.35">
      <c r="B29" s="28" t="s">
        <v>65</v>
      </c>
      <c r="D29" s="46"/>
      <c r="E29" s="46"/>
      <c r="F29" s="46"/>
      <c r="G29" s="46"/>
      <c r="H29" s="46"/>
      <c r="I29" s="46"/>
      <c r="J29" s="46"/>
      <c r="K29" s="46"/>
      <c r="L29" s="46">
        <f>-K16/$C$8</f>
        <v>-1530000</v>
      </c>
      <c r="M29" s="46">
        <f>-L16/$C$8</f>
        <v>-1530000</v>
      </c>
    </row>
    <row r="30" spans="2:13" x14ac:dyDescent="0.35">
      <c r="B30" s="28" t="s">
        <v>66</v>
      </c>
      <c r="D30" s="46"/>
      <c r="E30" s="46"/>
      <c r="F30" s="46"/>
      <c r="G30" s="46"/>
      <c r="H30" s="46"/>
      <c r="I30" s="46"/>
      <c r="J30" s="46"/>
      <c r="K30" s="46"/>
      <c r="L30" s="46"/>
      <c r="M30" s="46">
        <f>-$L$16/$C$8</f>
        <v>-1530000</v>
      </c>
    </row>
    <row r="31" spans="2:13" ht="12" thickBot="1" x14ac:dyDescent="0.4">
      <c r="B31" s="44" t="s">
        <v>67</v>
      </c>
      <c r="C31" s="44"/>
      <c r="D31" s="47">
        <f>SUM(D21:D30)</f>
        <v>-51000000</v>
      </c>
      <c r="E31" s="47">
        <f t="shared" ref="E31:M31" si="11">SUM(E21:E30)</f>
        <v>-52530000</v>
      </c>
      <c r="F31" s="47">
        <f t="shared" si="11"/>
        <v>-54060000</v>
      </c>
      <c r="G31" s="47">
        <f t="shared" si="11"/>
        <v>-55590000</v>
      </c>
      <c r="H31" s="47">
        <f t="shared" si="11"/>
        <v>-57120000</v>
      </c>
      <c r="I31" s="47">
        <f t="shared" si="11"/>
        <v>-58650000</v>
      </c>
      <c r="J31" s="47">
        <f t="shared" si="11"/>
        <v>-60180000</v>
      </c>
      <c r="K31" s="47">
        <f t="shared" si="11"/>
        <v>-61710000</v>
      </c>
      <c r="L31" s="47">
        <f t="shared" si="11"/>
        <v>-63240000</v>
      </c>
      <c r="M31" s="47">
        <f t="shared" si="11"/>
        <v>-64770000</v>
      </c>
    </row>
    <row r="32" spans="2:13" x14ac:dyDescent="0.35"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F92E-0064-4D25-BCB6-3DEB13CEF517}">
  <sheetPr>
    <tabColor theme="0"/>
  </sheetPr>
  <dimension ref="B1:O19"/>
  <sheetViews>
    <sheetView workbookViewId="0">
      <selection activeCell="G39" sqref="G39"/>
    </sheetView>
  </sheetViews>
  <sheetFormatPr defaultRowHeight="14.25" x14ac:dyDescent="0.45"/>
  <cols>
    <col min="1" max="1" width="1.86328125" style="24" customWidth="1"/>
    <col min="2" max="2" width="21.6640625" style="24" bestFit="1" customWidth="1"/>
    <col min="3" max="3" width="15" style="24" bestFit="1" customWidth="1"/>
    <col min="4" max="4" width="14.3984375" style="24" bestFit="1" customWidth="1"/>
    <col min="5" max="5" width="14.46484375" style="24" bestFit="1" customWidth="1"/>
    <col min="6" max="13" width="14.3984375" style="24" bestFit="1" customWidth="1"/>
    <col min="14" max="16384" width="9.06640625" style="24"/>
  </cols>
  <sheetData>
    <row r="1" spans="2:15" ht="15.75" x14ac:dyDescent="0.5">
      <c r="B1" s="25" t="s">
        <v>68</v>
      </c>
    </row>
    <row r="3" spans="2:15" x14ac:dyDescent="0.45">
      <c r="B3" s="24" t="s">
        <v>69</v>
      </c>
      <c r="C3" s="48">
        <f>'Fixed Asset Roll Forward'!D15</f>
        <v>510000000</v>
      </c>
    </row>
    <row r="5" spans="2:15" ht="14.65" thickBot="1" x14ac:dyDescent="0.5">
      <c r="B5" s="14" t="s">
        <v>9</v>
      </c>
      <c r="C5" s="14"/>
    </row>
    <row r="6" spans="2:15" x14ac:dyDescent="0.45">
      <c r="B6" s="12" t="s">
        <v>25</v>
      </c>
      <c r="C6" s="2">
        <f>Drivers!C41</f>
        <v>300000000</v>
      </c>
    </row>
    <row r="7" spans="2:15" x14ac:dyDescent="0.45">
      <c r="B7" s="12" t="s">
        <v>11</v>
      </c>
      <c r="C7" s="20">
        <f>Drivers!C42</f>
        <v>0.04</v>
      </c>
    </row>
    <row r="8" spans="2:15" x14ac:dyDescent="0.45">
      <c r="B8" s="12" t="s">
        <v>14</v>
      </c>
      <c r="C8" s="50" t="str">
        <f>Drivers!C43</f>
        <v>10 years</v>
      </c>
    </row>
    <row r="10" spans="2:15" ht="14.65" thickBot="1" x14ac:dyDescent="0.5">
      <c r="B10" s="51" t="s">
        <v>51</v>
      </c>
      <c r="C10" s="51">
        <v>0</v>
      </c>
      <c r="D10" s="51">
        <v>1</v>
      </c>
      <c r="E10" s="51">
        <v>2</v>
      </c>
      <c r="F10" s="51">
        <v>3</v>
      </c>
      <c r="G10" s="51">
        <v>4</v>
      </c>
      <c r="H10" s="51">
        <v>5</v>
      </c>
      <c r="I10" s="51">
        <v>6</v>
      </c>
      <c r="J10" s="51">
        <v>7</v>
      </c>
      <c r="K10" s="51">
        <v>8</v>
      </c>
      <c r="L10" s="51">
        <v>9</v>
      </c>
      <c r="M10" s="51">
        <v>10</v>
      </c>
    </row>
    <row r="11" spans="2:15" x14ac:dyDescent="0.45">
      <c r="B11" s="24" t="s">
        <v>70</v>
      </c>
      <c r="C11" s="53">
        <f>C6</f>
        <v>300000000</v>
      </c>
      <c r="D11" s="55">
        <f>C14</f>
        <v>300000000</v>
      </c>
      <c r="E11" s="55">
        <f t="shared" ref="E11:M11" si="0">D14</f>
        <v>300000000</v>
      </c>
      <c r="F11" s="55">
        <f t="shared" si="0"/>
        <v>285000000</v>
      </c>
      <c r="G11" s="55">
        <f t="shared" si="0"/>
        <v>255000000</v>
      </c>
      <c r="H11" s="55">
        <f t="shared" si="0"/>
        <v>225000000</v>
      </c>
      <c r="I11" s="55">
        <f t="shared" si="0"/>
        <v>195000000</v>
      </c>
      <c r="J11" s="55">
        <f t="shared" si="0"/>
        <v>165000000</v>
      </c>
      <c r="K11" s="55">
        <f t="shared" si="0"/>
        <v>135000000</v>
      </c>
      <c r="L11" s="55">
        <f t="shared" si="0"/>
        <v>105000000</v>
      </c>
      <c r="M11" s="55">
        <f t="shared" si="0"/>
        <v>75000000</v>
      </c>
    </row>
    <row r="12" spans="2:15" x14ac:dyDescent="0.45">
      <c r="B12" s="24" t="s">
        <v>71</v>
      </c>
      <c r="E12" s="55">
        <f>-$D$11*E13</f>
        <v>-15000000</v>
      </c>
      <c r="F12" s="55">
        <f t="shared" ref="F12:M12" si="1">-$D$11*F13</f>
        <v>-30000000</v>
      </c>
      <c r="G12" s="55">
        <f t="shared" si="1"/>
        <v>-30000000</v>
      </c>
      <c r="H12" s="55">
        <f t="shared" si="1"/>
        <v>-30000000</v>
      </c>
      <c r="I12" s="55">
        <f t="shared" si="1"/>
        <v>-30000000</v>
      </c>
      <c r="J12" s="55">
        <f t="shared" si="1"/>
        <v>-30000000</v>
      </c>
      <c r="K12" s="55">
        <f t="shared" si="1"/>
        <v>-30000000</v>
      </c>
      <c r="L12" s="55">
        <f t="shared" si="1"/>
        <v>-30000000</v>
      </c>
      <c r="M12" s="55">
        <f t="shared" si="1"/>
        <v>-30000000</v>
      </c>
    </row>
    <row r="13" spans="2:15" x14ac:dyDescent="0.45">
      <c r="B13" s="24" t="s">
        <v>17</v>
      </c>
      <c r="C13" s="7">
        <v>0</v>
      </c>
      <c r="D13" s="7">
        <v>0</v>
      </c>
      <c r="E13" s="7">
        <v>0.05</v>
      </c>
      <c r="F13" s="7">
        <v>0.1</v>
      </c>
      <c r="G13" s="7">
        <v>0.1</v>
      </c>
      <c r="H13" s="7">
        <v>0.1</v>
      </c>
      <c r="I13" s="7">
        <v>0.1</v>
      </c>
      <c r="J13" s="7">
        <v>0.1</v>
      </c>
      <c r="K13" s="7">
        <v>0.1</v>
      </c>
      <c r="L13" s="7">
        <v>0.1</v>
      </c>
      <c r="M13" s="7">
        <v>0.1</v>
      </c>
      <c r="N13" s="13"/>
      <c r="O13" s="13"/>
    </row>
    <row r="14" spans="2:15" x14ac:dyDescent="0.45">
      <c r="B14" s="52" t="s">
        <v>72</v>
      </c>
      <c r="C14" s="54">
        <f>SUM(C11:C13)</f>
        <v>300000000</v>
      </c>
      <c r="D14" s="56">
        <f t="shared" ref="D14:M14" si="2">SUM(D11:D13)</f>
        <v>300000000</v>
      </c>
      <c r="E14" s="56">
        <f>SUM(E11:E12)</f>
        <v>285000000</v>
      </c>
      <c r="F14" s="56">
        <f t="shared" ref="F14:M14" si="3">SUM(F11:F12)</f>
        <v>255000000</v>
      </c>
      <c r="G14" s="56">
        <f t="shared" si="3"/>
        <v>225000000</v>
      </c>
      <c r="H14" s="56">
        <f t="shared" si="3"/>
        <v>195000000</v>
      </c>
      <c r="I14" s="56">
        <f t="shared" si="3"/>
        <v>165000000</v>
      </c>
      <c r="J14" s="56">
        <f t="shared" si="3"/>
        <v>135000000</v>
      </c>
      <c r="K14" s="56">
        <f t="shared" si="3"/>
        <v>105000000</v>
      </c>
      <c r="L14" s="56">
        <f t="shared" si="3"/>
        <v>75000000</v>
      </c>
      <c r="M14" s="56">
        <f t="shared" si="3"/>
        <v>45000000</v>
      </c>
    </row>
    <row r="16" spans="2:15" x14ac:dyDescent="0.45">
      <c r="B16" s="39" t="s">
        <v>73</v>
      </c>
      <c r="C16" s="55">
        <f>IF(C10=0,0,-C11*$C$7)</f>
        <v>0</v>
      </c>
      <c r="D16" s="55">
        <f t="shared" ref="D16:M16" si="4">IF(D10=0,0,-D11*$C$7)</f>
        <v>-12000000</v>
      </c>
      <c r="E16" s="55">
        <f t="shared" si="4"/>
        <v>-12000000</v>
      </c>
      <c r="F16" s="55">
        <f t="shared" si="4"/>
        <v>-11400000</v>
      </c>
      <c r="G16" s="55">
        <f t="shared" si="4"/>
        <v>-10200000</v>
      </c>
      <c r="H16" s="55">
        <f t="shared" si="4"/>
        <v>-9000000</v>
      </c>
      <c r="I16" s="55">
        <f t="shared" si="4"/>
        <v>-7800000</v>
      </c>
      <c r="J16" s="55">
        <f t="shared" si="4"/>
        <v>-6600000</v>
      </c>
      <c r="K16" s="55">
        <f t="shared" si="4"/>
        <v>-5400000</v>
      </c>
      <c r="L16" s="55">
        <f t="shared" si="4"/>
        <v>-4200000</v>
      </c>
      <c r="M16" s="55">
        <f t="shared" si="4"/>
        <v>-3000000</v>
      </c>
    </row>
    <row r="18" spans="2:13" x14ac:dyDescent="0.45">
      <c r="B18" s="64" t="s">
        <v>74</v>
      </c>
      <c r="C18" s="73">
        <f>'Cash Flow'!C12</f>
        <v>-510000000</v>
      </c>
      <c r="D18" s="73">
        <f>'Cash Flow'!D12</f>
        <v>45684240</v>
      </c>
      <c r="E18" s="73">
        <f>'Cash Flow'!E12</f>
        <v>31684082.400000006</v>
      </c>
      <c r="F18" s="73">
        <f>'Cash Flow'!F12</f>
        <v>18109333.223999992</v>
      </c>
      <c r="G18" s="73">
        <f>'Cash Flow'!G12</f>
        <v>19960046.556240007</v>
      </c>
      <c r="H18" s="73">
        <f>'Cash Flow'!H12</f>
        <v>21816277.021802396</v>
      </c>
      <c r="I18" s="73">
        <f>'Cash Flow'!I12</f>
        <v>23678079.792020425</v>
      </c>
      <c r="J18" s="73">
        <f>'Cash Flow'!J12</f>
        <v>25545510.589940637</v>
      </c>
      <c r="K18" s="73">
        <f>'Cash Flow'!K12</f>
        <v>27418625.695840046</v>
      </c>
      <c r="L18" s="73">
        <f>'Cash Flow'!L12</f>
        <v>29297481.952798426</v>
      </c>
      <c r="M18" s="73">
        <f>'Cash Flow'!M12</f>
        <v>31182136.77232641</v>
      </c>
    </row>
    <row r="19" spans="2:13" x14ac:dyDescent="0.45">
      <c r="B19" s="52" t="s">
        <v>75</v>
      </c>
      <c r="C19" s="54">
        <f>-(C14+C18)</f>
        <v>210000000</v>
      </c>
      <c r="D19" s="54">
        <f>IF(D18&gt;0,C19,C19-D18)</f>
        <v>210000000</v>
      </c>
      <c r="E19" s="54">
        <f t="shared" ref="E19:M19" si="5">IF(E18&gt;0,D19,D19-E18)</f>
        <v>210000000</v>
      </c>
      <c r="F19" s="54">
        <f t="shared" si="5"/>
        <v>210000000</v>
      </c>
      <c r="G19" s="54">
        <f t="shared" si="5"/>
        <v>210000000</v>
      </c>
      <c r="H19" s="54">
        <f t="shared" si="5"/>
        <v>210000000</v>
      </c>
      <c r="I19" s="54">
        <f t="shared" si="5"/>
        <v>210000000</v>
      </c>
      <c r="J19" s="54">
        <f t="shared" si="5"/>
        <v>210000000</v>
      </c>
      <c r="K19" s="54">
        <f t="shared" si="5"/>
        <v>210000000</v>
      </c>
      <c r="L19" s="54">
        <f t="shared" si="5"/>
        <v>210000000</v>
      </c>
      <c r="M19" s="54">
        <f t="shared" si="5"/>
        <v>210000000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EBB-33CC-493D-BA7B-220A04EEC1E6}">
  <dimension ref="B1:L11"/>
  <sheetViews>
    <sheetView workbookViewId="0">
      <selection activeCell="D16" sqref="D16"/>
    </sheetView>
  </sheetViews>
  <sheetFormatPr defaultColWidth="13.3984375" defaultRowHeight="11.65" x14ac:dyDescent="0.35"/>
  <cols>
    <col min="1" max="1" width="1.86328125" style="28" customWidth="1"/>
    <col min="2" max="2" width="19.1328125" style="28" customWidth="1"/>
    <col min="3" max="6" width="13.1328125" style="28" bestFit="1" customWidth="1"/>
    <col min="7" max="12" width="12.19921875" style="28" bestFit="1" customWidth="1"/>
    <col min="13" max="16384" width="13.3984375" style="28"/>
  </cols>
  <sheetData>
    <row r="1" spans="2:12" ht="13.9" x14ac:dyDescent="0.4">
      <c r="B1" s="41" t="s">
        <v>82</v>
      </c>
    </row>
    <row r="3" spans="2:12" ht="12" thickBot="1" x14ac:dyDescent="0.4">
      <c r="B3" s="14" t="s">
        <v>51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</row>
    <row r="4" spans="2:12" x14ac:dyDescent="0.35">
      <c r="B4" s="28" t="s">
        <v>46</v>
      </c>
      <c r="C4" s="33">
        <f>Revenue!C38</f>
        <v>91980000</v>
      </c>
      <c r="D4" s="33">
        <f>Revenue!D38</f>
        <v>92899800</v>
      </c>
      <c r="E4" s="33">
        <f>Revenue!E38</f>
        <v>93828798</v>
      </c>
      <c r="F4" s="33">
        <f>Revenue!F38</f>
        <v>94767085.980000004</v>
      </c>
      <c r="G4" s="33">
        <f>Revenue!G38</f>
        <v>95714756.8398</v>
      </c>
      <c r="H4" s="33">
        <f>Revenue!H38</f>
        <v>96671904.408197999</v>
      </c>
      <c r="I4" s="33">
        <f>Revenue!I38</f>
        <v>97638623.452279985</v>
      </c>
      <c r="J4" s="33">
        <f>Revenue!J38</f>
        <v>98615009.68680279</v>
      </c>
      <c r="K4" s="33">
        <f>Revenue!K38</f>
        <v>99601159.783670813</v>
      </c>
      <c r="L4" s="33">
        <f>Revenue!L38</f>
        <v>100597171.38150752</v>
      </c>
    </row>
    <row r="5" spans="2:12" x14ac:dyDescent="0.35">
      <c r="B5" s="28" t="s">
        <v>42</v>
      </c>
      <c r="C5" s="33">
        <f>Opex!C23</f>
        <v>-14716800</v>
      </c>
      <c r="D5" s="33">
        <f>Opex!D23</f>
        <v>-14863968</v>
      </c>
      <c r="E5" s="33">
        <f>Opex!E23</f>
        <v>-15012607.68</v>
      </c>
      <c r="F5" s="33">
        <f>Opex!F23</f>
        <v>-15162733.756800001</v>
      </c>
      <c r="G5" s="33">
        <f>Opex!G23</f>
        <v>-15314361.094368</v>
      </c>
      <c r="H5" s="33">
        <f>Opex!H23</f>
        <v>-15467504.70531168</v>
      </c>
      <c r="I5" s="33">
        <f>Opex!I23</f>
        <v>-15622179.752364798</v>
      </c>
      <c r="J5" s="33">
        <f>Opex!J23</f>
        <v>-15778401.549888447</v>
      </c>
      <c r="K5" s="33">
        <f>Opex!K23</f>
        <v>-15936185.565387331</v>
      </c>
      <c r="L5" s="33">
        <f>Opex!L23</f>
        <v>-16095547.421041204</v>
      </c>
    </row>
    <row r="6" spans="2:12" x14ac:dyDescent="0.35">
      <c r="B6" s="28" t="s">
        <v>54</v>
      </c>
      <c r="C6" s="33">
        <f>'Fixed Asset Roll Forward'!D17</f>
        <v>-51000000</v>
      </c>
      <c r="D6" s="33">
        <f>'Fixed Asset Roll Forward'!E17</f>
        <v>-52530000</v>
      </c>
      <c r="E6" s="33">
        <f>'Fixed Asset Roll Forward'!F17</f>
        <v>-54060000</v>
      </c>
      <c r="F6" s="33">
        <f>'Fixed Asset Roll Forward'!G17</f>
        <v>-55590000</v>
      </c>
      <c r="G6" s="33">
        <f>'Fixed Asset Roll Forward'!H17</f>
        <v>-57120000</v>
      </c>
      <c r="H6" s="33">
        <f>'Fixed Asset Roll Forward'!I17</f>
        <v>-58650000</v>
      </c>
      <c r="I6" s="33">
        <f>'Fixed Asset Roll Forward'!J17</f>
        <v>-60180000</v>
      </c>
      <c r="J6" s="33">
        <f>'Fixed Asset Roll Forward'!K17</f>
        <v>-61710000</v>
      </c>
      <c r="K6" s="33">
        <f>'Fixed Asset Roll Forward'!L17</f>
        <v>-63240000</v>
      </c>
      <c r="L6" s="33">
        <f>'Fixed Asset Roll Forward'!M17</f>
        <v>-64770000</v>
      </c>
    </row>
    <row r="7" spans="2:12" x14ac:dyDescent="0.35">
      <c r="B7" s="57" t="s">
        <v>83</v>
      </c>
      <c r="C7" s="67">
        <f>SUM(C4:C6)</f>
        <v>26263200</v>
      </c>
      <c r="D7" s="67">
        <f t="shared" ref="D7:L7" si="0">SUM(D4:D6)</f>
        <v>25505832</v>
      </c>
      <c r="E7" s="67">
        <f t="shared" si="0"/>
        <v>24756190.319999993</v>
      </c>
      <c r="F7" s="67">
        <f t="shared" si="0"/>
        <v>24014352.223200008</v>
      </c>
      <c r="G7" s="67">
        <f t="shared" si="0"/>
        <v>23280395.745432004</v>
      </c>
      <c r="H7" s="67">
        <f t="shared" si="0"/>
        <v>22554399.702886313</v>
      </c>
      <c r="I7" s="67">
        <f t="shared" si="0"/>
        <v>21836443.699915186</v>
      </c>
      <c r="J7" s="67">
        <f t="shared" si="0"/>
        <v>21126608.136914343</v>
      </c>
      <c r="K7" s="67">
        <f t="shared" si="0"/>
        <v>20424974.218283474</v>
      </c>
      <c r="L7" s="67">
        <f t="shared" si="0"/>
        <v>19731623.96046631</v>
      </c>
    </row>
    <row r="8" spans="2:12" x14ac:dyDescent="0.35">
      <c r="B8" s="40" t="s">
        <v>73</v>
      </c>
      <c r="C8" s="60">
        <f>Financing!D16</f>
        <v>-12000000</v>
      </c>
      <c r="D8" s="60">
        <f>Financing!E16</f>
        <v>-12000000</v>
      </c>
      <c r="E8" s="60">
        <f>Financing!F16</f>
        <v>-11400000</v>
      </c>
      <c r="F8" s="60">
        <f>Financing!G16</f>
        <v>-10200000</v>
      </c>
      <c r="G8" s="60">
        <f>Financing!H16</f>
        <v>-9000000</v>
      </c>
      <c r="H8" s="60">
        <f>Financing!I16</f>
        <v>-7800000</v>
      </c>
      <c r="I8" s="60">
        <f>Financing!J16</f>
        <v>-6600000</v>
      </c>
      <c r="J8" s="60">
        <f>Financing!K16</f>
        <v>-5400000</v>
      </c>
      <c r="K8" s="60">
        <f>Financing!L16</f>
        <v>-4200000</v>
      </c>
      <c r="L8" s="60">
        <f>Financing!M16</f>
        <v>-3000000</v>
      </c>
    </row>
    <row r="9" spans="2:12" x14ac:dyDescent="0.35">
      <c r="B9" s="36" t="s">
        <v>84</v>
      </c>
      <c r="C9" s="68">
        <f>SUM(C7:C8)</f>
        <v>14263200</v>
      </c>
      <c r="D9" s="68">
        <f t="shared" ref="D9:L9" si="1">SUM(D7:D8)</f>
        <v>13505832</v>
      </c>
      <c r="E9" s="68">
        <f t="shared" si="1"/>
        <v>13356190.319999993</v>
      </c>
      <c r="F9" s="68">
        <f t="shared" si="1"/>
        <v>13814352.223200008</v>
      </c>
      <c r="G9" s="68">
        <f t="shared" si="1"/>
        <v>14280395.745432004</v>
      </c>
      <c r="H9" s="68">
        <f t="shared" si="1"/>
        <v>14754399.702886313</v>
      </c>
      <c r="I9" s="68">
        <f t="shared" si="1"/>
        <v>15236443.699915186</v>
      </c>
      <c r="J9" s="68">
        <f t="shared" si="1"/>
        <v>15726608.136914343</v>
      </c>
      <c r="K9" s="68">
        <f t="shared" si="1"/>
        <v>16224974.218283474</v>
      </c>
      <c r="L9" s="68">
        <f t="shared" si="1"/>
        <v>16731623.96046631</v>
      </c>
    </row>
    <row r="10" spans="2:12" x14ac:dyDescent="0.35">
      <c r="B10" s="69" t="s">
        <v>77</v>
      </c>
      <c r="C10" s="70">
        <f>IF(-C9*Drivers!$C$48&gt;0,0,-C9*Drivers!$C$48)</f>
        <v>-4278960</v>
      </c>
      <c r="D10" s="70">
        <f>IF(-D9*Drivers!$C$48&gt;0,0,-D9*Drivers!$C$48)</f>
        <v>-4051749.5999999996</v>
      </c>
      <c r="E10" s="70">
        <f>IF(-E9*Drivers!$C$48&gt;0,0,-E9*Drivers!$C$48)</f>
        <v>-4006857.0959999976</v>
      </c>
      <c r="F10" s="70">
        <f>IF(-F9*Drivers!$C$48&gt;0,0,-F9*Drivers!$C$48)</f>
        <v>-4144305.6669600024</v>
      </c>
      <c r="G10" s="70">
        <f>IF(-G9*Drivers!$C$48&gt;0,0,-G9*Drivers!$C$48)</f>
        <v>-4284118.7236296013</v>
      </c>
      <c r="H10" s="70">
        <f>IF(-H9*Drivers!$C$48&gt;0,0,-H9*Drivers!$C$48)</f>
        <v>-4426319.9108658936</v>
      </c>
      <c r="I10" s="70">
        <f>IF(-I9*Drivers!$C$48&gt;0,0,-I9*Drivers!$C$48)</f>
        <v>-4570933.1099745557</v>
      </c>
      <c r="J10" s="70">
        <f>IF(-J9*Drivers!$C$48&gt;0,0,-J9*Drivers!$C$48)</f>
        <v>-4717982.4410743024</v>
      </c>
      <c r="K10" s="70">
        <f>IF(-K9*Drivers!$C$48&gt;0,0,-K9*Drivers!$C$48)</f>
        <v>-4867492.2654850418</v>
      </c>
      <c r="L10" s="70">
        <f>IF(-L9*Drivers!$C$48&gt;0,0,-L9*Drivers!$C$48)</f>
        <v>-5019487.1881398931</v>
      </c>
    </row>
    <row r="11" spans="2:12" ht="18" customHeight="1" thickBot="1" x14ac:dyDescent="0.4">
      <c r="B11" s="44" t="s">
        <v>85</v>
      </c>
      <c r="C11" s="47">
        <f>C9+C10</f>
        <v>9984240</v>
      </c>
      <c r="D11" s="47">
        <f t="shared" ref="D11:L11" si="2">D9+D10</f>
        <v>9454082.4000000004</v>
      </c>
      <c r="E11" s="47">
        <f t="shared" si="2"/>
        <v>9349333.2239999957</v>
      </c>
      <c r="F11" s="47">
        <f t="shared" si="2"/>
        <v>9670046.5562400054</v>
      </c>
      <c r="G11" s="47">
        <f t="shared" si="2"/>
        <v>9996277.021802403</v>
      </c>
      <c r="H11" s="47">
        <f t="shared" si="2"/>
        <v>10328079.79202042</v>
      </c>
      <c r="I11" s="47">
        <f t="shared" si="2"/>
        <v>10665510.58994063</v>
      </c>
      <c r="J11" s="47">
        <f t="shared" si="2"/>
        <v>11008625.69584004</v>
      </c>
      <c r="K11" s="47">
        <f t="shared" si="2"/>
        <v>11357481.952798434</v>
      </c>
      <c r="L11" s="47">
        <f t="shared" si="2"/>
        <v>11712136.772326417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DE0-FDAE-4F28-8147-3BEDE1959694}">
  <dimension ref="B1:M39"/>
  <sheetViews>
    <sheetView workbookViewId="0">
      <selection activeCell="F41" sqref="F41"/>
    </sheetView>
  </sheetViews>
  <sheetFormatPr defaultRowHeight="11.65" x14ac:dyDescent="0.35"/>
  <cols>
    <col min="1" max="1" width="1.86328125" style="33" customWidth="1"/>
    <col min="2" max="2" width="21" style="33" bestFit="1" customWidth="1"/>
    <col min="3" max="3" width="11.86328125" style="33" bestFit="1" customWidth="1"/>
    <col min="4" max="13" width="11.6640625" style="33" bestFit="1" customWidth="1"/>
    <col min="14" max="16384" width="9.06640625" style="33"/>
  </cols>
  <sheetData>
    <row r="1" spans="2:13" ht="15" x14ac:dyDescent="0.4">
      <c r="B1" s="74" t="s">
        <v>86</v>
      </c>
    </row>
    <row r="3" spans="2:13" x14ac:dyDescent="0.35">
      <c r="B3" s="33" t="s">
        <v>87</v>
      </c>
      <c r="C3" s="42">
        <f>Drivers!C42</f>
        <v>0.04</v>
      </c>
    </row>
    <row r="4" spans="2:13" x14ac:dyDescent="0.35">
      <c r="B4" s="33" t="s">
        <v>88</v>
      </c>
      <c r="C4" s="42">
        <f>Drivers!C60</f>
        <v>0.02</v>
      </c>
    </row>
    <row r="5" spans="2:13" x14ac:dyDescent="0.35">
      <c r="B5" s="33" t="s">
        <v>89</v>
      </c>
      <c r="C5" s="42">
        <f>Drivers!C48</f>
        <v>0.3</v>
      </c>
    </row>
    <row r="6" spans="2:13" x14ac:dyDescent="0.35">
      <c r="B6" s="33" t="s">
        <v>90</v>
      </c>
      <c r="C6" s="75">
        <f>Drivers!C59</f>
        <v>5.5E-2</v>
      </c>
    </row>
    <row r="7" spans="2:13" x14ac:dyDescent="0.35">
      <c r="B7" s="33" t="s">
        <v>104</v>
      </c>
      <c r="C7" s="32">
        <f>Drivers!C56</f>
        <v>0.9</v>
      </c>
    </row>
    <row r="9" spans="2:13" ht="12" thickBot="1" x14ac:dyDescent="0.4">
      <c r="B9" s="14" t="s">
        <v>18</v>
      </c>
      <c r="C9" s="8" t="s">
        <v>23</v>
      </c>
      <c r="D9" s="8" t="s">
        <v>20</v>
      </c>
    </row>
    <row r="10" spans="2:13" x14ac:dyDescent="0.35">
      <c r="B10" s="12" t="s">
        <v>19</v>
      </c>
      <c r="C10" s="13">
        <f>Drivers!C52</f>
        <v>0.7</v>
      </c>
      <c r="D10" s="49">
        <f>Drivers!D52</f>
        <v>0.5</v>
      </c>
    </row>
    <row r="11" spans="2:13" x14ac:dyDescent="0.35">
      <c r="B11" s="12" t="s">
        <v>21</v>
      </c>
      <c r="C11" s="13">
        <f>Drivers!C53</f>
        <v>0.8</v>
      </c>
      <c r="D11" s="49">
        <f>Drivers!D53</f>
        <v>0.4</v>
      </c>
    </row>
    <row r="12" spans="2:13" x14ac:dyDescent="0.35">
      <c r="B12" s="12" t="s">
        <v>22</v>
      </c>
      <c r="C12" s="13">
        <f>Drivers!C54</f>
        <v>0.65</v>
      </c>
      <c r="D12" s="49">
        <f>Drivers!D54</f>
        <v>0.35</v>
      </c>
    </row>
    <row r="15" spans="2:13" ht="12" thickBot="1" x14ac:dyDescent="0.4">
      <c r="B15" s="77" t="s">
        <v>51</v>
      </c>
      <c r="C15" s="78">
        <v>0</v>
      </c>
      <c r="D15" s="77">
        <v>1</v>
      </c>
      <c r="E15" s="77">
        <v>2</v>
      </c>
      <c r="F15" s="77">
        <v>3</v>
      </c>
      <c r="G15" s="77">
        <v>4</v>
      </c>
      <c r="H15" s="77">
        <v>5</v>
      </c>
      <c r="I15" s="77">
        <v>6</v>
      </c>
      <c r="J15" s="77">
        <v>7</v>
      </c>
      <c r="K15" s="77">
        <v>8</v>
      </c>
      <c r="L15" s="77">
        <v>9</v>
      </c>
      <c r="M15" s="77">
        <v>10</v>
      </c>
    </row>
    <row r="16" spans="2:13" x14ac:dyDescent="0.35">
      <c r="B16" s="33" t="s">
        <v>91</v>
      </c>
      <c r="C16" s="33">
        <f>Financing!C14</f>
        <v>300000000</v>
      </c>
      <c r="D16" s="33">
        <f>Financing!D14</f>
        <v>300000000</v>
      </c>
      <c r="E16" s="33">
        <f>Financing!E14</f>
        <v>285000000</v>
      </c>
      <c r="F16" s="33">
        <f>Financing!F14</f>
        <v>255000000</v>
      </c>
      <c r="G16" s="33">
        <f>Financing!G14</f>
        <v>225000000</v>
      </c>
      <c r="H16" s="33">
        <f>Financing!H14</f>
        <v>195000000</v>
      </c>
      <c r="I16" s="33">
        <f>Financing!I14</f>
        <v>165000000</v>
      </c>
      <c r="J16" s="33">
        <f>Financing!J14</f>
        <v>135000000</v>
      </c>
      <c r="K16" s="33">
        <f>Financing!K14</f>
        <v>105000000</v>
      </c>
      <c r="L16" s="33">
        <f>Financing!L14</f>
        <v>75000000</v>
      </c>
      <c r="M16" s="33">
        <f>Financing!M14</f>
        <v>45000000</v>
      </c>
    </row>
    <row r="17" spans="2:13" ht="16.149999999999999" customHeight="1" x14ac:dyDescent="0.35">
      <c r="B17" s="33" t="s">
        <v>75</v>
      </c>
      <c r="C17" s="33">
        <f>Financing!C19</f>
        <v>210000000</v>
      </c>
      <c r="D17" s="33">
        <f>Financing!D19</f>
        <v>210000000</v>
      </c>
      <c r="E17" s="33">
        <f>Financing!E19</f>
        <v>210000000</v>
      </c>
      <c r="F17" s="33">
        <f>Financing!F19</f>
        <v>210000000</v>
      </c>
      <c r="G17" s="33">
        <f>Financing!G19</f>
        <v>210000000</v>
      </c>
      <c r="H17" s="33">
        <f>Financing!H19</f>
        <v>210000000</v>
      </c>
      <c r="I17" s="33">
        <f>Financing!I19</f>
        <v>210000000</v>
      </c>
      <c r="J17" s="33">
        <f>Financing!J19</f>
        <v>210000000</v>
      </c>
      <c r="K17" s="33">
        <f>Financing!K19</f>
        <v>210000000</v>
      </c>
      <c r="L17" s="33">
        <f>Financing!L19</f>
        <v>210000000</v>
      </c>
      <c r="M17" s="33">
        <f>Financing!M19</f>
        <v>210000000</v>
      </c>
    </row>
    <row r="18" spans="2:13" ht="13.9" customHeight="1" x14ac:dyDescent="0.35">
      <c r="B18" s="37" t="s">
        <v>92</v>
      </c>
      <c r="C18" s="37">
        <f>C16+C17</f>
        <v>510000000</v>
      </c>
      <c r="D18" s="37">
        <f t="shared" ref="D18:M18" si="0">D16+D17</f>
        <v>510000000</v>
      </c>
      <c r="E18" s="37">
        <f t="shared" si="0"/>
        <v>495000000</v>
      </c>
      <c r="F18" s="37">
        <f t="shared" si="0"/>
        <v>465000000</v>
      </c>
      <c r="G18" s="37">
        <f t="shared" si="0"/>
        <v>435000000</v>
      </c>
      <c r="H18" s="37">
        <f t="shared" si="0"/>
        <v>405000000</v>
      </c>
      <c r="I18" s="37">
        <f t="shared" si="0"/>
        <v>375000000</v>
      </c>
      <c r="J18" s="37">
        <f t="shared" si="0"/>
        <v>345000000</v>
      </c>
      <c r="K18" s="37">
        <f t="shared" si="0"/>
        <v>315000000</v>
      </c>
      <c r="L18" s="37">
        <f t="shared" si="0"/>
        <v>285000000</v>
      </c>
      <c r="M18" s="37">
        <f t="shared" si="0"/>
        <v>255000000</v>
      </c>
    </row>
    <row r="20" spans="2:13" x14ac:dyDescent="0.35">
      <c r="B20" s="33" t="s">
        <v>93</v>
      </c>
      <c r="C20" s="42">
        <f>C16/C$18</f>
        <v>0.58823529411764708</v>
      </c>
      <c r="D20" s="42">
        <f t="shared" ref="D20:M20" si="1">D16/D$18</f>
        <v>0.58823529411764708</v>
      </c>
      <c r="E20" s="42">
        <f t="shared" si="1"/>
        <v>0.5757575757575758</v>
      </c>
      <c r="F20" s="42">
        <f t="shared" si="1"/>
        <v>0.54838709677419351</v>
      </c>
      <c r="G20" s="42">
        <f t="shared" si="1"/>
        <v>0.51724137931034486</v>
      </c>
      <c r="H20" s="42">
        <f t="shared" si="1"/>
        <v>0.48148148148148145</v>
      </c>
      <c r="I20" s="42">
        <f t="shared" si="1"/>
        <v>0.44</v>
      </c>
      <c r="J20" s="42">
        <f t="shared" si="1"/>
        <v>0.39130434782608697</v>
      </c>
      <c r="K20" s="42">
        <f t="shared" si="1"/>
        <v>0.33333333333333331</v>
      </c>
      <c r="L20" s="42">
        <f t="shared" si="1"/>
        <v>0.26315789473684209</v>
      </c>
      <c r="M20" s="42">
        <f t="shared" si="1"/>
        <v>0.17647058823529413</v>
      </c>
    </row>
    <row r="21" spans="2:13" x14ac:dyDescent="0.35">
      <c r="B21" s="33" t="s">
        <v>94</v>
      </c>
      <c r="C21" s="42">
        <f>C17/C$18</f>
        <v>0.41176470588235292</v>
      </c>
      <c r="D21" s="42">
        <f t="shared" ref="D21:M21" si="2">D17/D$18</f>
        <v>0.41176470588235292</v>
      </c>
      <c r="E21" s="42">
        <f t="shared" si="2"/>
        <v>0.42424242424242425</v>
      </c>
      <c r="F21" s="42">
        <f t="shared" si="2"/>
        <v>0.45161290322580644</v>
      </c>
      <c r="G21" s="42">
        <f t="shared" si="2"/>
        <v>0.48275862068965519</v>
      </c>
      <c r="H21" s="42">
        <f t="shared" si="2"/>
        <v>0.51851851851851849</v>
      </c>
      <c r="I21" s="42">
        <f t="shared" si="2"/>
        <v>0.56000000000000005</v>
      </c>
      <c r="J21" s="42">
        <f t="shared" si="2"/>
        <v>0.60869565217391308</v>
      </c>
      <c r="K21" s="42">
        <f t="shared" si="2"/>
        <v>0.66666666666666663</v>
      </c>
      <c r="L21" s="42">
        <f t="shared" si="2"/>
        <v>0.73684210526315785</v>
      </c>
      <c r="M21" s="42">
        <f t="shared" si="2"/>
        <v>0.82352941176470584</v>
      </c>
    </row>
    <row r="22" spans="2:13" x14ac:dyDescent="0.35">
      <c r="B22" s="37" t="s">
        <v>95</v>
      </c>
      <c r="C22" s="80">
        <f>C20+C21</f>
        <v>1</v>
      </c>
      <c r="D22" s="80">
        <f t="shared" ref="D22:M22" si="3">D20+D21</f>
        <v>1</v>
      </c>
      <c r="E22" s="80">
        <f t="shared" si="3"/>
        <v>1</v>
      </c>
      <c r="F22" s="80">
        <f t="shared" si="3"/>
        <v>1</v>
      </c>
      <c r="G22" s="80">
        <f t="shared" si="3"/>
        <v>1</v>
      </c>
      <c r="H22" s="80">
        <f t="shared" si="3"/>
        <v>1</v>
      </c>
      <c r="I22" s="80">
        <f t="shared" si="3"/>
        <v>1</v>
      </c>
      <c r="J22" s="80">
        <f t="shared" si="3"/>
        <v>1</v>
      </c>
      <c r="K22" s="80">
        <f t="shared" si="3"/>
        <v>1</v>
      </c>
      <c r="L22" s="80">
        <f t="shared" si="3"/>
        <v>1</v>
      </c>
      <c r="M22" s="80">
        <f t="shared" si="3"/>
        <v>1</v>
      </c>
    </row>
    <row r="27" spans="2:13" x14ac:dyDescent="0.35">
      <c r="B27" s="33" t="s">
        <v>96</v>
      </c>
    </row>
    <row r="28" spans="2:13" x14ac:dyDescent="0.35">
      <c r="B28" s="33" t="s">
        <v>97</v>
      </c>
      <c r="C28" s="42">
        <f>AVERAGE(C10:C12)</f>
        <v>0.71666666666666667</v>
      </c>
    </row>
    <row r="29" spans="2:13" x14ac:dyDescent="0.35">
      <c r="B29" s="33" t="s">
        <v>98</v>
      </c>
      <c r="C29" s="32">
        <f>AVERAGE(D10:D12)</f>
        <v>0.41666666666666669</v>
      </c>
    </row>
    <row r="32" spans="2:13" x14ac:dyDescent="0.35">
      <c r="B32" s="76" t="s">
        <v>102</v>
      </c>
    </row>
    <row r="33" spans="2:13" x14ac:dyDescent="0.35">
      <c r="B33" s="33" t="s">
        <v>100</v>
      </c>
      <c r="C33" s="81">
        <f>C20/C21</f>
        <v>1.4285714285714286</v>
      </c>
      <c r="D33" s="81">
        <f t="shared" ref="D33:M33" si="4">D20/D21</f>
        <v>1.4285714285714286</v>
      </c>
      <c r="E33" s="81">
        <f t="shared" si="4"/>
        <v>1.3571428571428572</v>
      </c>
      <c r="F33" s="81">
        <f t="shared" si="4"/>
        <v>1.2142857142857142</v>
      </c>
      <c r="G33" s="81">
        <f t="shared" si="4"/>
        <v>1.0714285714285714</v>
      </c>
      <c r="H33" s="81">
        <f t="shared" si="4"/>
        <v>0.9285714285714286</v>
      </c>
      <c r="I33" s="81">
        <f t="shared" si="4"/>
        <v>0.7857142857142857</v>
      </c>
      <c r="J33" s="81">
        <f t="shared" si="4"/>
        <v>0.64285714285714279</v>
      </c>
      <c r="K33" s="81">
        <f t="shared" si="4"/>
        <v>0.5</v>
      </c>
      <c r="L33" s="81">
        <f t="shared" si="4"/>
        <v>0.35714285714285715</v>
      </c>
      <c r="M33" s="81">
        <f t="shared" si="4"/>
        <v>0.2142857142857143</v>
      </c>
    </row>
    <row r="34" spans="2:13" x14ac:dyDescent="0.35">
      <c r="B34" s="33" t="s">
        <v>101</v>
      </c>
      <c r="C34" s="81">
        <f>$C$29/((1+(1-$C$5)*($C$28)))</f>
        <v>0.27746947835738073</v>
      </c>
      <c r="D34" s="81">
        <f t="shared" ref="D34:M34" si="5">$C$29/((1+(1-$C$5)*($C$28)))</f>
        <v>0.27746947835738073</v>
      </c>
      <c r="E34" s="81">
        <f t="shared" si="5"/>
        <v>0.27746947835738073</v>
      </c>
      <c r="F34" s="81">
        <f t="shared" si="5"/>
        <v>0.27746947835738073</v>
      </c>
      <c r="G34" s="81">
        <f t="shared" si="5"/>
        <v>0.27746947835738073</v>
      </c>
      <c r="H34" s="81">
        <f t="shared" si="5"/>
        <v>0.27746947835738073</v>
      </c>
      <c r="I34" s="81">
        <f t="shared" si="5"/>
        <v>0.27746947835738073</v>
      </c>
      <c r="J34" s="81">
        <f t="shared" si="5"/>
        <v>0.27746947835738073</v>
      </c>
      <c r="K34" s="81">
        <f t="shared" si="5"/>
        <v>0.27746947835738073</v>
      </c>
      <c r="L34" s="81">
        <f t="shared" si="5"/>
        <v>0.27746947835738073</v>
      </c>
      <c r="M34" s="81">
        <f t="shared" si="5"/>
        <v>0.27746947835738073</v>
      </c>
    </row>
    <row r="35" spans="2:13" x14ac:dyDescent="0.35">
      <c r="B35" s="37" t="s">
        <v>99</v>
      </c>
      <c r="C35" s="82">
        <f>C34*(1+(1-$C$5)*(C33))</f>
        <v>0.55493895671476146</v>
      </c>
      <c r="D35" s="82">
        <f t="shared" ref="D35:M35" si="6">D34*(1+(1-$C$5)*(D33))</f>
        <v>0.55493895671476146</v>
      </c>
      <c r="E35" s="82">
        <f t="shared" si="6"/>
        <v>0.54106548279689237</v>
      </c>
      <c r="F35" s="82">
        <f t="shared" si="6"/>
        <v>0.51331853496115432</v>
      </c>
      <c r="G35" s="82">
        <f t="shared" si="6"/>
        <v>0.48557158712541626</v>
      </c>
      <c r="H35" s="82">
        <f t="shared" si="6"/>
        <v>0.4578246392896782</v>
      </c>
      <c r="I35" s="82">
        <f t="shared" si="6"/>
        <v>0.43007769145394009</v>
      </c>
      <c r="J35" s="82">
        <f t="shared" si="6"/>
        <v>0.40233074361820204</v>
      </c>
      <c r="K35" s="82">
        <f t="shared" si="6"/>
        <v>0.37458379578246398</v>
      </c>
      <c r="L35" s="82">
        <f t="shared" si="6"/>
        <v>0.34683684794672592</v>
      </c>
      <c r="M35" s="82">
        <f t="shared" si="6"/>
        <v>0.31908990011098781</v>
      </c>
    </row>
    <row r="37" spans="2:13" x14ac:dyDescent="0.35">
      <c r="B37" s="33" t="s">
        <v>103</v>
      </c>
      <c r="C37" s="75">
        <f>$C$4+($C$6*C35)</f>
        <v>5.0521642619311885E-2</v>
      </c>
      <c r="D37" s="75">
        <f t="shared" ref="D37:M37" si="7">$C$4+($C$6*D35)</f>
        <v>5.0521642619311885E-2</v>
      </c>
      <c r="E37" s="75">
        <f t="shared" si="7"/>
        <v>4.9758601553829079E-2</v>
      </c>
      <c r="F37" s="75">
        <f t="shared" si="7"/>
        <v>4.8232519422863489E-2</v>
      </c>
      <c r="G37" s="75">
        <f t="shared" si="7"/>
        <v>4.6706437291897898E-2</v>
      </c>
      <c r="H37" s="75">
        <f t="shared" si="7"/>
        <v>4.5180355160932301E-2</v>
      </c>
      <c r="I37" s="75">
        <f t="shared" si="7"/>
        <v>4.3654273029966703E-2</v>
      </c>
      <c r="J37" s="75">
        <f t="shared" si="7"/>
        <v>4.2128190899001113E-2</v>
      </c>
      <c r="K37" s="75">
        <f t="shared" si="7"/>
        <v>4.0602108768035522E-2</v>
      </c>
      <c r="L37" s="75">
        <f t="shared" si="7"/>
        <v>3.9076026637069924E-2</v>
      </c>
      <c r="M37" s="75">
        <f t="shared" si="7"/>
        <v>3.7549944506104327E-2</v>
      </c>
    </row>
    <row r="39" spans="2:13" ht="19.5" customHeight="1" thickBot="1" x14ac:dyDescent="0.4">
      <c r="B39" s="79" t="s">
        <v>86</v>
      </c>
      <c r="C39" s="83">
        <f>(C20*(1-$C$5)*$C$3)+(C37*C21)</f>
        <v>3.7273617549128418E-2</v>
      </c>
      <c r="D39" s="83">
        <f t="shared" ref="D39:M39" si="8">(D20*(1-$C$5)*$C$3)+(D37*D21)</f>
        <v>3.7273617549128418E-2</v>
      </c>
      <c r="E39" s="83">
        <f t="shared" si="8"/>
        <v>3.7230921871321425E-2</v>
      </c>
      <c r="F39" s="83">
        <f t="shared" si="8"/>
        <v>3.7137266836131895E-2</v>
      </c>
      <c r="G39" s="83">
        <f t="shared" si="8"/>
        <v>3.7030693865054157E-2</v>
      </c>
      <c r="H39" s="83">
        <f t="shared" si="8"/>
        <v>3.6908332305668597E-2</v>
      </c>
      <c r="I39" s="83">
        <f t="shared" si="8"/>
        <v>3.6766392896781352E-2</v>
      </c>
      <c r="J39" s="83">
        <f t="shared" si="8"/>
        <v>3.6599768373305031E-2</v>
      </c>
      <c r="K39" s="83">
        <f t="shared" si="8"/>
        <v>3.6401405845357011E-2</v>
      </c>
      <c r="L39" s="83">
        <f t="shared" si="8"/>
        <v>3.6161282785209414E-2</v>
      </c>
      <c r="M39" s="83">
        <f t="shared" si="8"/>
        <v>3.5864660181497678E-2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5690-8424-40B9-BF21-DB5E958C619C}">
  <dimension ref="B1:O12"/>
  <sheetViews>
    <sheetView workbookViewId="0">
      <selection activeCell="O13" sqref="O13"/>
    </sheetView>
  </sheetViews>
  <sheetFormatPr defaultRowHeight="11.65" x14ac:dyDescent="0.35"/>
  <cols>
    <col min="1" max="1" width="1.86328125" style="40" customWidth="1"/>
    <col min="2" max="2" width="16.9296875" style="40" bestFit="1" customWidth="1"/>
    <col min="3" max="3" width="14.06640625" style="40" customWidth="1"/>
    <col min="4" max="13" width="12.59765625" style="40" bestFit="1" customWidth="1"/>
    <col min="14" max="14" width="4.33203125" style="40" bestFit="1" customWidth="1"/>
    <col min="15" max="15" width="12.19921875" style="40" bestFit="1" customWidth="1"/>
    <col min="16" max="16384" width="9.06640625" style="40"/>
  </cols>
  <sheetData>
    <row r="1" spans="2:15" ht="15" x14ac:dyDescent="0.4">
      <c r="B1" s="26" t="s">
        <v>76</v>
      </c>
    </row>
    <row r="3" spans="2:15" ht="12" thickBot="1" x14ac:dyDescent="0.4">
      <c r="B3" s="43" t="s">
        <v>51</v>
      </c>
      <c r="C3" s="43">
        <v>0</v>
      </c>
      <c r="D3" s="43">
        <v>1</v>
      </c>
      <c r="E3" s="43">
        <v>2</v>
      </c>
      <c r="F3" s="43">
        <v>3</v>
      </c>
      <c r="G3" s="43">
        <v>4</v>
      </c>
      <c r="H3" s="43">
        <v>5</v>
      </c>
      <c r="I3" s="43">
        <v>6</v>
      </c>
      <c r="J3" s="43">
        <v>7</v>
      </c>
      <c r="K3" s="43">
        <v>8</v>
      </c>
      <c r="L3" s="43">
        <v>9</v>
      </c>
      <c r="M3" s="43">
        <v>10</v>
      </c>
      <c r="O3" s="43" t="s">
        <v>81</v>
      </c>
    </row>
    <row r="4" spans="2:15" x14ac:dyDescent="0.35">
      <c r="B4" s="40" t="s">
        <v>46</v>
      </c>
      <c r="C4" s="60">
        <v>0</v>
      </c>
      <c r="D4" s="60">
        <f>Revenue!C38</f>
        <v>91980000</v>
      </c>
      <c r="E4" s="60">
        <f>Revenue!D38</f>
        <v>92899800</v>
      </c>
      <c r="F4" s="60">
        <f>Revenue!E38</f>
        <v>93828798</v>
      </c>
      <c r="G4" s="60">
        <f>Revenue!F38</f>
        <v>94767085.980000004</v>
      </c>
      <c r="H4" s="60">
        <f>Revenue!G38</f>
        <v>95714756.8398</v>
      </c>
      <c r="I4" s="60">
        <f>Revenue!H38</f>
        <v>96671904.408197999</v>
      </c>
      <c r="J4" s="60">
        <f>Revenue!I38</f>
        <v>97638623.452279985</v>
      </c>
      <c r="K4" s="60">
        <f>Revenue!J38</f>
        <v>98615009.68680279</v>
      </c>
      <c r="L4" s="60">
        <f>Revenue!K38</f>
        <v>99601159.783670813</v>
      </c>
      <c r="M4" s="60">
        <f>Revenue!L38</f>
        <v>100597171.38150752</v>
      </c>
    </row>
    <row r="5" spans="2:15" x14ac:dyDescent="0.35">
      <c r="B5" s="40" t="s">
        <v>42</v>
      </c>
      <c r="C5" s="60">
        <v>0</v>
      </c>
      <c r="D5" s="60">
        <f>Opex!C23</f>
        <v>-14716800</v>
      </c>
      <c r="E5" s="60">
        <f>Opex!D23</f>
        <v>-14863968</v>
      </c>
      <c r="F5" s="60">
        <f>Opex!E23</f>
        <v>-15012607.68</v>
      </c>
      <c r="G5" s="60">
        <f>Opex!F23</f>
        <v>-15162733.756800001</v>
      </c>
      <c r="H5" s="60">
        <f>Opex!G23</f>
        <v>-15314361.094368</v>
      </c>
      <c r="I5" s="60">
        <f>Opex!H23</f>
        <v>-15467504.70531168</v>
      </c>
      <c r="J5" s="60">
        <f>Opex!I23</f>
        <v>-15622179.752364798</v>
      </c>
      <c r="K5" s="60">
        <f>Opex!J23</f>
        <v>-15778401.549888447</v>
      </c>
      <c r="L5" s="60">
        <f>Opex!K23</f>
        <v>-15936185.565387331</v>
      </c>
      <c r="M5" s="60">
        <f>Opex!L23</f>
        <v>-16095547.421041204</v>
      </c>
    </row>
    <row r="6" spans="2:15" x14ac:dyDescent="0.35">
      <c r="B6" s="62" t="s">
        <v>77</v>
      </c>
      <c r="C6" s="63">
        <v>0</v>
      </c>
      <c r="D6" s="63">
        <f>'P&amp;L'!C10</f>
        <v>-4278960</v>
      </c>
      <c r="E6" s="63">
        <f>'P&amp;L'!D10</f>
        <v>-4051749.5999999996</v>
      </c>
      <c r="F6" s="63">
        <f>'P&amp;L'!E10</f>
        <v>-4006857.0959999976</v>
      </c>
      <c r="G6" s="63">
        <f>'P&amp;L'!F10</f>
        <v>-4144305.6669600024</v>
      </c>
      <c r="H6" s="63">
        <f>'P&amp;L'!G10</f>
        <v>-4284118.7236296013</v>
      </c>
      <c r="I6" s="63">
        <f>'P&amp;L'!H10</f>
        <v>-4426319.9108658936</v>
      </c>
      <c r="J6" s="63">
        <f>'P&amp;L'!I10</f>
        <v>-4570933.1099745557</v>
      </c>
      <c r="K6" s="63">
        <f>'P&amp;L'!J10</f>
        <v>-4717982.4410743024</v>
      </c>
      <c r="L6" s="63">
        <f>'P&amp;L'!K10</f>
        <v>-4867492.2654850418</v>
      </c>
      <c r="M6" s="63">
        <f>'P&amp;L'!L10</f>
        <v>-5019487.1881398931</v>
      </c>
    </row>
    <row r="7" spans="2:15" x14ac:dyDescent="0.35">
      <c r="B7" s="40" t="s">
        <v>53</v>
      </c>
      <c r="C7" s="60">
        <f>-'Fixed Asset Roll Forward'!D15</f>
        <v>-510000000</v>
      </c>
      <c r="D7" s="60">
        <f>-'Fixed Asset Roll Forward'!D16</f>
        <v>-15300000</v>
      </c>
      <c r="E7" s="60">
        <f>-'Fixed Asset Roll Forward'!E16</f>
        <v>-15300000</v>
      </c>
      <c r="F7" s="60">
        <f>-'Fixed Asset Roll Forward'!F16</f>
        <v>-15300000</v>
      </c>
      <c r="G7" s="60">
        <f>-'Fixed Asset Roll Forward'!G16</f>
        <v>-15300000</v>
      </c>
      <c r="H7" s="60">
        <f>-'Fixed Asset Roll Forward'!H16</f>
        <v>-15300000</v>
      </c>
      <c r="I7" s="60">
        <f>-'Fixed Asset Roll Forward'!I16</f>
        <v>-15300000</v>
      </c>
      <c r="J7" s="60">
        <f>-'Fixed Asset Roll Forward'!J16</f>
        <v>-15300000</v>
      </c>
      <c r="K7" s="60">
        <f>-'Fixed Asset Roll Forward'!K16</f>
        <v>-15300000</v>
      </c>
      <c r="L7" s="60">
        <f>-'Fixed Asset Roll Forward'!L16</f>
        <v>-15300000</v>
      </c>
      <c r="M7" s="60">
        <f>-'Fixed Asset Roll Forward'!M16</f>
        <v>-15300000</v>
      </c>
    </row>
    <row r="8" spans="2:15" ht="13.9" customHeight="1" x14ac:dyDescent="0.35">
      <c r="B8" s="57" t="s">
        <v>78</v>
      </c>
      <c r="C8" s="61">
        <f>SUM(C4:C7)</f>
        <v>-510000000</v>
      </c>
      <c r="D8" s="65">
        <f t="shared" ref="D8:N8" si="0">SUM(D4:D7)</f>
        <v>57684240</v>
      </c>
      <c r="E8" s="65">
        <f t="shared" ref="E8" si="1">SUM(E4:E7)</f>
        <v>58684082.400000006</v>
      </c>
      <c r="F8" s="65">
        <f t="shared" ref="F8" si="2">SUM(F4:F7)</f>
        <v>59509333.223999992</v>
      </c>
      <c r="G8" s="65">
        <f t="shared" ref="G8" si="3">SUM(G4:G7)</f>
        <v>60160046.556240007</v>
      </c>
      <c r="H8" s="65">
        <f t="shared" ref="H8" si="4">SUM(H4:H7)</f>
        <v>60816277.021802396</v>
      </c>
      <c r="I8" s="65">
        <f t="shared" ref="I8" si="5">SUM(I4:I7)</f>
        <v>61478079.792020425</v>
      </c>
      <c r="J8" s="65">
        <f t="shared" ref="J8" si="6">SUM(J4:J7)</f>
        <v>62145510.589940637</v>
      </c>
      <c r="K8" s="65">
        <f t="shared" ref="K8" si="7">SUM(K4:K7)</f>
        <v>62818625.695840046</v>
      </c>
      <c r="L8" s="65">
        <f t="shared" ref="L8" si="8">SUM(L4:L7)</f>
        <v>63497481.952798426</v>
      </c>
      <c r="M8" s="65">
        <f t="shared" ref="M8" si="9">SUM(M4:M7)</f>
        <v>64182136.77232641</v>
      </c>
    </row>
    <row r="9" spans="2:15" ht="21.4" customHeight="1" x14ac:dyDescent="0.35">
      <c r="B9" s="40" t="s">
        <v>79</v>
      </c>
      <c r="C9" s="59">
        <v>0</v>
      </c>
      <c r="D9" s="60">
        <f>Financing!D12</f>
        <v>0</v>
      </c>
      <c r="E9" s="60">
        <f>Financing!E12</f>
        <v>-15000000</v>
      </c>
      <c r="F9" s="60">
        <f>Financing!F12</f>
        <v>-30000000</v>
      </c>
      <c r="G9" s="60">
        <f>Financing!G12</f>
        <v>-30000000</v>
      </c>
      <c r="H9" s="60">
        <f>Financing!H12</f>
        <v>-30000000</v>
      </c>
      <c r="I9" s="60">
        <f>Financing!I12</f>
        <v>-30000000</v>
      </c>
      <c r="J9" s="60">
        <f>Financing!J12</f>
        <v>-30000000</v>
      </c>
      <c r="K9" s="60">
        <f>Financing!K12</f>
        <v>-30000000</v>
      </c>
      <c r="L9" s="60">
        <f>Financing!L12</f>
        <v>-30000000</v>
      </c>
      <c r="M9" s="60">
        <f>Financing!M12</f>
        <v>-30000000</v>
      </c>
    </row>
    <row r="10" spans="2:15" x14ac:dyDescent="0.35">
      <c r="B10" s="40" t="s">
        <v>73</v>
      </c>
      <c r="C10" s="59">
        <v>0</v>
      </c>
      <c r="D10" s="60">
        <f>Financing!D16</f>
        <v>-12000000</v>
      </c>
      <c r="E10" s="60">
        <f>Financing!E16</f>
        <v>-12000000</v>
      </c>
      <c r="F10" s="60">
        <f>Financing!F16</f>
        <v>-11400000</v>
      </c>
      <c r="G10" s="60">
        <f>Financing!G16</f>
        <v>-10200000</v>
      </c>
      <c r="H10" s="60">
        <f>Financing!H16</f>
        <v>-9000000</v>
      </c>
      <c r="I10" s="60">
        <f>Financing!I16</f>
        <v>-7800000</v>
      </c>
      <c r="J10" s="60">
        <f>Financing!J16</f>
        <v>-6600000</v>
      </c>
      <c r="K10" s="60">
        <f>Financing!K16</f>
        <v>-5400000</v>
      </c>
      <c r="L10" s="60">
        <f>Financing!L16</f>
        <v>-4200000</v>
      </c>
      <c r="M10" s="60">
        <f>Financing!M16</f>
        <v>-3000000</v>
      </c>
    </row>
    <row r="11" spans="2:15" x14ac:dyDescent="0.35">
      <c r="B11" s="40" t="s">
        <v>80</v>
      </c>
      <c r="C11" s="59">
        <v>0</v>
      </c>
      <c r="D11" s="60">
        <f>Financing!D19-Financing!C19</f>
        <v>0</v>
      </c>
      <c r="E11" s="60">
        <f>Financing!E19-Financing!D19</f>
        <v>0</v>
      </c>
      <c r="F11" s="60">
        <f>Financing!F19-Financing!E19</f>
        <v>0</v>
      </c>
      <c r="G11" s="60">
        <f>Financing!G19-Financing!F19</f>
        <v>0</v>
      </c>
      <c r="H11" s="60">
        <f>Financing!H19-Financing!G19</f>
        <v>0</v>
      </c>
      <c r="I11" s="60">
        <f>Financing!I19-Financing!H19</f>
        <v>0</v>
      </c>
      <c r="J11" s="60">
        <f>Financing!J19-Financing!I19</f>
        <v>0</v>
      </c>
      <c r="K11" s="60">
        <f>Financing!K19-Financing!J19</f>
        <v>0</v>
      </c>
      <c r="L11" s="60">
        <f>Financing!L19-Financing!K19</f>
        <v>0</v>
      </c>
      <c r="M11" s="60">
        <f>Financing!M19-Financing!L19</f>
        <v>0</v>
      </c>
    </row>
    <row r="12" spans="2:15" ht="20.25" customHeight="1" thickBot="1" x14ac:dyDescent="0.4">
      <c r="B12" s="58" t="s">
        <v>74</v>
      </c>
      <c r="C12" s="71">
        <f>SUM(C8:C10)</f>
        <v>-510000000</v>
      </c>
      <c r="D12" s="72">
        <f t="shared" ref="D12:M12" si="10">SUM(D8:D10)</f>
        <v>45684240</v>
      </c>
      <c r="E12" s="72">
        <f t="shared" si="10"/>
        <v>31684082.400000006</v>
      </c>
      <c r="F12" s="72">
        <f t="shared" si="10"/>
        <v>18109333.223999992</v>
      </c>
      <c r="G12" s="72">
        <f t="shared" si="10"/>
        <v>19960046.556240007</v>
      </c>
      <c r="H12" s="72">
        <f t="shared" si="10"/>
        <v>21816277.021802396</v>
      </c>
      <c r="I12" s="72">
        <f t="shared" si="10"/>
        <v>23678079.792020425</v>
      </c>
      <c r="J12" s="72">
        <f t="shared" si="10"/>
        <v>25545510.589940637</v>
      </c>
      <c r="K12" s="72">
        <f t="shared" si="10"/>
        <v>27418625.695840046</v>
      </c>
      <c r="L12" s="72">
        <f t="shared" si="10"/>
        <v>29297481.952798426</v>
      </c>
      <c r="M12" s="72">
        <f t="shared" si="10"/>
        <v>31182136.77232641</v>
      </c>
      <c r="O12" s="66">
        <f>Drivers!C49</f>
        <v>100000000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3C92-3F49-47FF-8626-C47D1A3255C9}">
  <sheetPr>
    <tabColor rgb="FF002060"/>
  </sheetPr>
  <dimension ref="B17"/>
  <sheetViews>
    <sheetView workbookViewId="0">
      <selection activeCell="G43" sqref="G43"/>
    </sheetView>
  </sheetViews>
  <sheetFormatPr defaultColWidth="9.1328125" defaultRowHeight="11.65" x14ac:dyDescent="0.35"/>
  <cols>
    <col min="1" max="1" width="2" style="10" customWidth="1"/>
    <col min="2" max="16384" width="9.1328125" style="10"/>
  </cols>
  <sheetData>
    <row r="17" spans="2:2" ht="50.25" x14ac:dyDescent="1.3">
      <c r="B17" s="9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451E-74A5-46AB-85A0-A31534ED2958}">
  <dimension ref="B1:N27"/>
  <sheetViews>
    <sheetView tabSelected="1" workbookViewId="0">
      <selection activeCell="M34" sqref="M34"/>
    </sheetView>
  </sheetViews>
  <sheetFormatPr defaultColWidth="9.1328125" defaultRowHeight="14.25" x14ac:dyDescent="0.45"/>
  <cols>
    <col min="1" max="1" width="2" style="84" customWidth="1"/>
    <col min="2" max="2" width="35.06640625" style="84" bestFit="1" customWidth="1"/>
    <col min="3" max="3" width="11.1328125" style="84" bestFit="1" customWidth="1"/>
    <col min="4" max="4" width="13.1328125" style="84" bestFit="1" customWidth="1"/>
    <col min="5" max="5" width="11.6640625" style="84" bestFit="1" customWidth="1"/>
    <col min="6" max="6" width="14.3984375" style="84" bestFit="1" customWidth="1"/>
    <col min="7" max="12" width="11.6640625" style="84" bestFit="1" customWidth="1"/>
    <col min="13" max="13" width="11.6640625" style="12" bestFit="1" customWidth="1"/>
    <col min="14" max="14" width="11.6640625" style="84" bestFit="1" customWidth="1"/>
    <col min="15" max="16384" width="9.1328125" style="84"/>
  </cols>
  <sheetData>
    <row r="1" spans="2:14" ht="15.4" x14ac:dyDescent="0.45">
      <c r="B1" s="1" t="s">
        <v>105</v>
      </c>
    </row>
    <row r="2" spans="2:14" ht="15.4" x14ac:dyDescent="0.45">
      <c r="B2" s="1"/>
    </row>
    <row r="3" spans="2:14" x14ac:dyDescent="0.45">
      <c r="B3" s="12" t="s">
        <v>6</v>
      </c>
      <c r="C3" s="3">
        <v>2</v>
      </c>
    </row>
    <row r="4" spans="2:14" ht="15.4" x14ac:dyDescent="0.45">
      <c r="B4" s="1"/>
    </row>
    <row r="5" spans="2:14" x14ac:dyDescent="0.45">
      <c r="B5" s="12" t="s">
        <v>81</v>
      </c>
      <c r="C5" s="5">
        <f>'Cash Flow'!O12-Financing!M14</f>
        <v>55000000</v>
      </c>
      <c r="M5" s="84"/>
      <c r="N5" s="12"/>
    </row>
    <row r="6" spans="2:14" x14ac:dyDescent="0.45">
      <c r="M6" s="84"/>
    </row>
    <row r="7" spans="2:14" ht="14.65" thickBot="1" x14ac:dyDescent="0.5">
      <c r="B7" s="14" t="s">
        <v>51</v>
      </c>
      <c r="C7" s="14"/>
      <c r="D7" s="14">
        <v>0</v>
      </c>
      <c r="E7" s="14">
        <v>1</v>
      </c>
      <c r="F7" s="14">
        <v>2</v>
      </c>
      <c r="G7" s="14">
        <v>3</v>
      </c>
      <c r="H7" s="14">
        <v>4</v>
      </c>
      <c r="I7" s="14">
        <v>5</v>
      </c>
      <c r="J7" s="14">
        <v>6</v>
      </c>
      <c r="K7" s="14">
        <v>7</v>
      </c>
      <c r="L7" s="14">
        <v>8</v>
      </c>
      <c r="M7" s="14">
        <v>9</v>
      </c>
      <c r="N7" s="14">
        <v>10</v>
      </c>
    </row>
    <row r="8" spans="2:14" x14ac:dyDescent="0.45">
      <c r="B8" s="85" t="s">
        <v>74</v>
      </c>
      <c r="C8" s="85"/>
      <c r="D8" s="85">
        <f>-Financing!C19</f>
        <v>-210000000</v>
      </c>
      <c r="E8" s="85">
        <f>'Cash Flow'!D12</f>
        <v>45684240</v>
      </c>
      <c r="F8" s="85">
        <f>'Cash Flow'!E12</f>
        <v>31684082.400000006</v>
      </c>
      <c r="G8" s="85">
        <f>'Cash Flow'!F12</f>
        <v>18109333.223999992</v>
      </c>
      <c r="H8" s="85">
        <f>'Cash Flow'!G12</f>
        <v>19960046.556240007</v>
      </c>
      <c r="I8" s="85">
        <f>'Cash Flow'!H12</f>
        <v>21816277.021802396</v>
      </c>
      <c r="J8" s="85">
        <f>'Cash Flow'!I12</f>
        <v>23678079.792020425</v>
      </c>
      <c r="K8" s="85">
        <f>'Cash Flow'!J12</f>
        <v>25545510.589940637</v>
      </c>
      <c r="L8" s="85">
        <f>'Cash Flow'!K12</f>
        <v>27418625.695840046</v>
      </c>
      <c r="M8" s="85">
        <f>'Cash Flow'!L12</f>
        <v>29297481.952798426</v>
      </c>
      <c r="N8" s="85">
        <f>'Cash Flow'!M12</f>
        <v>31182136.77232641</v>
      </c>
    </row>
    <row r="9" spans="2:14" x14ac:dyDescent="0.45">
      <c r="B9" s="85" t="s">
        <v>106</v>
      </c>
      <c r="C9" s="85"/>
      <c r="D9" s="85"/>
      <c r="E9" s="5"/>
      <c r="F9" s="5"/>
      <c r="G9" s="5"/>
      <c r="H9" s="5"/>
      <c r="I9" s="5"/>
      <c r="J9" s="5"/>
      <c r="K9" s="5"/>
      <c r="L9" s="5"/>
      <c r="M9" s="5"/>
      <c r="N9" s="5">
        <f>C5</f>
        <v>55000000</v>
      </c>
    </row>
    <row r="10" spans="2:14" x14ac:dyDescent="0.45">
      <c r="B10" s="22" t="s">
        <v>107</v>
      </c>
      <c r="C10" s="22"/>
      <c r="D10" s="22">
        <f>D8+D9</f>
        <v>-210000000</v>
      </c>
      <c r="E10" s="22">
        <f t="shared" ref="E10:N10" si="0">E8+E9</f>
        <v>45684240</v>
      </c>
      <c r="F10" s="22">
        <f t="shared" si="0"/>
        <v>31684082.400000006</v>
      </c>
      <c r="G10" s="22">
        <f t="shared" si="0"/>
        <v>18109333.223999992</v>
      </c>
      <c r="H10" s="22">
        <f t="shared" si="0"/>
        <v>19960046.556240007</v>
      </c>
      <c r="I10" s="22">
        <f t="shared" si="0"/>
        <v>21816277.021802396</v>
      </c>
      <c r="J10" s="22">
        <f t="shared" si="0"/>
        <v>23678079.792020425</v>
      </c>
      <c r="K10" s="22">
        <f t="shared" si="0"/>
        <v>25545510.589940637</v>
      </c>
      <c r="L10" s="22">
        <f t="shared" si="0"/>
        <v>27418625.695840046</v>
      </c>
      <c r="M10" s="22">
        <f t="shared" si="0"/>
        <v>29297481.952798426</v>
      </c>
      <c r="N10" s="22">
        <f t="shared" si="0"/>
        <v>86182136.77232641</v>
      </c>
    </row>
    <row r="11" spans="2:14" x14ac:dyDescent="0.45">
      <c r="B11" s="5" t="s">
        <v>108</v>
      </c>
      <c r="C11" s="5"/>
      <c r="D11" s="5"/>
      <c r="E11" s="86">
        <f>[1]WACC!D33</f>
        <v>5.1284683684794677E-2</v>
      </c>
      <c r="F11" s="86">
        <f>[1]WACC!E33</f>
        <v>5.0483490566037736E-2</v>
      </c>
      <c r="G11" s="86">
        <f>[1]WACC!F33</f>
        <v>4.8881104328523869E-2</v>
      </c>
      <c r="H11" s="86">
        <f>[1]WACC!G33</f>
        <v>4.7278718091009996E-2</v>
      </c>
      <c r="I11" s="86">
        <f>[1]WACC!H33</f>
        <v>4.5676331853496122E-2</v>
      </c>
      <c r="J11" s="86">
        <f>[1]WACC!I33</f>
        <v>4.4073945615982241E-2</v>
      </c>
      <c r="K11" s="86">
        <f>[1]WACC!J33</f>
        <v>4.2471559378468374E-2</v>
      </c>
      <c r="L11" s="86">
        <f>[1]WACC!K33</f>
        <v>4.08691731409545E-2</v>
      </c>
      <c r="M11" s="86">
        <f>[1]WACC!L33</f>
        <v>3.9266786903440626E-2</v>
      </c>
      <c r="N11" s="86">
        <f>[1]WACC!M33</f>
        <v>3.7664400665926752E-2</v>
      </c>
    </row>
    <row r="12" spans="2:14" x14ac:dyDescent="0.45">
      <c r="B12" s="22" t="s">
        <v>109</v>
      </c>
      <c r="C12" s="22"/>
      <c r="D12" s="87">
        <f t="shared" ref="D12:N12" si="1">D8/(1+D11)^D7</f>
        <v>-210000000</v>
      </c>
      <c r="E12" s="87">
        <f t="shared" si="1"/>
        <v>43455631.675213724</v>
      </c>
      <c r="F12" s="87">
        <f t="shared" si="1"/>
        <v>28711948.825203635</v>
      </c>
      <c r="G12" s="87">
        <f t="shared" si="1"/>
        <v>15693639.609975321</v>
      </c>
      <c r="H12" s="87">
        <f t="shared" si="1"/>
        <v>16592523.32757722</v>
      </c>
      <c r="I12" s="87">
        <f t="shared" si="1"/>
        <v>17449952.483689345</v>
      </c>
      <c r="J12" s="87">
        <f t="shared" si="1"/>
        <v>18279273.463412583</v>
      </c>
      <c r="K12" s="87">
        <f t="shared" si="1"/>
        <v>19092600.248034704</v>
      </c>
      <c r="L12" s="87">
        <f t="shared" si="1"/>
        <v>19901073.842801996</v>
      </c>
      <c r="M12" s="87">
        <f t="shared" si="1"/>
        <v>20715091.753636617</v>
      </c>
      <c r="N12" s="87">
        <f t="shared" si="1"/>
        <v>21544513.735033002</v>
      </c>
    </row>
    <row r="13" spans="2:14" x14ac:dyDescent="0.45">
      <c r="B13" s="23" t="s">
        <v>110</v>
      </c>
      <c r="C13" s="23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f>N9/(1+N11)^N7</f>
        <v>38000867.7429199</v>
      </c>
    </row>
    <row r="14" spans="2:14" x14ac:dyDescent="0.45">
      <c r="B14" s="22" t="s">
        <v>111</v>
      </c>
      <c r="C14" s="22"/>
      <c r="D14" s="22">
        <f>SUM(D12:D13)</f>
        <v>-210000000</v>
      </c>
      <c r="E14" s="22">
        <f t="shared" ref="E14:N14" si="2">SUM(E12:E13)</f>
        <v>43455631.675213724</v>
      </c>
      <c r="F14" s="22">
        <f t="shared" si="2"/>
        <v>28711948.825203635</v>
      </c>
      <c r="G14" s="22">
        <f t="shared" si="2"/>
        <v>15693639.609975321</v>
      </c>
      <c r="H14" s="22">
        <f t="shared" si="2"/>
        <v>16592523.32757722</v>
      </c>
      <c r="I14" s="22">
        <f t="shared" si="2"/>
        <v>17449952.483689345</v>
      </c>
      <c r="J14" s="22">
        <f t="shared" si="2"/>
        <v>18279273.463412583</v>
      </c>
      <c r="K14" s="22">
        <f t="shared" si="2"/>
        <v>19092600.248034704</v>
      </c>
      <c r="L14" s="22">
        <f t="shared" si="2"/>
        <v>19901073.842801996</v>
      </c>
      <c r="M14" s="22">
        <f t="shared" si="2"/>
        <v>20715091.753636617</v>
      </c>
      <c r="N14" s="22">
        <f t="shared" si="2"/>
        <v>59545381.477952898</v>
      </c>
    </row>
    <row r="15" spans="2:14" x14ac:dyDescent="0.45">
      <c r="M15" s="84"/>
    </row>
    <row r="16" spans="2:14" x14ac:dyDescent="0.45">
      <c r="B16" s="88" t="s">
        <v>112</v>
      </c>
      <c r="C16" s="23" t="s">
        <v>113</v>
      </c>
      <c r="D16" s="89">
        <f>SUM(D14:N14)</f>
        <v>49437116.707498029</v>
      </c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45">
      <c r="E17" s="90"/>
      <c r="M17" s="84"/>
    </row>
    <row r="18" spans="2:14" x14ac:dyDescent="0.45">
      <c r="B18" s="88" t="s">
        <v>114</v>
      </c>
      <c r="C18" s="88"/>
      <c r="D18" s="91">
        <f>IRR(D10:N10)</f>
        <v>8.2515342487406107E-2</v>
      </c>
      <c r="F18" s="13"/>
      <c r="G18" s="13"/>
      <c r="H18" s="13"/>
      <c r="I18" s="13"/>
      <c r="J18" s="13"/>
      <c r="K18" s="13"/>
      <c r="L18" s="13"/>
      <c r="M18" s="13"/>
      <c r="N18" s="13"/>
    </row>
    <row r="19" spans="2:14" x14ac:dyDescent="0.45"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/>
    </row>
    <row r="21" spans="2:14" x14ac:dyDescent="0.45">
      <c r="B21" s="7"/>
      <c r="C21" s="92" t="s">
        <v>115</v>
      </c>
      <c r="D21" s="92"/>
      <c r="E21" s="93"/>
      <c r="F21" s="93"/>
    </row>
    <row r="22" spans="2:14" x14ac:dyDescent="0.45">
      <c r="D22" s="94">
        <f>D18</f>
        <v>8.2515342487406107E-2</v>
      </c>
      <c r="F22" s="97"/>
      <c r="G22" s="94"/>
    </row>
    <row r="23" spans="2:14" x14ac:dyDescent="0.45">
      <c r="B23" s="95"/>
      <c r="C23" s="5">
        <v>70000000</v>
      </c>
      <c r="D23" s="96">
        <v>0.15801905202457256</v>
      </c>
      <c r="F23" s="97"/>
      <c r="G23" s="96"/>
    </row>
    <row r="24" spans="2:14" x14ac:dyDescent="0.45">
      <c r="B24" s="95"/>
      <c r="C24" s="5">
        <v>80000000</v>
      </c>
      <c r="D24" s="96">
        <v>0.16090508974382178</v>
      </c>
      <c r="F24" s="97"/>
      <c r="G24" s="96"/>
    </row>
    <row r="25" spans="2:14" x14ac:dyDescent="0.45">
      <c r="B25" s="95"/>
      <c r="C25" s="5">
        <v>85000000</v>
      </c>
      <c r="D25" s="96">
        <v>0.16231605628541335</v>
      </c>
      <c r="F25" s="97"/>
      <c r="G25" s="96"/>
    </row>
    <row r="26" spans="2:14" x14ac:dyDescent="0.45">
      <c r="B26" s="95"/>
      <c r="C26" s="5">
        <v>95000000</v>
      </c>
      <c r="D26" s="96">
        <v>0.16507731051303676</v>
      </c>
      <c r="F26" s="97"/>
      <c r="G26" s="96"/>
    </row>
    <row r="27" spans="2:14" x14ac:dyDescent="0.45">
      <c r="B27" s="95"/>
      <c r="C27" s="5">
        <v>115000000</v>
      </c>
      <c r="D27" s="96">
        <v>0.17037424369268939</v>
      </c>
      <c r="F27" s="97"/>
      <c r="G27" s="96"/>
    </row>
  </sheetData>
  <mergeCells count="1">
    <mergeCell ref="C21:D21"/>
  </mergeCells>
  <dataValidations count="1">
    <dataValidation type="list" allowBlank="1" showInputMessage="1" showErrorMessage="1" sqref="C3" xr:uid="{38960E6B-9F94-4FA5-A2F5-0F73D86C7BFE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--&gt;</vt:lpstr>
      <vt:lpstr>Drivers</vt:lpstr>
      <vt:lpstr>Working --&gt;</vt:lpstr>
      <vt:lpstr>Revenue</vt:lpstr>
      <vt:lpstr>Opex</vt:lpstr>
      <vt:lpstr>Fixed Asset Roll Forward</vt:lpstr>
      <vt:lpstr>Financing</vt:lpstr>
      <vt:lpstr>P&amp;L</vt:lpstr>
      <vt:lpstr>WACC</vt:lpstr>
      <vt:lpstr>Cash Flow</vt:lpstr>
      <vt:lpstr>Output --&gt;</vt:lpstr>
      <vt:lpstr>Discounted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Vakeesan Mahalingam</cp:lastModifiedBy>
  <dcterms:created xsi:type="dcterms:W3CDTF">2017-10-13T13:35:42Z</dcterms:created>
  <dcterms:modified xsi:type="dcterms:W3CDTF">2021-05-28T19:08:31Z</dcterms:modified>
</cp:coreProperties>
</file>