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139f93b020088/Desktop/Beginner to Pro in Excel/13. Tesla valuation/176/"/>
    </mc:Choice>
  </mc:AlternateContent>
  <xr:revisionPtr revIDLastSave="2250" documentId="8_{A82675C5-8C9A-4F75-93C3-05A25CA3012C}" xr6:coauthVersionLast="47" xr6:coauthVersionMax="47" xr10:uidLastSave="{5B1E62F4-5B19-49E3-A794-CE33747D44FC}"/>
  <bookViews>
    <workbookView xWindow="53580" yWindow="2130" windowWidth="20310" windowHeight="12795" firstSheet="32" activeTab="37" xr2:uid="{00000000-000D-0000-FFFF-FFFF00000000}"/>
  </bookViews>
  <sheets>
    <sheet name="Cover" sheetId="183" r:id="rId1"/>
    <sheet name="Drivers" sheetId="161" r:id="rId2"/>
    <sheet name="Input --&gt;" sheetId="184" r:id="rId3"/>
    <sheet name="P&amp;L Input" sheetId="185" r:id="rId4"/>
    <sheet name="Balance Sheet Input" sheetId="186" r:id="rId5"/>
    <sheet name="Workings --&gt;" sheetId="187" r:id="rId6"/>
    <sheet name="Income Statement Items" sheetId="190" r:id="rId7"/>
    <sheet name="Automotive" sheetId="188" r:id="rId8"/>
    <sheet name="Deliveries" sheetId="189" r:id="rId9"/>
    <sheet name="Deliveries Development" sheetId="191" r:id="rId10"/>
    <sheet name="Deliveries Comparables" sheetId="192" r:id="rId11"/>
    <sheet name="Average Prices" sheetId="194" r:id="rId12"/>
    <sheet name="Revenue Automotive" sheetId="193" r:id="rId13"/>
    <sheet name="GP% Automotive" sheetId="195" r:id="rId14"/>
    <sheet name="GP Automotive" sheetId="196" r:id="rId15"/>
    <sheet name="Cost of Sales Automotive" sheetId="197" r:id="rId16"/>
    <sheet name="Revenue and GP Auto" sheetId="198" r:id="rId17"/>
    <sheet name="Energy &amp; Other" sheetId="199" r:id="rId18"/>
    <sheet name="Revenue Energy &amp; Other" sheetId="200" r:id="rId19"/>
    <sheet name="GP Energy &amp; Other" sheetId="201" r:id="rId20"/>
    <sheet name="Cost of Sales Energy &amp; Other" sheetId="202" r:id="rId21"/>
    <sheet name="Operating Expenses" sheetId="203" r:id="rId22"/>
    <sheet name="Opex Comparables" sheetId="204" r:id="rId23"/>
    <sheet name="Opex" sheetId="205" r:id="rId24"/>
    <sheet name="Balance Sheet --&gt;" sheetId="206" r:id="rId25"/>
    <sheet name="PP&amp;E--&gt;" sheetId="207" r:id="rId26"/>
    <sheet name="PP&amp;E" sheetId="208" r:id="rId27"/>
    <sheet name="PP&amp;E Comparables" sheetId="209" r:id="rId28"/>
    <sheet name="Working Capital --&gt;" sheetId="210" r:id="rId29"/>
    <sheet name="WC Comparables" sheetId="211" r:id="rId30"/>
    <sheet name="Working Capital" sheetId="212" r:id="rId31"/>
    <sheet name="WC Development" sheetId="213" r:id="rId32"/>
    <sheet name="Financing --&gt;" sheetId="214" r:id="rId33"/>
    <sheet name="Financing" sheetId="215" r:id="rId34"/>
    <sheet name="WACC" sheetId="216" r:id="rId35"/>
    <sheet name="Output--&gt;" sheetId="217" r:id="rId36"/>
    <sheet name="P&amp;L" sheetId="219" r:id="rId37"/>
    <sheet name="Balance Sheet" sheetId="220" r:id="rId38"/>
    <sheet name="Cash Flow" sheetId="221" r:id="rId39"/>
    <sheet name="DCF" sheetId="222" r:id="rId40"/>
  </sheets>
  <externalReferences>
    <externalReference r:id="rId41"/>
    <externalReference r:id="rId42"/>
    <externalReference r:id="rId43"/>
  </externalReferences>
  <definedNames>
    <definedName name="COGS">'P&amp;L Input'!$C$8:$C$10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20" l="1"/>
  <c r="B46" i="220"/>
  <c r="K36" i="220"/>
  <c r="I21" i="220"/>
  <c r="M17" i="211"/>
  <c r="M16" i="211"/>
  <c r="M15" i="211"/>
  <c r="M14" i="211"/>
  <c r="M13" i="211"/>
  <c r="M12" i="211"/>
  <c r="M11" i="211"/>
  <c r="M10" i="211"/>
  <c r="M9" i="211"/>
  <c r="M8" i="211"/>
  <c r="M7" i="211"/>
  <c r="M18" i="211" s="1"/>
  <c r="J18" i="211"/>
  <c r="J17" i="211"/>
  <c r="J16" i="211"/>
  <c r="J15" i="211"/>
  <c r="J14" i="211"/>
  <c r="J13" i="211"/>
  <c r="J12" i="211"/>
  <c r="J11" i="211"/>
  <c r="J10" i="211"/>
  <c r="J9" i="211"/>
  <c r="J8" i="211"/>
  <c r="J7" i="211"/>
  <c r="G18" i="211"/>
  <c r="G17" i="211"/>
  <c r="G16" i="211"/>
  <c r="G15" i="211"/>
  <c r="G14" i="211"/>
  <c r="G13" i="211"/>
  <c r="G12" i="211"/>
  <c r="G11" i="211"/>
  <c r="G10" i="211"/>
  <c r="G9" i="211"/>
  <c r="G8" i="211"/>
  <c r="G7" i="211"/>
  <c r="D18" i="211"/>
  <c r="D17" i="211"/>
  <c r="D16" i="211"/>
  <c r="D15" i="211"/>
  <c r="D14" i="211"/>
  <c r="D13" i="211"/>
  <c r="D12" i="211"/>
  <c r="D11" i="211"/>
  <c r="D10" i="211"/>
  <c r="D9" i="211"/>
  <c r="D8" i="211"/>
  <c r="D7" i="211"/>
  <c r="C3" i="222"/>
  <c r="G22" i="216" l="1"/>
  <c r="H22" i="216"/>
  <c r="I22" i="216"/>
  <c r="C7" i="216"/>
  <c r="C6" i="216"/>
  <c r="C5" i="216"/>
  <c r="C4" i="216"/>
  <c r="R22" i="216"/>
  <c r="S22" i="216"/>
  <c r="T22" i="216"/>
  <c r="U22" i="216"/>
  <c r="C9" i="216"/>
  <c r="R21" i="216" s="1"/>
  <c r="D25" i="221"/>
  <c r="D26" i="221"/>
  <c r="E25" i="221"/>
  <c r="F25" i="221"/>
  <c r="G25" i="221"/>
  <c r="H25" i="221"/>
  <c r="I25" i="221"/>
  <c r="K26" i="221"/>
  <c r="L26" i="221" s="1"/>
  <c r="M26" i="221" s="1"/>
  <c r="N26" i="221" s="1"/>
  <c r="O26" i="221" s="1"/>
  <c r="P26" i="221" s="1"/>
  <c r="Q26" i="221" s="1"/>
  <c r="R26" i="221" s="1"/>
  <c r="S26" i="221" s="1"/>
  <c r="T26" i="221" s="1"/>
  <c r="U26" i="221" s="1"/>
  <c r="J26" i="221"/>
  <c r="J22" i="221"/>
  <c r="K13" i="219"/>
  <c r="L13" i="219"/>
  <c r="M13" i="219" s="1"/>
  <c r="N13" i="219" s="1"/>
  <c r="O13" i="219" s="1"/>
  <c r="P13" i="219" s="1"/>
  <c r="Q13" i="219" s="1"/>
  <c r="R13" i="219" s="1"/>
  <c r="S13" i="219" s="1"/>
  <c r="T13" i="219" s="1"/>
  <c r="U13" i="219" s="1"/>
  <c r="J13" i="219"/>
  <c r="I10" i="219"/>
  <c r="J10" i="219"/>
  <c r="G10" i="219"/>
  <c r="H10" i="219"/>
  <c r="J12" i="215"/>
  <c r="I12" i="215"/>
  <c r="F12" i="215"/>
  <c r="G12" i="215"/>
  <c r="H12" i="215"/>
  <c r="D12" i="215"/>
  <c r="E12" i="215"/>
  <c r="G16" i="221"/>
  <c r="H16" i="221"/>
  <c r="I16" i="221"/>
  <c r="V38" i="220"/>
  <c r="D30" i="220"/>
  <c r="D31" i="220" s="1"/>
  <c r="E30" i="220"/>
  <c r="E31" i="220" s="1"/>
  <c r="F30" i="220"/>
  <c r="F31" i="220" s="1"/>
  <c r="G30" i="220"/>
  <c r="G31" i="220" s="1"/>
  <c r="H30" i="220"/>
  <c r="H31" i="220" s="1"/>
  <c r="Q31" i="220" s="1"/>
  <c r="I30" i="220"/>
  <c r="I31" i="220" s="1"/>
  <c r="D32" i="220"/>
  <c r="E32" i="220"/>
  <c r="E15" i="216" s="1"/>
  <c r="F32" i="220"/>
  <c r="F15" i="216" s="1"/>
  <c r="F18" i="216" s="1"/>
  <c r="G32" i="220"/>
  <c r="G15" i="216" s="1"/>
  <c r="H32" i="220"/>
  <c r="H15" i="216" s="1"/>
  <c r="I32" i="220"/>
  <c r="F19" i="222" s="1"/>
  <c r="D33" i="220"/>
  <c r="D34" i="220" s="1"/>
  <c r="E33" i="220"/>
  <c r="E34" i="220" s="1"/>
  <c r="F33" i="220"/>
  <c r="F34" i="220" s="1"/>
  <c r="G33" i="220"/>
  <c r="G34" i="220" s="1"/>
  <c r="H33" i="220"/>
  <c r="H34" i="220" s="1"/>
  <c r="I33" i="220"/>
  <c r="I34" i="220" s="1"/>
  <c r="D36" i="220"/>
  <c r="D16" i="216" s="1"/>
  <c r="E36" i="220"/>
  <c r="E16" i="216" s="1"/>
  <c r="F36" i="220"/>
  <c r="F16" i="216" s="1"/>
  <c r="G36" i="220"/>
  <c r="G16" i="216" s="1"/>
  <c r="G19" i="216" s="1"/>
  <c r="H36" i="220"/>
  <c r="H16" i="216" s="1"/>
  <c r="H19" i="216" s="1"/>
  <c r="I36" i="220"/>
  <c r="J24" i="221" s="1"/>
  <c r="C36" i="220"/>
  <c r="C16" i="216" s="1"/>
  <c r="C33" i="220"/>
  <c r="C34" i="220" s="1"/>
  <c r="C32" i="220"/>
  <c r="C15" i="216" s="1"/>
  <c r="C30" i="220"/>
  <c r="C31" i="220" s="1"/>
  <c r="D23" i="220"/>
  <c r="D35" i="220" s="1"/>
  <c r="D38" i="220" s="1"/>
  <c r="E23" i="220"/>
  <c r="E13" i="221" s="1"/>
  <c r="F23" i="220"/>
  <c r="F13" i="221" s="1"/>
  <c r="G23" i="220"/>
  <c r="H23" i="220"/>
  <c r="H13" i="221" s="1"/>
  <c r="I23" i="220"/>
  <c r="D24" i="220"/>
  <c r="D25" i="220" s="1"/>
  <c r="E24" i="220"/>
  <c r="E25" i="220" s="1"/>
  <c r="F24" i="220"/>
  <c r="G24" i="220"/>
  <c r="H24" i="220"/>
  <c r="H18" i="221" s="1"/>
  <c r="I24" i="220"/>
  <c r="I25" i="220"/>
  <c r="D26" i="220"/>
  <c r="E26" i="220"/>
  <c r="F26" i="220"/>
  <c r="F27" i="220" s="1"/>
  <c r="G26" i="220"/>
  <c r="G27" i="220" s="1"/>
  <c r="H26" i="220"/>
  <c r="H27" i="220" s="1"/>
  <c r="O27" i="220" s="1"/>
  <c r="I26" i="220"/>
  <c r="I27" i="220" s="1"/>
  <c r="D27" i="220"/>
  <c r="E27" i="220"/>
  <c r="D28" i="220"/>
  <c r="D29" i="220" s="1"/>
  <c r="E28" i="220"/>
  <c r="E29" i="220" s="1"/>
  <c r="F28" i="220"/>
  <c r="F29" i="220" s="1"/>
  <c r="G28" i="220"/>
  <c r="G29" i="220" s="1"/>
  <c r="H28" i="220"/>
  <c r="H29" i="220" s="1"/>
  <c r="I28" i="220"/>
  <c r="I35" i="220" s="1"/>
  <c r="I38" i="220" s="1"/>
  <c r="C29" i="220"/>
  <c r="C28" i="220"/>
  <c r="C26" i="220"/>
  <c r="C27" i="220" s="1"/>
  <c r="C24" i="220"/>
  <c r="C25" i="220" s="1"/>
  <c r="C23" i="220"/>
  <c r="C35" i="220" s="1"/>
  <c r="D11" i="220"/>
  <c r="E11" i="220"/>
  <c r="F11" i="220"/>
  <c r="G11" i="220"/>
  <c r="H11" i="220"/>
  <c r="I11" i="220"/>
  <c r="J11" i="220" s="1"/>
  <c r="K11" i="220" s="1"/>
  <c r="L11" i="220" s="1"/>
  <c r="D12" i="220"/>
  <c r="E12" i="220"/>
  <c r="F12" i="220"/>
  <c r="G12" i="220"/>
  <c r="H12" i="220"/>
  <c r="I12" i="220"/>
  <c r="J12" i="220" s="1"/>
  <c r="K12" i="220" s="1"/>
  <c r="L12" i="220" s="1"/>
  <c r="M12" i="220" s="1"/>
  <c r="N12" i="220" s="1"/>
  <c r="O12" i="220" s="1"/>
  <c r="P12" i="220" s="1"/>
  <c r="Q12" i="220" s="1"/>
  <c r="R12" i="220" s="1"/>
  <c r="S12" i="220" s="1"/>
  <c r="T12" i="220" s="1"/>
  <c r="U12" i="220" s="1"/>
  <c r="D13" i="220"/>
  <c r="E13" i="220"/>
  <c r="F13" i="220"/>
  <c r="G13" i="220"/>
  <c r="H13" i="220"/>
  <c r="I13" i="220"/>
  <c r="D14" i="220"/>
  <c r="E14" i="220"/>
  <c r="F14" i="220"/>
  <c r="G14" i="220"/>
  <c r="H14" i="220"/>
  <c r="I14" i="220"/>
  <c r="J14" i="220" s="1"/>
  <c r="K14" i="220" s="1"/>
  <c r="L14" i="220" s="1"/>
  <c r="M14" i="220" s="1"/>
  <c r="N14" i="220" s="1"/>
  <c r="O14" i="220" s="1"/>
  <c r="P14" i="220" s="1"/>
  <c r="Q14" i="220" s="1"/>
  <c r="R14" i="220" s="1"/>
  <c r="S14" i="220" s="1"/>
  <c r="T14" i="220" s="1"/>
  <c r="U14" i="220" s="1"/>
  <c r="D15" i="220"/>
  <c r="E15" i="220"/>
  <c r="F15" i="220"/>
  <c r="G15" i="220"/>
  <c r="H15" i="220"/>
  <c r="I15" i="220"/>
  <c r="J15" i="220" s="1"/>
  <c r="K15" i="220" s="1"/>
  <c r="L15" i="220" s="1"/>
  <c r="M15" i="220" s="1"/>
  <c r="N15" i="220" s="1"/>
  <c r="O15" i="220" s="1"/>
  <c r="P15" i="220" s="1"/>
  <c r="Q15" i="220" s="1"/>
  <c r="R15" i="220" s="1"/>
  <c r="S15" i="220" s="1"/>
  <c r="T15" i="220" s="1"/>
  <c r="U15" i="220" s="1"/>
  <c r="D16" i="220"/>
  <c r="E16" i="220"/>
  <c r="F16" i="220"/>
  <c r="G16" i="220"/>
  <c r="H16" i="220"/>
  <c r="I16" i="220"/>
  <c r="J16" i="220" s="1"/>
  <c r="K16" i="220" s="1"/>
  <c r="L16" i="220" s="1"/>
  <c r="M16" i="220" s="1"/>
  <c r="N16" i="220" s="1"/>
  <c r="O16" i="220" s="1"/>
  <c r="P16" i="220" s="1"/>
  <c r="Q16" i="220" s="1"/>
  <c r="R16" i="220" s="1"/>
  <c r="S16" i="220" s="1"/>
  <c r="T16" i="220" s="1"/>
  <c r="U16" i="220" s="1"/>
  <c r="D17" i="220"/>
  <c r="E17" i="220"/>
  <c r="F17" i="220"/>
  <c r="G17" i="220"/>
  <c r="H17" i="220"/>
  <c r="I17" i="220"/>
  <c r="D18" i="220"/>
  <c r="E18" i="220"/>
  <c r="F18" i="220"/>
  <c r="G18" i="220"/>
  <c r="H18" i="220"/>
  <c r="I18" i="220"/>
  <c r="D19" i="220"/>
  <c r="D20" i="220" s="1"/>
  <c r="E19" i="220"/>
  <c r="E20" i="220" s="1"/>
  <c r="F19" i="220"/>
  <c r="F20" i="220" s="1"/>
  <c r="G19" i="220"/>
  <c r="G20" i="220" s="1"/>
  <c r="H19" i="220"/>
  <c r="H20" i="220" s="1"/>
  <c r="I19" i="220"/>
  <c r="I20" i="220" s="1"/>
  <c r="C19" i="220"/>
  <c r="C20" i="220" s="1"/>
  <c r="C18" i="220"/>
  <c r="C17" i="220"/>
  <c r="C16" i="220"/>
  <c r="C15" i="220"/>
  <c r="C14" i="220"/>
  <c r="C13" i="220"/>
  <c r="C12" i="220"/>
  <c r="C11" i="220"/>
  <c r="D5" i="220"/>
  <c r="E5" i="220"/>
  <c r="F5" i="220"/>
  <c r="G5" i="220"/>
  <c r="H5" i="220"/>
  <c r="I5" i="220"/>
  <c r="D6" i="220"/>
  <c r="E6" i="220"/>
  <c r="F6" i="220"/>
  <c r="F17" i="221" s="1"/>
  <c r="G6" i="220"/>
  <c r="H6" i="220"/>
  <c r="I6" i="220"/>
  <c r="D7" i="220"/>
  <c r="E7" i="220"/>
  <c r="E11" i="221" s="1"/>
  <c r="F7" i="220"/>
  <c r="G7" i="220"/>
  <c r="G11" i="221" s="1"/>
  <c r="H7" i="220"/>
  <c r="H11" i="221" s="1"/>
  <c r="I7" i="220"/>
  <c r="D8" i="220"/>
  <c r="E8" i="220"/>
  <c r="F12" i="221" s="1"/>
  <c r="F8" i="220"/>
  <c r="G8" i="220"/>
  <c r="G12" i="221" s="1"/>
  <c r="H8" i="220"/>
  <c r="I8" i="220"/>
  <c r="I12" i="221" s="1"/>
  <c r="D9" i="220"/>
  <c r="D10" i="220" s="1"/>
  <c r="E9" i="220"/>
  <c r="E10" i="220" s="1"/>
  <c r="F9" i="220"/>
  <c r="F10" i="220" s="1"/>
  <c r="G9" i="220"/>
  <c r="G10" i="220" s="1"/>
  <c r="H9" i="220"/>
  <c r="H10" i="220" s="1"/>
  <c r="I9" i="220"/>
  <c r="I10" i="220" s="1"/>
  <c r="C9" i="220"/>
  <c r="C10" i="220" s="1"/>
  <c r="C6" i="220"/>
  <c r="C7" i="220"/>
  <c r="C8" i="220"/>
  <c r="C5" i="220"/>
  <c r="E26" i="221"/>
  <c r="F26" i="221"/>
  <c r="G26" i="221"/>
  <c r="H26" i="221"/>
  <c r="I26" i="221"/>
  <c r="G22" i="221"/>
  <c r="H22" i="221"/>
  <c r="D16" i="221"/>
  <c r="E16" i="221"/>
  <c r="F16" i="221"/>
  <c r="F9" i="208"/>
  <c r="I8" i="221" s="1"/>
  <c r="G8" i="221"/>
  <c r="H8" i="221"/>
  <c r="F8" i="221"/>
  <c r="E8" i="221" s="1"/>
  <c r="D8" i="221" s="1"/>
  <c r="G5" i="221"/>
  <c r="H5" i="221"/>
  <c r="I5" i="221"/>
  <c r="I7" i="221" s="1"/>
  <c r="D7" i="221"/>
  <c r="E7" i="221"/>
  <c r="F7" i="221"/>
  <c r="G7" i="221"/>
  <c r="H7" i="221"/>
  <c r="D6" i="221"/>
  <c r="E6" i="221"/>
  <c r="F6" i="221"/>
  <c r="G6" i="221"/>
  <c r="H6" i="221"/>
  <c r="I6" i="221"/>
  <c r="D5" i="221"/>
  <c r="E5" i="221"/>
  <c r="F5" i="221"/>
  <c r="C31" i="221"/>
  <c r="C12" i="215"/>
  <c r="D11" i="215"/>
  <c r="E11" i="215"/>
  <c r="F11" i="215"/>
  <c r="G11" i="215"/>
  <c r="H11" i="215"/>
  <c r="I11" i="215"/>
  <c r="C11" i="215"/>
  <c r="R13" i="215"/>
  <c r="S13" i="215"/>
  <c r="T13" i="215"/>
  <c r="U13" i="215"/>
  <c r="C7" i="215"/>
  <c r="D21" i="220" l="1"/>
  <c r="D17" i="221"/>
  <c r="E17" i="221"/>
  <c r="G18" i="221"/>
  <c r="E18" i="216"/>
  <c r="N27" i="220"/>
  <c r="H12" i="221"/>
  <c r="F11" i="221"/>
  <c r="F18" i="221"/>
  <c r="D23" i="221"/>
  <c r="C21" i="220"/>
  <c r="D15" i="216"/>
  <c r="D18" i="216" s="1"/>
  <c r="D11" i="221"/>
  <c r="D14" i="221" s="1"/>
  <c r="H21" i="220"/>
  <c r="J31" i="220"/>
  <c r="I17" i="221"/>
  <c r="G21" i="220"/>
  <c r="I13" i="221"/>
  <c r="V27" i="220"/>
  <c r="V26" i="220" s="1"/>
  <c r="D12" i="221"/>
  <c r="H17" i="221"/>
  <c r="F21" i="220"/>
  <c r="H25" i="220"/>
  <c r="S25" i="220" s="1"/>
  <c r="D19" i="216"/>
  <c r="K27" i="220"/>
  <c r="I11" i="221"/>
  <c r="G17" i="221"/>
  <c r="E21" i="220"/>
  <c r="I18" i="221"/>
  <c r="G13" i="221"/>
  <c r="P31" i="220"/>
  <c r="I24" i="221"/>
  <c r="O10" i="220"/>
  <c r="P10" i="220"/>
  <c r="Q10" i="220"/>
  <c r="R10" i="220"/>
  <c r="K10" i="220"/>
  <c r="S10" i="220"/>
  <c r="L10" i="220"/>
  <c r="T10" i="220"/>
  <c r="N10" i="220"/>
  <c r="M10" i="220"/>
  <c r="U10" i="220"/>
  <c r="J10" i="220"/>
  <c r="M20" i="220"/>
  <c r="U20" i="220"/>
  <c r="L20" i="220"/>
  <c r="N20" i="220"/>
  <c r="J20" i="220"/>
  <c r="O20" i="220"/>
  <c r="P20" i="220"/>
  <c r="T20" i="220"/>
  <c r="Q20" i="220"/>
  <c r="R20" i="220"/>
  <c r="K20" i="220"/>
  <c r="S20" i="220"/>
  <c r="F19" i="216"/>
  <c r="E19" i="216"/>
  <c r="H18" i="216"/>
  <c r="G18" i="216"/>
  <c r="R25" i="220"/>
  <c r="G25" i="220"/>
  <c r="K25" i="220"/>
  <c r="O31" i="220"/>
  <c r="U27" i="220"/>
  <c r="M27" i="220"/>
  <c r="Q25" i="220"/>
  <c r="H35" i="220"/>
  <c r="H38" i="220" s="1"/>
  <c r="E12" i="221"/>
  <c r="E14" i="221" s="1"/>
  <c r="I23" i="221"/>
  <c r="H24" i="221"/>
  <c r="F25" i="220"/>
  <c r="I29" i="220"/>
  <c r="V29" i="220" s="1"/>
  <c r="V28" i="220" s="1"/>
  <c r="J34" i="220"/>
  <c r="N34" i="220"/>
  <c r="V31" i="220"/>
  <c r="V30" i="220" s="1"/>
  <c r="N31" i="220"/>
  <c r="T27" i="220"/>
  <c r="L27" i="220"/>
  <c r="P25" i="220"/>
  <c r="G35" i="220"/>
  <c r="G38" i="220" s="1"/>
  <c r="D13" i="221"/>
  <c r="H23" i="221"/>
  <c r="G24" i="221"/>
  <c r="I16" i="216"/>
  <c r="M34" i="220"/>
  <c r="U31" i="220"/>
  <c r="M31" i="220"/>
  <c r="S27" i="220"/>
  <c r="O25" i="220"/>
  <c r="F35" i="220"/>
  <c r="F38" i="220" s="1"/>
  <c r="J32" i="220"/>
  <c r="G23" i="221"/>
  <c r="F24" i="221"/>
  <c r="I15" i="216"/>
  <c r="L34" i="220"/>
  <c r="T31" i="220"/>
  <c r="L31" i="220"/>
  <c r="R27" i="220"/>
  <c r="V25" i="220"/>
  <c r="V24" i="220" s="1"/>
  <c r="N25" i="220"/>
  <c r="E35" i="220"/>
  <c r="E38" i="220" s="1"/>
  <c r="F23" i="221"/>
  <c r="K34" i="220"/>
  <c r="S31" i="220"/>
  <c r="Q27" i="220"/>
  <c r="U25" i="220"/>
  <c r="M25" i="220"/>
  <c r="E18" i="221"/>
  <c r="E23" i="221"/>
  <c r="F18" i="222"/>
  <c r="J25" i="220"/>
  <c r="K31" i="220"/>
  <c r="R31" i="220"/>
  <c r="P27" i="220"/>
  <c r="T25" i="220"/>
  <c r="L25" i="220"/>
  <c r="D18" i="221"/>
  <c r="E24" i="221"/>
  <c r="J27" i="220"/>
  <c r="U21" i="216"/>
  <c r="T21" i="216"/>
  <c r="S21" i="216"/>
  <c r="M11" i="220"/>
  <c r="C38" i="220"/>
  <c r="C32" i="221"/>
  <c r="D34" i="221"/>
  <c r="I14" i="221"/>
  <c r="F9" i="221"/>
  <c r="E9" i="221"/>
  <c r="D9" i="221"/>
  <c r="F14" i="221"/>
  <c r="H14" i="221"/>
  <c r="G14" i="221"/>
  <c r="K29" i="220" l="1"/>
  <c r="N29" i="220"/>
  <c r="L29" i="220"/>
  <c r="Q29" i="220"/>
  <c r="P29" i="220"/>
  <c r="I18" i="216"/>
  <c r="O29" i="220"/>
  <c r="J29" i="220"/>
  <c r="U29" i="220"/>
  <c r="R29" i="220"/>
  <c r="M29" i="220"/>
  <c r="T29" i="220"/>
  <c r="K32" i="220"/>
  <c r="J23" i="221"/>
  <c r="J15" i="216"/>
  <c r="I19" i="216"/>
  <c r="S29" i="220"/>
  <c r="N11" i="220"/>
  <c r="E40" i="220"/>
  <c r="D40" i="220"/>
  <c r="F40" i="220"/>
  <c r="D30" i="221"/>
  <c r="G40" i="220"/>
  <c r="C40" i="220"/>
  <c r="E20" i="221"/>
  <c r="I9" i="221"/>
  <c r="I20" i="221" s="1"/>
  <c r="F20" i="221"/>
  <c r="D20" i="221"/>
  <c r="H9" i="221"/>
  <c r="H20" i="221" s="1"/>
  <c r="H28" i="221" s="1"/>
  <c r="H31" i="221" s="1"/>
  <c r="G9" i="221"/>
  <c r="G20" i="221" s="1"/>
  <c r="G28" i="221" s="1"/>
  <c r="G31" i="221" s="1"/>
  <c r="L32" i="220" l="1"/>
  <c r="K23" i="221"/>
  <c r="K15" i="216"/>
  <c r="O11" i="220"/>
  <c r="L23" i="221" l="1"/>
  <c r="L15" i="216"/>
  <c r="M32" i="220"/>
  <c r="P11" i="220"/>
  <c r="N32" i="220" l="1"/>
  <c r="M15" i="216"/>
  <c r="M23" i="221"/>
  <c r="Q11" i="220"/>
  <c r="N15" i="216" l="1"/>
  <c r="N23" i="221"/>
  <c r="O32" i="220"/>
  <c r="R11" i="220"/>
  <c r="O15" i="216" l="1"/>
  <c r="O23" i="221"/>
  <c r="P32" i="220"/>
  <c r="S11" i="220"/>
  <c r="P15" i="216" l="1"/>
  <c r="P23" i="221"/>
  <c r="Q32" i="220"/>
  <c r="T11" i="220"/>
  <c r="Q15" i="216" l="1"/>
  <c r="Q23" i="221"/>
  <c r="R32" i="220"/>
  <c r="U11" i="220"/>
  <c r="R23" i="221" l="1"/>
  <c r="R15" i="216"/>
  <c r="S32" i="220"/>
  <c r="C34" i="221"/>
  <c r="S23" i="221" l="1"/>
  <c r="S15" i="216"/>
  <c r="T32" i="220"/>
  <c r="T23" i="221" l="1"/>
  <c r="T15" i="216"/>
  <c r="U32" i="220"/>
  <c r="U15" i="216" l="1"/>
  <c r="U23" i="221"/>
  <c r="D17" i="219"/>
  <c r="E17" i="219"/>
  <c r="F17" i="219"/>
  <c r="C17" i="219"/>
  <c r="D12" i="219"/>
  <c r="E12" i="219"/>
  <c r="F12" i="219"/>
  <c r="G12" i="219"/>
  <c r="H12" i="219"/>
  <c r="I12" i="219"/>
  <c r="D13" i="219"/>
  <c r="E13" i="219"/>
  <c r="F13" i="219"/>
  <c r="G13" i="219"/>
  <c r="H13" i="219"/>
  <c r="I13" i="219"/>
  <c r="C13" i="219"/>
  <c r="C12" i="219"/>
  <c r="D8" i="219"/>
  <c r="E8" i="219"/>
  <c r="F8" i="219"/>
  <c r="G8" i="219"/>
  <c r="H8" i="219"/>
  <c r="I8" i="219"/>
  <c r="C8" i="219"/>
  <c r="D6" i="219"/>
  <c r="E6" i="219"/>
  <c r="F6" i="219"/>
  <c r="G6" i="219"/>
  <c r="H6" i="219"/>
  <c r="I6" i="219"/>
  <c r="C6" i="219"/>
  <c r="D5" i="219"/>
  <c r="E5" i="219"/>
  <c r="E7" i="219" s="1"/>
  <c r="F5" i="219"/>
  <c r="F7" i="219" s="1"/>
  <c r="F9" i="219" s="1"/>
  <c r="G5" i="219"/>
  <c r="H5" i="219"/>
  <c r="I5" i="219"/>
  <c r="C5" i="219"/>
  <c r="J14" i="212"/>
  <c r="K14" i="212"/>
  <c r="L14" i="212"/>
  <c r="M14" i="212"/>
  <c r="N14" i="212"/>
  <c r="O14" i="212"/>
  <c r="P14" i="212"/>
  <c r="Q14" i="212"/>
  <c r="R14" i="212"/>
  <c r="S14" i="212"/>
  <c r="T14" i="212"/>
  <c r="U14" i="212"/>
  <c r="J12" i="212"/>
  <c r="J13" i="212"/>
  <c r="H8" i="212"/>
  <c r="D5" i="212"/>
  <c r="E5" i="212"/>
  <c r="F5" i="212"/>
  <c r="G5" i="212"/>
  <c r="H5" i="212"/>
  <c r="I5" i="212"/>
  <c r="D6" i="212"/>
  <c r="E6" i="212"/>
  <c r="F6" i="212"/>
  <c r="G6" i="212"/>
  <c r="H6" i="212"/>
  <c r="I6" i="212"/>
  <c r="D7" i="212"/>
  <c r="E7" i="212"/>
  <c r="F7" i="212"/>
  <c r="G7" i="212"/>
  <c r="H7" i="212"/>
  <c r="I7" i="212"/>
  <c r="C7" i="212"/>
  <c r="C8" i="212" s="1"/>
  <c r="C6" i="212"/>
  <c r="C5" i="212"/>
  <c r="G11" i="212"/>
  <c r="H11" i="212"/>
  <c r="I11" i="212"/>
  <c r="I14" i="212" s="1"/>
  <c r="G12" i="212"/>
  <c r="H12" i="212"/>
  <c r="I12" i="212"/>
  <c r="G13" i="212"/>
  <c r="H13" i="212"/>
  <c r="I13" i="212"/>
  <c r="G14" i="212"/>
  <c r="H14" i="212"/>
  <c r="K11" i="212"/>
  <c r="J11" i="212"/>
  <c r="Q11" i="212"/>
  <c r="R11" i="212"/>
  <c r="M12" i="212"/>
  <c r="K12" i="212"/>
  <c r="L12" i="212"/>
  <c r="N12" i="212"/>
  <c r="P12" i="212"/>
  <c r="Q12" i="212"/>
  <c r="R12" i="212"/>
  <c r="S12" i="212"/>
  <c r="T12" i="212"/>
  <c r="O13" i="212"/>
  <c r="L13" i="212"/>
  <c r="M13" i="212"/>
  <c r="N13" i="212"/>
  <c r="P13" i="212"/>
  <c r="T13" i="212"/>
  <c r="U13" i="212"/>
  <c r="D45" i="186"/>
  <c r="D13" i="212" s="1"/>
  <c r="E45" i="186"/>
  <c r="E13" i="212" s="1"/>
  <c r="F45" i="186"/>
  <c r="F13" i="212" s="1"/>
  <c r="G45" i="186"/>
  <c r="H45" i="186"/>
  <c r="I45" i="186"/>
  <c r="C45" i="186"/>
  <c r="C12" i="212"/>
  <c r="D12" i="212"/>
  <c r="E12" i="212"/>
  <c r="F12" i="212"/>
  <c r="C13" i="212"/>
  <c r="D11" i="212"/>
  <c r="E11" i="212"/>
  <c r="F11" i="212"/>
  <c r="C11" i="212"/>
  <c r="K22" i="216"/>
  <c r="J22" i="216"/>
  <c r="D22" i="216"/>
  <c r="C22" i="216"/>
  <c r="C19" i="216"/>
  <c r="Q22" i="216"/>
  <c r="M13" i="215"/>
  <c r="D10" i="219"/>
  <c r="D22" i="221" s="1"/>
  <c r="D28" i="221" s="1"/>
  <c r="D31" i="221" s="1"/>
  <c r="D32" i="221" s="1"/>
  <c r="E30" i="221" s="1"/>
  <c r="C10" i="219"/>
  <c r="B12" i="215"/>
  <c r="L13" i="215"/>
  <c r="D8" i="212"/>
  <c r="C18" i="216" l="1"/>
  <c r="E13" i="215"/>
  <c r="F13" i="215"/>
  <c r="F10" i="219"/>
  <c r="E10" i="219"/>
  <c r="E22" i="221" s="1"/>
  <c r="E28" i="221" s="1"/>
  <c r="E31" i="221" s="1"/>
  <c r="E32" i="221" s="1"/>
  <c r="C13" i="215"/>
  <c r="D13" i="215"/>
  <c r="I7" i="219"/>
  <c r="I9" i="219" s="1"/>
  <c r="E9" i="219"/>
  <c r="C7" i="219"/>
  <c r="C9" i="219" s="1"/>
  <c r="C11" i="219" s="1"/>
  <c r="C14" i="219" s="1"/>
  <c r="C18" i="219" s="1"/>
  <c r="D7" i="219"/>
  <c r="D9" i="219" s="1"/>
  <c r="D11" i="219" s="1"/>
  <c r="D14" i="219" s="1"/>
  <c r="D18" i="219" s="1"/>
  <c r="H7" i="219"/>
  <c r="H9" i="219" s="1"/>
  <c r="G7" i="219"/>
  <c r="G9" i="219" s="1"/>
  <c r="G11" i="219" s="1"/>
  <c r="P11" i="212"/>
  <c r="K13" i="212"/>
  <c r="O11" i="212"/>
  <c r="R13" i="212"/>
  <c r="N11" i="212"/>
  <c r="S13" i="212"/>
  <c r="Q13" i="212"/>
  <c r="O12" i="212"/>
  <c r="U11" i="212"/>
  <c r="M11" i="212"/>
  <c r="T11" i="212"/>
  <c r="L11" i="212"/>
  <c r="U12" i="212"/>
  <c r="S11" i="212"/>
  <c r="G8" i="212"/>
  <c r="C14" i="212"/>
  <c r="E8" i="212"/>
  <c r="F8" i="212"/>
  <c r="F14" i="212"/>
  <c r="D14" i="212"/>
  <c r="E14" i="212"/>
  <c r="Q21" i="216"/>
  <c r="I21" i="216"/>
  <c r="I24" i="216" s="1"/>
  <c r="J21" i="216"/>
  <c r="P21" i="216"/>
  <c r="H21" i="216"/>
  <c r="H24" i="216" s="1"/>
  <c r="O21" i="216"/>
  <c r="G21" i="216"/>
  <c r="G24" i="216" s="1"/>
  <c r="C21" i="216"/>
  <c r="N21" i="216"/>
  <c r="D21" i="216"/>
  <c r="M21" i="216"/>
  <c r="F21" i="216"/>
  <c r="L21" i="216"/>
  <c r="E21" i="216"/>
  <c r="E24" i="216" s="1"/>
  <c r="K21" i="216"/>
  <c r="E22" i="216"/>
  <c r="L22" i="216"/>
  <c r="F22" i="216"/>
  <c r="M22" i="216"/>
  <c r="N22" i="216"/>
  <c r="O22" i="216"/>
  <c r="P22" i="216"/>
  <c r="N13" i="215"/>
  <c r="O13" i="215"/>
  <c r="P13" i="215"/>
  <c r="Q13" i="215"/>
  <c r="J13" i="215"/>
  <c r="K13" i="215"/>
  <c r="C24" i="216" l="1"/>
  <c r="F24" i="216"/>
  <c r="D24" i="216"/>
  <c r="F11" i="219"/>
  <c r="F14" i="219" s="1"/>
  <c r="F18" i="219" s="1"/>
  <c r="F22" i="221"/>
  <c r="F28" i="221" s="1"/>
  <c r="F31" i="221" s="1"/>
  <c r="F30" i="221"/>
  <c r="E34" i="221"/>
  <c r="E11" i="219"/>
  <c r="E14" i="219" s="1"/>
  <c r="E18" i="219" s="1"/>
  <c r="H11" i="219"/>
  <c r="H14" i="219" s="1"/>
  <c r="G14" i="219"/>
  <c r="I8" i="212"/>
  <c r="F32" i="221" l="1"/>
  <c r="F34" i="221" s="1"/>
  <c r="I11" i="219"/>
  <c r="I14" i="219" s="1"/>
  <c r="I22" i="221"/>
  <c r="I28" i="221" s="1"/>
  <c r="I31" i="221" s="1"/>
  <c r="R49" i="208"/>
  <c r="R47" i="208"/>
  <c r="R44" i="208" s="1"/>
  <c r="R40" i="208" s="1"/>
  <c r="R50" i="208"/>
  <c r="H46" i="208"/>
  <c r="H43" i="208" s="1"/>
  <c r="H39" i="208" s="1"/>
  <c r="I46" i="208"/>
  <c r="I49" i="208" s="1"/>
  <c r="J46" i="208"/>
  <c r="J49" i="208" s="1"/>
  <c r="K46" i="208"/>
  <c r="K49" i="208" s="1"/>
  <c r="L43" i="208"/>
  <c r="L39" i="208" s="1"/>
  <c r="M43" i="208"/>
  <c r="M39" i="208" s="1"/>
  <c r="N43" i="208"/>
  <c r="N39" i="208" s="1"/>
  <c r="O43" i="208"/>
  <c r="O39" i="208" s="1"/>
  <c r="P43" i="208"/>
  <c r="P39" i="208" s="1"/>
  <c r="Q49" i="208"/>
  <c r="H47" i="208"/>
  <c r="H50" i="208" s="1"/>
  <c r="I47" i="208"/>
  <c r="I44" i="208" s="1"/>
  <c r="I40" i="208" s="1"/>
  <c r="J47" i="208"/>
  <c r="J44" i="208" s="1"/>
  <c r="J40" i="208" s="1"/>
  <c r="K47" i="208"/>
  <c r="K44" i="208" s="1"/>
  <c r="K40" i="208" s="1"/>
  <c r="L47" i="208"/>
  <c r="L44" i="208" s="1"/>
  <c r="L40" i="208" s="1"/>
  <c r="M47" i="208"/>
  <c r="M44" i="208" s="1"/>
  <c r="M40" i="208" s="1"/>
  <c r="N47" i="208"/>
  <c r="N50" i="208" s="1"/>
  <c r="O47" i="208"/>
  <c r="O50" i="208" s="1"/>
  <c r="P47" i="208"/>
  <c r="P44" i="208" s="1"/>
  <c r="P40" i="208" s="1"/>
  <c r="Q47" i="208"/>
  <c r="Q44" i="208" s="1"/>
  <c r="Q40" i="208" s="1"/>
  <c r="G47" i="208"/>
  <c r="G50" i="208" s="1"/>
  <c r="G46" i="208"/>
  <c r="G49" i="208" s="1"/>
  <c r="G16" i="209"/>
  <c r="D16" i="209"/>
  <c r="C10" i="208"/>
  <c r="D7" i="208" s="1"/>
  <c r="D10" i="208"/>
  <c r="E7" i="208" s="1"/>
  <c r="E10" i="208"/>
  <c r="F7" i="208" s="1"/>
  <c r="F10" i="208"/>
  <c r="G7" i="208" s="1"/>
  <c r="N17" i="208" s="1"/>
  <c r="B3" i="208"/>
  <c r="K6" i="205"/>
  <c r="L6" i="205"/>
  <c r="M6" i="205"/>
  <c r="N6" i="205"/>
  <c r="O6" i="205"/>
  <c r="P6" i="205"/>
  <c r="Q6" i="205"/>
  <c r="R6" i="205"/>
  <c r="S6" i="205"/>
  <c r="T6" i="205"/>
  <c r="U6" i="205"/>
  <c r="J6" i="205"/>
  <c r="J10" i="205"/>
  <c r="K10" i="205"/>
  <c r="L10" i="205"/>
  <c r="M10" i="205"/>
  <c r="N10" i="205"/>
  <c r="O10" i="205"/>
  <c r="S10" i="205"/>
  <c r="Q14" i="205"/>
  <c r="Q10" i="205" s="1"/>
  <c r="R14" i="205"/>
  <c r="R10" i="205" s="1"/>
  <c r="S14" i="205"/>
  <c r="T14" i="205"/>
  <c r="T10" i="205" s="1"/>
  <c r="U14" i="205"/>
  <c r="U10" i="205" s="1"/>
  <c r="Q20" i="205"/>
  <c r="R20" i="205"/>
  <c r="S20" i="205"/>
  <c r="T20" i="205"/>
  <c r="U20" i="205"/>
  <c r="D6" i="205"/>
  <c r="E6" i="205"/>
  <c r="F6" i="205"/>
  <c r="G6" i="205"/>
  <c r="H6" i="205"/>
  <c r="I6" i="205"/>
  <c r="C6" i="205"/>
  <c r="D7" i="205"/>
  <c r="E7" i="205"/>
  <c r="F7" i="205"/>
  <c r="G7" i="205"/>
  <c r="H7" i="205"/>
  <c r="I7" i="205"/>
  <c r="C7" i="205"/>
  <c r="D5" i="205"/>
  <c r="E5" i="205"/>
  <c r="F5" i="205"/>
  <c r="G5" i="205"/>
  <c r="H5" i="205"/>
  <c r="I5" i="205"/>
  <c r="C5" i="205"/>
  <c r="P20" i="205"/>
  <c r="O14" i="205"/>
  <c r="N20" i="205"/>
  <c r="M14" i="205"/>
  <c r="L20" i="205"/>
  <c r="K14" i="205"/>
  <c r="J14" i="205"/>
  <c r="C18" i="204"/>
  <c r="C17" i="204"/>
  <c r="C16" i="204"/>
  <c r="D16" i="204" s="1"/>
  <c r="D15" i="204"/>
  <c r="C15" i="204"/>
  <c r="C14" i="204"/>
  <c r="C13" i="204"/>
  <c r="D13" i="204" s="1"/>
  <c r="C12" i="204"/>
  <c r="C11" i="204"/>
  <c r="D11" i="204" s="1"/>
  <c r="D10" i="204"/>
  <c r="C10" i="204"/>
  <c r="D9" i="204"/>
  <c r="C9" i="204"/>
  <c r="D8" i="204"/>
  <c r="C8" i="204"/>
  <c r="C7" i="204"/>
  <c r="D7" i="204" s="1"/>
  <c r="K7" i="202"/>
  <c r="L7" i="202"/>
  <c r="M7" i="202"/>
  <c r="N7" i="202"/>
  <c r="O7" i="202"/>
  <c r="P7" i="202"/>
  <c r="Q7" i="202"/>
  <c r="R7" i="202"/>
  <c r="S7" i="202"/>
  <c r="T7" i="202"/>
  <c r="U7" i="202"/>
  <c r="J7" i="202"/>
  <c r="D6" i="202"/>
  <c r="E6" i="202"/>
  <c r="F6" i="202"/>
  <c r="G6" i="202"/>
  <c r="H6" i="202"/>
  <c r="I6" i="202"/>
  <c r="C6" i="202"/>
  <c r="C7" i="202" s="1"/>
  <c r="D5" i="202"/>
  <c r="E5" i="202"/>
  <c r="F5" i="202"/>
  <c r="G5" i="202"/>
  <c r="H5" i="202"/>
  <c r="I5" i="202"/>
  <c r="C5" i="202"/>
  <c r="I7" i="202"/>
  <c r="H7" i="202"/>
  <c r="G7" i="202"/>
  <c r="D17" i="201"/>
  <c r="E17" i="201"/>
  <c r="F17" i="201"/>
  <c r="G17" i="201"/>
  <c r="H17" i="201"/>
  <c r="I17" i="201"/>
  <c r="C17" i="201"/>
  <c r="L10" i="201"/>
  <c r="M10" i="201"/>
  <c r="N10" i="201"/>
  <c r="T10" i="201"/>
  <c r="U10" i="201"/>
  <c r="D6" i="201"/>
  <c r="E6" i="201"/>
  <c r="E7" i="201" s="1"/>
  <c r="F6" i="201"/>
  <c r="F7" i="201" s="1"/>
  <c r="G6" i="201"/>
  <c r="H6" i="201"/>
  <c r="I6" i="201"/>
  <c r="I7" i="201" s="1"/>
  <c r="C6" i="201"/>
  <c r="D5" i="201"/>
  <c r="E5" i="201"/>
  <c r="F5" i="201"/>
  <c r="G5" i="201"/>
  <c r="H5" i="201"/>
  <c r="I5" i="201"/>
  <c r="C5" i="201"/>
  <c r="U20" i="201"/>
  <c r="T20" i="201"/>
  <c r="S20" i="201"/>
  <c r="R20" i="201"/>
  <c r="Q20" i="201"/>
  <c r="P20" i="201"/>
  <c r="O20" i="201"/>
  <c r="N20" i="201"/>
  <c r="M20" i="201"/>
  <c r="L20" i="201"/>
  <c r="K20" i="201"/>
  <c r="J20" i="201"/>
  <c r="U14" i="201"/>
  <c r="T14" i="201"/>
  <c r="S14" i="201"/>
  <c r="S10" i="201" s="1"/>
  <c r="R14" i="201"/>
  <c r="R10" i="201" s="1"/>
  <c r="Q14" i="201"/>
  <c r="Q10" i="201" s="1"/>
  <c r="P14" i="201"/>
  <c r="P10" i="201" s="1"/>
  <c r="O14" i="201"/>
  <c r="O10" i="201" s="1"/>
  <c r="N14" i="201"/>
  <c r="M14" i="201"/>
  <c r="L14" i="201"/>
  <c r="K14" i="201"/>
  <c r="K10" i="201" s="1"/>
  <c r="J14" i="201"/>
  <c r="J10" i="201" s="1"/>
  <c r="H7" i="201"/>
  <c r="G7" i="201"/>
  <c r="C7" i="201"/>
  <c r="K10" i="200"/>
  <c r="L10" i="200"/>
  <c r="M10" i="200"/>
  <c r="N10" i="200"/>
  <c r="O10" i="200"/>
  <c r="P10" i="200"/>
  <c r="Q10" i="200"/>
  <c r="R10" i="200"/>
  <c r="S10" i="200"/>
  <c r="T10" i="200"/>
  <c r="U10" i="200"/>
  <c r="K7" i="200"/>
  <c r="L7" i="200" s="1"/>
  <c r="M7" i="200" s="1"/>
  <c r="N7" i="200" s="1"/>
  <c r="O7" i="200" s="1"/>
  <c r="P7" i="200" s="1"/>
  <c r="Q7" i="200" s="1"/>
  <c r="J7" i="200"/>
  <c r="J10" i="200"/>
  <c r="G17" i="200"/>
  <c r="H17" i="200"/>
  <c r="I17" i="200"/>
  <c r="E17" i="200"/>
  <c r="F17" i="200"/>
  <c r="D17" i="200"/>
  <c r="D6" i="200"/>
  <c r="E6" i="200"/>
  <c r="E7" i="200" s="1"/>
  <c r="F6" i="200"/>
  <c r="F7" i="200" s="1"/>
  <c r="G6" i="200"/>
  <c r="H6" i="200"/>
  <c r="I6" i="200"/>
  <c r="D5" i="200"/>
  <c r="D7" i="200" s="1"/>
  <c r="E5" i="200"/>
  <c r="F5" i="200"/>
  <c r="G5" i="200"/>
  <c r="G7" i="200" s="1"/>
  <c r="H5" i="200"/>
  <c r="H7" i="200" s="1"/>
  <c r="I5" i="200"/>
  <c r="I7" i="200" s="1"/>
  <c r="C5" i="200"/>
  <c r="C6" i="200"/>
  <c r="R14" i="200"/>
  <c r="S14" i="200"/>
  <c r="T14" i="200"/>
  <c r="U14" i="200"/>
  <c r="R20" i="200"/>
  <c r="S20" i="200"/>
  <c r="T20" i="200"/>
  <c r="U20" i="200"/>
  <c r="Q20" i="200"/>
  <c r="P20" i="200"/>
  <c r="O20" i="200"/>
  <c r="N20" i="200"/>
  <c r="M20" i="200"/>
  <c r="L20" i="200"/>
  <c r="K20" i="200"/>
  <c r="J20" i="200"/>
  <c r="Q14" i="200"/>
  <c r="P14" i="200"/>
  <c r="O14" i="200"/>
  <c r="N14" i="200"/>
  <c r="M14" i="200"/>
  <c r="L14" i="200"/>
  <c r="K14" i="200"/>
  <c r="J14" i="200"/>
  <c r="K5" i="196"/>
  <c r="K5" i="197" s="1"/>
  <c r="L5" i="196"/>
  <c r="M5" i="196"/>
  <c r="N5" i="196"/>
  <c r="O5" i="196"/>
  <c r="P5" i="196"/>
  <c r="Q5" i="196"/>
  <c r="R5" i="196"/>
  <c r="S5" i="196"/>
  <c r="T5" i="196"/>
  <c r="U5" i="196"/>
  <c r="K6" i="196"/>
  <c r="L6" i="196"/>
  <c r="M6" i="196"/>
  <c r="N6" i="196"/>
  <c r="O6" i="196"/>
  <c r="O6" i="197" s="1"/>
  <c r="P6" i="196"/>
  <c r="Q6" i="196"/>
  <c r="R6" i="196"/>
  <c r="S6" i="196"/>
  <c r="T6" i="196"/>
  <c r="U6" i="196"/>
  <c r="U6" i="197" s="1"/>
  <c r="K8" i="196"/>
  <c r="L8" i="196"/>
  <c r="M8" i="196"/>
  <c r="N8" i="196"/>
  <c r="O8" i="196"/>
  <c r="O8" i="197" s="1"/>
  <c r="P8" i="196"/>
  <c r="P8" i="197" s="1"/>
  <c r="Q8" i="196"/>
  <c r="R8" i="196"/>
  <c r="R8" i="197" s="1"/>
  <c r="S8" i="196"/>
  <c r="T8" i="196"/>
  <c r="U8" i="196"/>
  <c r="K9" i="196"/>
  <c r="L9" i="196"/>
  <c r="L9" i="197" s="1"/>
  <c r="M9" i="196"/>
  <c r="M9" i="197" s="1"/>
  <c r="N9" i="196"/>
  <c r="N9" i="197" s="1"/>
  <c r="O9" i="196"/>
  <c r="O9" i="197" s="1"/>
  <c r="P9" i="196"/>
  <c r="Q9" i="196"/>
  <c r="R9" i="196"/>
  <c r="S9" i="196"/>
  <c r="T9" i="196"/>
  <c r="U9" i="196"/>
  <c r="U9" i="197" s="1"/>
  <c r="K10" i="196"/>
  <c r="K10" i="197" s="1"/>
  <c r="L10" i="196"/>
  <c r="L10" i="197" s="1"/>
  <c r="M10" i="196"/>
  <c r="N10" i="196"/>
  <c r="O10" i="196"/>
  <c r="P10" i="196"/>
  <c r="Q10" i="196"/>
  <c r="R10" i="196"/>
  <c r="S10" i="196"/>
  <c r="S10" i="197" s="1"/>
  <c r="T10" i="196"/>
  <c r="T10" i="197" s="1"/>
  <c r="U10" i="196"/>
  <c r="J6" i="196"/>
  <c r="J6" i="197" s="1"/>
  <c r="J8" i="196"/>
  <c r="J8" i="197" s="1"/>
  <c r="J9" i="196"/>
  <c r="J10" i="196"/>
  <c r="J5" i="196"/>
  <c r="J5" i="197" s="1"/>
  <c r="J9" i="197"/>
  <c r="J10" i="197"/>
  <c r="D5" i="198"/>
  <c r="E5" i="198"/>
  <c r="F5" i="198"/>
  <c r="G5" i="198"/>
  <c r="H5" i="198"/>
  <c r="I5" i="198"/>
  <c r="C5" i="198"/>
  <c r="D11" i="197"/>
  <c r="E11" i="197"/>
  <c r="F11" i="197"/>
  <c r="G11" i="197"/>
  <c r="H11" i="197"/>
  <c r="I11" i="197"/>
  <c r="C11" i="197"/>
  <c r="D11" i="196"/>
  <c r="E11" i="196"/>
  <c r="F11" i="196"/>
  <c r="G11" i="196"/>
  <c r="H11" i="196"/>
  <c r="I11" i="196"/>
  <c r="C11" i="196"/>
  <c r="D11" i="193"/>
  <c r="E11" i="193"/>
  <c r="F11" i="193"/>
  <c r="G11" i="193"/>
  <c r="H11" i="193"/>
  <c r="H4" i="198" s="1"/>
  <c r="H6" i="198" s="1"/>
  <c r="I11" i="193"/>
  <c r="C11" i="193"/>
  <c r="F6" i="193"/>
  <c r="E6" i="193"/>
  <c r="D6" i="193"/>
  <c r="C6" i="193"/>
  <c r="F4" i="198"/>
  <c r="G4" i="198"/>
  <c r="G6" i="198" s="1"/>
  <c r="I4" i="198"/>
  <c r="I6" i="198" s="1"/>
  <c r="I7" i="193"/>
  <c r="H5" i="193"/>
  <c r="I5" i="193"/>
  <c r="H6" i="193"/>
  <c r="I6" i="193"/>
  <c r="G6" i="193"/>
  <c r="G5" i="193"/>
  <c r="F6" i="198"/>
  <c r="L5" i="197"/>
  <c r="M5" i="197"/>
  <c r="N5" i="197"/>
  <c r="O5" i="197"/>
  <c r="P5" i="197"/>
  <c r="Q5" i="197"/>
  <c r="S5" i="197"/>
  <c r="T5" i="197"/>
  <c r="U5" i="197"/>
  <c r="K6" i="197"/>
  <c r="L6" i="197"/>
  <c r="M6" i="197"/>
  <c r="N6" i="197"/>
  <c r="P6" i="197"/>
  <c r="Q6" i="197"/>
  <c r="R6" i="197"/>
  <c r="S6" i="197"/>
  <c r="T6" i="197"/>
  <c r="K8" i="197"/>
  <c r="L8" i="197"/>
  <c r="M8" i="197"/>
  <c r="N8" i="197"/>
  <c r="S8" i="197"/>
  <c r="T8" i="197"/>
  <c r="U8" i="197"/>
  <c r="K9" i="197"/>
  <c r="P9" i="197"/>
  <c r="Q9" i="197"/>
  <c r="R9" i="197"/>
  <c r="S9" i="197"/>
  <c r="T9" i="197"/>
  <c r="M10" i="197"/>
  <c r="N10" i="197"/>
  <c r="O10" i="197"/>
  <c r="P10" i="197"/>
  <c r="Q10" i="197"/>
  <c r="R10" i="197"/>
  <c r="U10" i="197"/>
  <c r="S26" i="196"/>
  <c r="S18" i="196" s="1"/>
  <c r="R30" i="196"/>
  <c r="R22" i="196" s="1"/>
  <c r="R14" i="196" s="1"/>
  <c r="S30" i="196"/>
  <c r="S22" i="196" s="1"/>
  <c r="S14" i="196" s="1"/>
  <c r="T30" i="196"/>
  <c r="T38" i="196" s="1"/>
  <c r="U30" i="196"/>
  <c r="U22" i="196" s="1"/>
  <c r="U14" i="196" s="1"/>
  <c r="R31" i="196"/>
  <c r="R23" i="196" s="1"/>
  <c r="R15" i="196" s="1"/>
  <c r="S31" i="196"/>
  <c r="S23" i="196" s="1"/>
  <c r="S15" i="196" s="1"/>
  <c r="T31" i="196"/>
  <c r="T23" i="196" s="1"/>
  <c r="T15" i="196" s="1"/>
  <c r="U31" i="196"/>
  <c r="U23" i="196" s="1"/>
  <c r="U15" i="196" s="1"/>
  <c r="R32" i="196"/>
  <c r="R24" i="196" s="1"/>
  <c r="R16" i="196" s="1"/>
  <c r="S32" i="196"/>
  <c r="S24" i="196" s="1"/>
  <c r="S16" i="196" s="1"/>
  <c r="T32" i="196"/>
  <c r="T24" i="196" s="1"/>
  <c r="T16" i="196" s="1"/>
  <c r="U32" i="196"/>
  <c r="U24" i="196" s="1"/>
  <c r="U16" i="196" s="1"/>
  <c r="R33" i="196"/>
  <c r="R25" i="196" s="1"/>
  <c r="R17" i="196" s="1"/>
  <c r="S33" i="196"/>
  <c r="S25" i="196" s="1"/>
  <c r="S17" i="196" s="1"/>
  <c r="T33" i="196"/>
  <c r="T25" i="196" s="1"/>
  <c r="T17" i="196" s="1"/>
  <c r="U33" i="196"/>
  <c r="U25" i="196" s="1"/>
  <c r="U17" i="196" s="1"/>
  <c r="R34" i="196"/>
  <c r="R26" i="196" s="1"/>
  <c r="R18" i="196" s="1"/>
  <c r="S34" i="196"/>
  <c r="T34" i="196"/>
  <c r="T26" i="196" s="1"/>
  <c r="T18" i="196" s="1"/>
  <c r="U34" i="196"/>
  <c r="U26" i="196" s="1"/>
  <c r="U18" i="196" s="1"/>
  <c r="R35" i="196"/>
  <c r="R27" i="196" s="1"/>
  <c r="R19" i="196" s="1"/>
  <c r="S35" i="196"/>
  <c r="S27" i="196" s="1"/>
  <c r="S19" i="196" s="1"/>
  <c r="T35" i="196"/>
  <c r="T27" i="196" s="1"/>
  <c r="T19" i="196" s="1"/>
  <c r="U35" i="196"/>
  <c r="U27" i="196" s="1"/>
  <c r="U19" i="196" s="1"/>
  <c r="R38" i="196"/>
  <c r="U38" i="196"/>
  <c r="R39" i="196"/>
  <c r="S39" i="196"/>
  <c r="T39" i="196"/>
  <c r="R40" i="196"/>
  <c r="T40" i="196"/>
  <c r="U40" i="196"/>
  <c r="R41" i="196"/>
  <c r="S41" i="196"/>
  <c r="T41" i="196"/>
  <c r="U41" i="196"/>
  <c r="R42" i="196"/>
  <c r="S42" i="196"/>
  <c r="T42" i="196"/>
  <c r="U42" i="196"/>
  <c r="R43" i="196"/>
  <c r="S43" i="196"/>
  <c r="T43" i="196"/>
  <c r="P39" i="196"/>
  <c r="H30" i="196"/>
  <c r="H38" i="196" s="1"/>
  <c r="I30" i="196"/>
  <c r="I22" i="196" s="1"/>
  <c r="I14" i="196" s="1"/>
  <c r="J30" i="196"/>
  <c r="J22" i="196" s="1"/>
  <c r="J14" i="196" s="1"/>
  <c r="K30" i="196"/>
  <c r="K38" i="196" s="1"/>
  <c r="L30" i="196"/>
  <c r="L38" i="196" s="1"/>
  <c r="M30" i="196"/>
  <c r="M38" i="196" s="1"/>
  <c r="N30" i="196"/>
  <c r="N22" i="196" s="1"/>
  <c r="N14" i="196" s="1"/>
  <c r="O30" i="196"/>
  <c r="O38" i="196" s="1"/>
  <c r="P30" i="196"/>
  <c r="P38" i="196" s="1"/>
  <c r="Q30" i="196"/>
  <c r="Q22" i="196" s="1"/>
  <c r="Q14" i="196" s="1"/>
  <c r="H31" i="196"/>
  <c r="H23" i="196" s="1"/>
  <c r="H15" i="196" s="1"/>
  <c r="I31" i="196"/>
  <c r="I39" i="196" s="1"/>
  <c r="J31" i="196"/>
  <c r="J39" i="196" s="1"/>
  <c r="K31" i="196"/>
  <c r="K39" i="196" s="1"/>
  <c r="L31" i="196"/>
  <c r="L23" i="196" s="1"/>
  <c r="L15" i="196" s="1"/>
  <c r="M31" i="196"/>
  <c r="M39" i="196" s="1"/>
  <c r="N31" i="196"/>
  <c r="N39" i="196" s="1"/>
  <c r="O31" i="196"/>
  <c r="O23" i="196" s="1"/>
  <c r="O15" i="196" s="1"/>
  <c r="P31" i="196"/>
  <c r="P23" i="196" s="1"/>
  <c r="P15" i="196" s="1"/>
  <c r="Q31" i="196"/>
  <c r="Q39" i="196" s="1"/>
  <c r="H32" i="196"/>
  <c r="H40" i="196" s="1"/>
  <c r="I32" i="196"/>
  <c r="I24" i="196" s="1"/>
  <c r="I16" i="196" s="1"/>
  <c r="J32" i="196"/>
  <c r="J24" i="196" s="1"/>
  <c r="J16" i="196" s="1"/>
  <c r="K32" i="196"/>
  <c r="K40" i="196" s="1"/>
  <c r="L32" i="196"/>
  <c r="L40" i="196" s="1"/>
  <c r="M32" i="196"/>
  <c r="M24" i="196" s="1"/>
  <c r="M16" i="196" s="1"/>
  <c r="N32" i="196"/>
  <c r="N24" i="196" s="1"/>
  <c r="N16" i="196" s="1"/>
  <c r="O32" i="196"/>
  <c r="O40" i="196" s="1"/>
  <c r="P32" i="196"/>
  <c r="P40" i="196" s="1"/>
  <c r="Q32" i="196"/>
  <c r="Q40" i="196" s="1"/>
  <c r="H33" i="196"/>
  <c r="H25" i="196" s="1"/>
  <c r="H17" i="196" s="1"/>
  <c r="I33" i="196"/>
  <c r="I41" i="196" s="1"/>
  <c r="J33" i="196"/>
  <c r="J41" i="196" s="1"/>
  <c r="K33" i="196"/>
  <c r="K25" i="196" s="1"/>
  <c r="K17" i="196" s="1"/>
  <c r="L33" i="196"/>
  <c r="L25" i="196" s="1"/>
  <c r="L17" i="196" s="1"/>
  <c r="M33" i="196"/>
  <c r="M41" i="196" s="1"/>
  <c r="N33" i="196"/>
  <c r="N41" i="196" s="1"/>
  <c r="O33" i="196"/>
  <c r="O41" i="196" s="1"/>
  <c r="P33" i="196"/>
  <c r="P25" i="196" s="1"/>
  <c r="P17" i="196" s="1"/>
  <c r="Q33" i="196"/>
  <c r="Q25" i="196" s="1"/>
  <c r="Q17" i="196" s="1"/>
  <c r="H34" i="196"/>
  <c r="H42" i="196" s="1"/>
  <c r="I34" i="196"/>
  <c r="I26" i="196" s="1"/>
  <c r="I18" i="196" s="1"/>
  <c r="J34" i="196"/>
  <c r="J26" i="196" s="1"/>
  <c r="J18" i="196" s="1"/>
  <c r="K34" i="196"/>
  <c r="K42" i="196" s="1"/>
  <c r="L34" i="196"/>
  <c r="L42" i="196" s="1"/>
  <c r="M34" i="196"/>
  <c r="M42" i="196" s="1"/>
  <c r="N34" i="196"/>
  <c r="N26" i="196" s="1"/>
  <c r="N18" i="196" s="1"/>
  <c r="O34" i="196"/>
  <c r="O42" i="196" s="1"/>
  <c r="P34" i="196"/>
  <c r="P42" i="196" s="1"/>
  <c r="Q34" i="196"/>
  <c r="Q26" i="196" s="1"/>
  <c r="Q18" i="196" s="1"/>
  <c r="H35" i="196"/>
  <c r="H27" i="196" s="1"/>
  <c r="H19" i="196" s="1"/>
  <c r="I35" i="196"/>
  <c r="I43" i="196" s="1"/>
  <c r="J35" i="196"/>
  <c r="J43" i="196" s="1"/>
  <c r="K35" i="196"/>
  <c r="K43" i="196" s="1"/>
  <c r="L35" i="196"/>
  <c r="L27" i="196" s="1"/>
  <c r="L19" i="196" s="1"/>
  <c r="M35" i="196"/>
  <c r="M27" i="196" s="1"/>
  <c r="M19" i="196" s="1"/>
  <c r="N35" i="196"/>
  <c r="N43" i="196" s="1"/>
  <c r="O35" i="196"/>
  <c r="O27" i="196" s="1"/>
  <c r="O19" i="196" s="1"/>
  <c r="P35" i="196"/>
  <c r="P27" i="196" s="1"/>
  <c r="P19" i="196" s="1"/>
  <c r="Q35" i="196"/>
  <c r="Q43" i="196" s="1"/>
  <c r="G35" i="196"/>
  <c r="G43" i="196" s="1"/>
  <c r="G34" i="196"/>
  <c r="G26" i="196" s="1"/>
  <c r="G18" i="196" s="1"/>
  <c r="G33" i="196"/>
  <c r="G25" i="196" s="1"/>
  <c r="G17" i="196" s="1"/>
  <c r="G32" i="196"/>
  <c r="G40" i="196" s="1"/>
  <c r="G31" i="196"/>
  <c r="G39" i="196" s="1"/>
  <c r="G30" i="196"/>
  <c r="G22" i="196" s="1"/>
  <c r="G14" i="196" s="1"/>
  <c r="C18" i="195"/>
  <c r="C19" i="195"/>
  <c r="C20" i="195"/>
  <c r="C21" i="195"/>
  <c r="R5" i="193"/>
  <c r="S5" i="193"/>
  <c r="T5" i="193"/>
  <c r="U5" i="193"/>
  <c r="R6" i="193"/>
  <c r="S6" i="193"/>
  <c r="T6" i="193"/>
  <c r="U6" i="193"/>
  <c r="R8" i="193"/>
  <c r="S8" i="193"/>
  <c r="T8" i="193"/>
  <c r="U8" i="193"/>
  <c r="R9" i="193"/>
  <c r="S9" i="193"/>
  <c r="T9" i="193"/>
  <c r="U9" i="193"/>
  <c r="R10" i="193"/>
  <c r="S10" i="193"/>
  <c r="T10" i="193"/>
  <c r="U10" i="193"/>
  <c r="R14" i="193"/>
  <c r="S14" i="193"/>
  <c r="T14" i="193"/>
  <c r="U14" i="193"/>
  <c r="R15" i="193"/>
  <c r="S15" i="193"/>
  <c r="T15" i="193"/>
  <c r="U15" i="193"/>
  <c r="R16" i="193"/>
  <c r="S16" i="193"/>
  <c r="T16" i="193"/>
  <c r="U16" i="193"/>
  <c r="R17" i="193"/>
  <c r="S17" i="193"/>
  <c r="T17" i="193"/>
  <c r="U17" i="193"/>
  <c r="R18" i="193"/>
  <c r="S18" i="193"/>
  <c r="T18" i="193"/>
  <c r="U18" i="193"/>
  <c r="R19" i="193"/>
  <c r="S19" i="193"/>
  <c r="T19" i="193"/>
  <c r="U19" i="193"/>
  <c r="C17" i="195"/>
  <c r="C16" i="195"/>
  <c r="H11" i="195"/>
  <c r="H10" i="195"/>
  <c r="H9" i="195"/>
  <c r="H8" i="195"/>
  <c r="J15" i="193"/>
  <c r="K15" i="193"/>
  <c r="L15" i="193"/>
  <c r="M15" i="193"/>
  <c r="N15" i="193"/>
  <c r="O15" i="193"/>
  <c r="P15" i="193"/>
  <c r="Q15" i="193"/>
  <c r="J16" i="193"/>
  <c r="K16" i="193"/>
  <c r="L16" i="193"/>
  <c r="M16" i="193"/>
  <c r="N16" i="193"/>
  <c r="O16" i="193"/>
  <c r="P16" i="193"/>
  <c r="Q16" i="193"/>
  <c r="J17" i="193"/>
  <c r="K17" i="193"/>
  <c r="L17" i="193"/>
  <c r="M17" i="193"/>
  <c r="N17" i="193"/>
  <c r="O17" i="193"/>
  <c r="P17" i="193"/>
  <c r="Q17" i="193"/>
  <c r="J18" i="193"/>
  <c r="K18" i="193"/>
  <c r="L18" i="193"/>
  <c r="M18" i="193"/>
  <c r="N18" i="193"/>
  <c r="O18" i="193"/>
  <c r="P18" i="193"/>
  <c r="Q18" i="193"/>
  <c r="J19" i="193"/>
  <c r="K19" i="193"/>
  <c r="L19" i="193"/>
  <c r="M19" i="193"/>
  <c r="N19" i="193"/>
  <c r="O19" i="193"/>
  <c r="P19" i="193"/>
  <c r="Q19" i="193"/>
  <c r="K14" i="193"/>
  <c r="L14" i="193"/>
  <c r="M14" i="193"/>
  <c r="N14" i="193"/>
  <c r="O14" i="193"/>
  <c r="P14" i="193"/>
  <c r="Q14" i="193"/>
  <c r="J14" i="193"/>
  <c r="G30" i="221" l="1"/>
  <c r="G32" i="221" s="1"/>
  <c r="G34" i="221" s="1"/>
  <c r="R43" i="208"/>
  <c r="R39" i="208" s="1"/>
  <c r="M17" i="208"/>
  <c r="R17" i="208"/>
  <c r="H44" i="208"/>
  <c r="H40" i="208" s="1"/>
  <c r="L17" i="208"/>
  <c r="K17" i="208"/>
  <c r="G17" i="208"/>
  <c r="J17" i="208"/>
  <c r="Q17" i="208"/>
  <c r="I17" i="208"/>
  <c r="P17" i="208"/>
  <c r="H17" i="208"/>
  <c r="O17" i="208"/>
  <c r="N44" i="208"/>
  <c r="N40" i="208" s="1"/>
  <c r="I43" i="208"/>
  <c r="I39" i="208" s="1"/>
  <c r="Q43" i="208"/>
  <c r="Q39" i="208" s="1"/>
  <c r="O44" i="208"/>
  <c r="O40" i="208" s="1"/>
  <c r="J43" i="208"/>
  <c r="J39" i="208" s="1"/>
  <c r="G43" i="208"/>
  <c r="G39" i="208" s="1"/>
  <c r="G8" i="208" s="1"/>
  <c r="G44" i="208"/>
  <c r="G40" i="208" s="1"/>
  <c r="J50" i="208"/>
  <c r="M49" i="208"/>
  <c r="Q50" i="208"/>
  <c r="I50" i="208"/>
  <c r="L49" i="208"/>
  <c r="K50" i="208"/>
  <c r="N49" i="208"/>
  <c r="K43" i="208"/>
  <c r="K39" i="208" s="1"/>
  <c r="M50" i="208"/>
  <c r="P49" i="208"/>
  <c r="H49" i="208"/>
  <c r="P50" i="208"/>
  <c r="L50" i="208"/>
  <c r="O49" i="208"/>
  <c r="C30" i="208"/>
  <c r="L14" i="205"/>
  <c r="P14" i="205"/>
  <c r="P10" i="205" s="1"/>
  <c r="J20" i="205"/>
  <c r="O20" i="205"/>
  <c r="N14" i="205"/>
  <c r="K20" i="205"/>
  <c r="M20" i="205"/>
  <c r="D18" i="204"/>
  <c r="E7" i="202"/>
  <c r="F7" i="202"/>
  <c r="D7" i="202"/>
  <c r="D7" i="201"/>
  <c r="J7" i="201"/>
  <c r="K7" i="201" s="1"/>
  <c r="L7" i="201" s="1"/>
  <c r="M7" i="201" s="1"/>
  <c r="N7" i="201" s="1"/>
  <c r="O7" i="201" s="1"/>
  <c r="P7" i="201" s="1"/>
  <c r="Q7" i="201" s="1"/>
  <c r="R7" i="201" s="1"/>
  <c r="S7" i="201" s="1"/>
  <c r="T7" i="201" s="1"/>
  <c r="U7" i="201" s="1"/>
  <c r="R7" i="200"/>
  <c r="S7" i="200" s="1"/>
  <c r="T7" i="200" s="1"/>
  <c r="U7" i="200" s="1"/>
  <c r="C7" i="200"/>
  <c r="Q8" i="197"/>
  <c r="R5" i="197"/>
  <c r="U43" i="196"/>
  <c r="U39" i="196"/>
  <c r="T22" i="196"/>
  <c r="T14" i="196" s="1"/>
  <c r="S40" i="196"/>
  <c r="S38" i="196"/>
  <c r="M23" i="196"/>
  <c r="M15" i="196" s="1"/>
  <c r="G38" i="196"/>
  <c r="I42" i="196"/>
  <c r="G27" i="196"/>
  <c r="G19" i="196" s="1"/>
  <c r="O26" i="196"/>
  <c r="O18" i="196" s="1"/>
  <c r="I25" i="196"/>
  <c r="I17" i="196" s="1"/>
  <c r="K23" i="196"/>
  <c r="K15" i="196" s="1"/>
  <c r="P43" i="196"/>
  <c r="Q41" i="196"/>
  <c r="O39" i="196"/>
  <c r="G24" i="196"/>
  <c r="G16" i="196" s="1"/>
  <c r="M26" i="196"/>
  <c r="M18" i="196" s="1"/>
  <c r="Q24" i="196"/>
  <c r="Q16" i="196" s="1"/>
  <c r="J23" i="196"/>
  <c r="J15" i="196" s="1"/>
  <c r="O43" i="196"/>
  <c r="L41" i="196"/>
  <c r="G23" i="196"/>
  <c r="G15" i="196" s="1"/>
  <c r="L26" i="196"/>
  <c r="L18" i="196" s="1"/>
  <c r="P24" i="196"/>
  <c r="P16" i="196" s="1"/>
  <c r="P22" i="196"/>
  <c r="P14" i="196" s="1"/>
  <c r="M43" i="196"/>
  <c r="K41" i="196"/>
  <c r="H39" i="196"/>
  <c r="P26" i="196"/>
  <c r="P18" i="196" s="1"/>
  <c r="N27" i="196"/>
  <c r="N19" i="196" s="1"/>
  <c r="H26" i="196"/>
  <c r="H18" i="196" s="1"/>
  <c r="L24" i="196"/>
  <c r="L16" i="196" s="1"/>
  <c r="O22" i="196"/>
  <c r="O14" i="196" s="1"/>
  <c r="H43" i="196"/>
  <c r="Q38" i="196"/>
  <c r="J25" i="196"/>
  <c r="J17" i="196" s="1"/>
  <c r="K24" i="196"/>
  <c r="K16" i="196" s="1"/>
  <c r="M22" i="196"/>
  <c r="M14" i="196" s="1"/>
  <c r="Q42" i="196"/>
  <c r="N40" i="196"/>
  <c r="K27" i="196"/>
  <c r="K19" i="196" s="1"/>
  <c r="O25" i="196"/>
  <c r="O17" i="196" s="1"/>
  <c r="H24" i="196"/>
  <c r="H16" i="196" s="1"/>
  <c r="L22" i="196"/>
  <c r="L14" i="196" s="1"/>
  <c r="M40" i="196"/>
  <c r="J38" i="196"/>
  <c r="J27" i="196"/>
  <c r="J19" i="196" s="1"/>
  <c r="N25" i="196"/>
  <c r="N17" i="196" s="1"/>
  <c r="N23" i="196"/>
  <c r="N15" i="196" s="1"/>
  <c r="H22" i="196"/>
  <c r="H14" i="196" s="1"/>
  <c r="J42" i="196"/>
  <c r="I38" i="196"/>
  <c r="L43" i="196"/>
  <c r="P41" i="196"/>
  <c r="L39" i="196"/>
  <c r="N38" i="196"/>
  <c r="Q27" i="196"/>
  <c r="Q19" i="196" s="1"/>
  <c r="I27" i="196"/>
  <c r="I19" i="196" s="1"/>
  <c r="K26" i="196"/>
  <c r="K18" i="196" s="1"/>
  <c r="M25" i="196"/>
  <c r="M17" i="196" s="1"/>
  <c r="O24" i="196"/>
  <c r="O16" i="196" s="1"/>
  <c r="Q23" i="196"/>
  <c r="Q15" i="196" s="1"/>
  <c r="I23" i="196"/>
  <c r="I15" i="196" s="1"/>
  <c r="K22" i="196"/>
  <c r="K14" i="196" s="1"/>
  <c r="I40" i="196"/>
  <c r="G42" i="196"/>
  <c r="N42" i="196"/>
  <c r="J40" i="196"/>
  <c r="G41" i="196"/>
  <c r="H41" i="196"/>
  <c r="R18" i="208" l="1"/>
  <c r="J16" i="221"/>
  <c r="H30" i="221"/>
  <c r="H32" i="221" s="1"/>
  <c r="H34" i="221" s="1"/>
  <c r="K18" i="208"/>
  <c r="L18" i="208"/>
  <c r="M18" i="208"/>
  <c r="N18" i="208"/>
  <c r="O18" i="208"/>
  <c r="G18" i="208"/>
  <c r="G30" i="208" s="1"/>
  <c r="H18" i="208"/>
  <c r="P18" i="208"/>
  <c r="J18" i="208"/>
  <c r="I18" i="208"/>
  <c r="Q18" i="208"/>
  <c r="I30" i="221" l="1"/>
  <c r="I32" i="221" s="1"/>
  <c r="I34" i="221" s="1"/>
  <c r="J30" i="221" l="1"/>
  <c r="D30" i="208"/>
  <c r="V8" i="193" l="1"/>
  <c r="V9" i="193"/>
  <c r="V10" i="193"/>
  <c r="V7" i="193"/>
  <c r="V6" i="193"/>
  <c r="V5" i="193"/>
  <c r="F7" i="194"/>
  <c r="F12" i="194"/>
  <c r="F16" i="194"/>
  <c r="F17" i="194"/>
  <c r="F18" i="194"/>
  <c r="F15" i="194"/>
  <c r="K10" i="193" l="1"/>
  <c r="L10" i="193"/>
  <c r="M10" i="193"/>
  <c r="O10" i="193"/>
  <c r="N10" i="193"/>
  <c r="J10" i="193"/>
  <c r="P10" i="193"/>
  <c r="Q10" i="193"/>
  <c r="Q9" i="193"/>
  <c r="K9" i="193"/>
  <c r="N9" i="193"/>
  <c r="L9" i="193"/>
  <c r="J9" i="193"/>
  <c r="M9" i="193"/>
  <c r="O9" i="193"/>
  <c r="P9" i="193"/>
  <c r="P8" i="193"/>
  <c r="Q8" i="193"/>
  <c r="J8" i="193"/>
  <c r="K8" i="193"/>
  <c r="L8" i="193"/>
  <c r="M8" i="193"/>
  <c r="N8" i="193"/>
  <c r="O8" i="193"/>
  <c r="M5" i="193"/>
  <c r="N5" i="193"/>
  <c r="O5" i="193"/>
  <c r="P5" i="193"/>
  <c r="Q5" i="193"/>
  <c r="J5" i="193"/>
  <c r="K5" i="193"/>
  <c r="L5" i="193"/>
  <c r="N6" i="193"/>
  <c r="J6" i="193"/>
  <c r="P6" i="193"/>
  <c r="K6" i="193"/>
  <c r="Q6" i="193"/>
  <c r="L6" i="193"/>
  <c r="O6" i="193"/>
  <c r="M6" i="193"/>
  <c r="C4" i="198" l="1"/>
  <c r="C6" i="198" s="1"/>
  <c r="D4" i="198"/>
  <c r="D6" i="198" s="1"/>
  <c r="E4" i="198"/>
  <c r="E6" i="198" s="1"/>
  <c r="D8" i="192" l="1"/>
  <c r="D18" i="192" s="1"/>
  <c r="C8" i="192"/>
  <c r="L8" i="189" l="1"/>
  <c r="M8" i="189" s="1"/>
  <c r="N8" i="189" s="1"/>
  <c r="O8" i="189" s="1"/>
  <c r="P8" i="189" s="1"/>
  <c r="Q8" i="189" s="1"/>
  <c r="R8" i="189" s="1"/>
  <c r="S8" i="189" s="1"/>
  <c r="T8" i="189" s="1"/>
  <c r="U8" i="189" s="1"/>
  <c r="V8" i="189" s="1"/>
  <c r="L9" i="189"/>
  <c r="M9" i="189" s="1"/>
  <c r="N9" i="189" s="1"/>
  <c r="O9" i="189" s="1"/>
  <c r="P9" i="189" s="1"/>
  <c r="Q9" i="189" s="1"/>
  <c r="R9" i="189" s="1"/>
  <c r="S9" i="189" s="1"/>
  <c r="T9" i="189" s="1"/>
  <c r="U9" i="189" s="1"/>
  <c r="V9" i="189" s="1"/>
  <c r="L10" i="189"/>
  <c r="M10" i="189" s="1"/>
  <c r="N10" i="189" s="1"/>
  <c r="O10" i="189" s="1"/>
  <c r="P10" i="189" s="1"/>
  <c r="Q10" i="189" s="1"/>
  <c r="R10" i="189" s="1"/>
  <c r="S10" i="189" s="1"/>
  <c r="T10" i="189" s="1"/>
  <c r="U10" i="189" s="1"/>
  <c r="V10" i="189" s="1"/>
  <c r="K18" i="189"/>
  <c r="K19" i="189"/>
  <c r="K20" i="189"/>
  <c r="J19" i="189"/>
  <c r="J20" i="189"/>
  <c r="J18" i="189"/>
  <c r="D17" i="189"/>
  <c r="E17" i="189"/>
  <c r="F17" i="189"/>
  <c r="G17" i="189"/>
  <c r="H17" i="189"/>
  <c r="I17" i="189"/>
  <c r="C17" i="189"/>
  <c r="J6" i="189"/>
  <c r="K6" i="189" s="1"/>
  <c r="L6" i="189" s="1"/>
  <c r="M6" i="189" s="1"/>
  <c r="N6" i="189" s="1"/>
  <c r="O6" i="189" s="1"/>
  <c r="P6" i="189" s="1"/>
  <c r="Q6" i="189" s="1"/>
  <c r="R6" i="189" s="1"/>
  <c r="S6" i="189" s="1"/>
  <c r="T6" i="189" s="1"/>
  <c r="U6" i="189" s="1"/>
  <c r="V6" i="189" s="1"/>
  <c r="J5" i="189"/>
  <c r="K5" i="189" s="1"/>
  <c r="L5" i="189" s="1"/>
  <c r="D16" i="189"/>
  <c r="E16" i="189"/>
  <c r="F16" i="189"/>
  <c r="G16" i="189"/>
  <c r="H16" i="189"/>
  <c r="I16" i="189"/>
  <c r="D18" i="189"/>
  <c r="E18" i="189"/>
  <c r="F18" i="189"/>
  <c r="G18" i="189"/>
  <c r="H18" i="189"/>
  <c r="I18" i="189"/>
  <c r="D19" i="189"/>
  <c r="E19" i="189"/>
  <c r="F19" i="189"/>
  <c r="G19" i="189"/>
  <c r="H19" i="189"/>
  <c r="I19" i="189"/>
  <c r="D20" i="189"/>
  <c r="E20" i="189"/>
  <c r="F20" i="189"/>
  <c r="G20" i="189"/>
  <c r="H20" i="189"/>
  <c r="I20" i="189"/>
  <c r="C16" i="189"/>
  <c r="C18" i="189"/>
  <c r="C19" i="189"/>
  <c r="C20" i="189"/>
  <c r="D15" i="189"/>
  <c r="E15" i="189"/>
  <c r="F15" i="189"/>
  <c r="G15" i="189"/>
  <c r="H15" i="189"/>
  <c r="I15" i="189"/>
  <c r="C15" i="189"/>
  <c r="I11" i="189"/>
  <c r="H11" i="189"/>
  <c r="G11" i="189"/>
  <c r="F11" i="189"/>
  <c r="E11" i="189"/>
  <c r="D11" i="189"/>
  <c r="C11" i="189"/>
  <c r="G26" i="185"/>
  <c r="H26" i="185"/>
  <c r="I26" i="185"/>
  <c r="G27" i="185"/>
  <c r="H27" i="185"/>
  <c r="I27" i="185"/>
  <c r="G28" i="185"/>
  <c r="H28" i="185"/>
  <c r="I28" i="185"/>
  <c r="D35" i="185"/>
  <c r="E35" i="185"/>
  <c r="F35" i="185"/>
  <c r="D36" i="185"/>
  <c r="E36" i="185"/>
  <c r="F36" i="185"/>
  <c r="C36" i="185"/>
  <c r="C35" i="185"/>
  <c r="D44" i="186"/>
  <c r="D46" i="186" s="1"/>
  <c r="E44" i="186"/>
  <c r="F44" i="186"/>
  <c r="G44" i="186"/>
  <c r="H44" i="186"/>
  <c r="I44" i="186"/>
  <c r="E46" i="186"/>
  <c r="F46" i="186"/>
  <c r="C44" i="186"/>
  <c r="D43" i="186"/>
  <c r="E43" i="186"/>
  <c r="F43" i="186"/>
  <c r="C43" i="186"/>
  <c r="I32" i="185"/>
  <c r="H32" i="185"/>
  <c r="I31" i="185"/>
  <c r="H31" i="185"/>
  <c r="I30" i="185"/>
  <c r="H30" i="185"/>
  <c r="I29" i="185"/>
  <c r="H29" i="185"/>
  <c r="I7" i="185"/>
  <c r="I11" i="185" s="1"/>
  <c r="I15" i="185" s="1"/>
  <c r="H7" i="185"/>
  <c r="H11" i="185" s="1"/>
  <c r="H15" i="185" s="1"/>
  <c r="G27" i="186"/>
  <c r="G32" i="186" s="1"/>
  <c r="G37" i="186" s="1"/>
  <c r="H27" i="186"/>
  <c r="H32" i="186" s="1"/>
  <c r="H37" i="186" s="1"/>
  <c r="I27" i="186"/>
  <c r="I32" i="186" s="1"/>
  <c r="I37" i="186" s="1"/>
  <c r="M5" i="189" l="1"/>
  <c r="I43" i="186"/>
  <c r="I46" i="186" s="1"/>
  <c r="H43" i="186"/>
  <c r="H46" i="186" s="1"/>
  <c r="H33" i="185"/>
  <c r="H19" i="185"/>
  <c r="H21" i="185" s="1"/>
  <c r="H23" i="185" s="1"/>
  <c r="I33" i="185"/>
  <c r="I19" i="185"/>
  <c r="I21" i="185" s="1"/>
  <c r="I23" i="185" s="1"/>
  <c r="N5" i="189" l="1"/>
  <c r="I36" i="185"/>
  <c r="I35" i="185"/>
  <c r="H36" i="185"/>
  <c r="H35" i="185"/>
  <c r="I34" i="185"/>
  <c r="H34" i="185"/>
  <c r="O5" i="189" l="1"/>
  <c r="P5" i="189" l="1"/>
  <c r="Q5" i="189" l="1"/>
  <c r="R5" i="189" l="1"/>
  <c r="S5" i="189" l="1"/>
  <c r="T5" i="189" l="1"/>
  <c r="U5" i="189" l="1"/>
  <c r="V5" i="189" l="1"/>
  <c r="G9" i="186" l="1"/>
  <c r="G19" i="186" s="1"/>
  <c r="H9" i="186"/>
  <c r="H19" i="186" s="1"/>
  <c r="H48" i="186" s="1"/>
  <c r="I9" i="186"/>
  <c r="I19" i="186" s="1"/>
  <c r="I48" i="186" s="1"/>
  <c r="H41" i="186"/>
  <c r="I42" i="186" l="1"/>
  <c r="I41" i="186"/>
  <c r="H42" i="186"/>
  <c r="G42" i="186"/>
  <c r="E41" i="186"/>
  <c r="D41" i="186"/>
  <c r="C41" i="186"/>
  <c r="E32" i="186"/>
  <c r="E37" i="186" s="1"/>
  <c r="D32" i="186"/>
  <c r="D37" i="186" s="1"/>
  <c r="C32" i="186"/>
  <c r="C37" i="186" s="1"/>
  <c r="G41" i="186"/>
  <c r="F27" i="186"/>
  <c r="F41" i="186" s="1"/>
  <c r="G48" i="186"/>
  <c r="F16" i="186"/>
  <c r="F9" i="186"/>
  <c r="F19" i="186" s="1"/>
  <c r="E9" i="186"/>
  <c r="E42" i="186" s="1"/>
  <c r="D9" i="186"/>
  <c r="D42" i="186" s="1"/>
  <c r="C9" i="186"/>
  <c r="C42" i="186" s="1"/>
  <c r="G32" i="185"/>
  <c r="F32" i="185"/>
  <c r="E32" i="185"/>
  <c r="D32" i="185"/>
  <c r="C32" i="185"/>
  <c r="G31" i="185"/>
  <c r="F31" i="185"/>
  <c r="E31" i="185"/>
  <c r="D31" i="185"/>
  <c r="C31" i="185"/>
  <c r="G30" i="185"/>
  <c r="F30" i="185"/>
  <c r="E30" i="185"/>
  <c r="D30" i="185"/>
  <c r="C30" i="185"/>
  <c r="G29" i="185"/>
  <c r="F29" i="185"/>
  <c r="E29" i="185"/>
  <c r="D29" i="185"/>
  <c r="C29" i="185"/>
  <c r="F28" i="185"/>
  <c r="E28" i="185"/>
  <c r="D28" i="185"/>
  <c r="F27" i="185"/>
  <c r="E27" i="185"/>
  <c r="D27" i="185"/>
  <c r="F26" i="185"/>
  <c r="E26" i="185"/>
  <c r="D26" i="185"/>
  <c r="G7" i="185"/>
  <c r="F7" i="185"/>
  <c r="F11" i="185" s="1"/>
  <c r="F15" i="185" s="1"/>
  <c r="E7" i="185"/>
  <c r="E11" i="185" s="1"/>
  <c r="E15" i="185" s="1"/>
  <c r="D7" i="185"/>
  <c r="D11" i="185" s="1"/>
  <c r="D15" i="185" s="1"/>
  <c r="C7" i="185"/>
  <c r="C11" i="185" s="1"/>
  <c r="C15" i="185" s="1"/>
  <c r="G11" i="185" l="1"/>
  <c r="G15" i="185" s="1"/>
  <c r="G19" i="185" s="1"/>
  <c r="G21" i="185" s="1"/>
  <c r="G23" i="185" s="1"/>
  <c r="G43" i="186"/>
  <c r="G46" i="186" s="1"/>
  <c r="C46" i="186"/>
  <c r="F32" i="186"/>
  <c r="F37" i="186" s="1"/>
  <c r="F42" i="186"/>
  <c r="C19" i="186"/>
  <c r="C48" i="186" s="1"/>
  <c r="D19" i="186"/>
  <c r="D48" i="186" s="1"/>
  <c r="E19" i="186"/>
  <c r="E48" i="186" s="1"/>
  <c r="F33" i="185"/>
  <c r="F19" i="185"/>
  <c r="F21" i="185" s="1"/>
  <c r="F23" i="185" s="1"/>
  <c r="E19" i="185"/>
  <c r="E21" i="185" s="1"/>
  <c r="E23" i="185" s="1"/>
  <c r="E33" i="185"/>
  <c r="C33" i="185"/>
  <c r="C19" i="185"/>
  <c r="C21" i="185" s="1"/>
  <c r="C23" i="185" s="1"/>
  <c r="D33" i="185"/>
  <c r="D19" i="185"/>
  <c r="D21" i="185" s="1"/>
  <c r="D23" i="185" s="1"/>
  <c r="G33" i="185" l="1"/>
  <c r="G36" i="185"/>
  <c r="G35" i="185"/>
  <c r="F48" i="186"/>
  <c r="F34" i="185"/>
  <c r="E34" i="185"/>
  <c r="C34" i="185"/>
  <c r="D34" i="185"/>
  <c r="G34" i="185"/>
  <c r="J7" i="189" l="1"/>
  <c r="J11" i="189" l="1"/>
  <c r="D23" i="192" s="1"/>
  <c r="J7" i="193"/>
  <c r="K7" i="189"/>
  <c r="K7" i="193" s="1"/>
  <c r="J7" i="196" l="1"/>
  <c r="J11" i="193"/>
  <c r="K7" i="196"/>
  <c r="K11" i="193"/>
  <c r="K11" i="189"/>
  <c r="L7" i="189"/>
  <c r="J5" i="219" l="1"/>
  <c r="J4" i="198"/>
  <c r="J5" i="205"/>
  <c r="J7" i="205" s="1"/>
  <c r="J8" i="219" s="1"/>
  <c r="M7" i="189"/>
  <c r="L7" i="193"/>
  <c r="K5" i="219"/>
  <c r="K4" i="198"/>
  <c r="K5" i="205"/>
  <c r="K7" i="205" s="1"/>
  <c r="K8" i="219" s="1"/>
  <c r="K7" i="197"/>
  <c r="K11" i="197" s="1"/>
  <c r="K6" i="219" s="1"/>
  <c r="K11" i="196"/>
  <c r="K5" i="198" s="1"/>
  <c r="J7" i="197"/>
  <c r="J11" i="197" s="1"/>
  <c r="J6" i="219" s="1"/>
  <c r="J11" i="196"/>
  <c r="J5" i="198" s="1"/>
  <c r="J6" i="198" s="1"/>
  <c r="L11" i="189"/>
  <c r="L7" i="196" l="1"/>
  <c r="L11" i="193"/>
  <c r="J7" i="212"/>
  <c r="J23" i="220" s="1"/>
  <c r="J6" i="212"/>
  <c r="J8" i="220" s="1"/>
  <c r="J12" i="221" s="1"/>
  <c r="K6" i="198"/>
  <c r="K28" i="220"/>
  <c r="K33" i="220"/>
  <c r="K9" i="220"/>
  <c r="K17" i="221" s="1"/>
  <c r="K19" i="220"/>
  <c r="K24" i="220"/>
  <c r="K5" i="212"/>
  <c r="K26" i="220"/>
  <c r="K30" i="220"/>
  <c r="K7" i="219"/>
  <c r="K9" i="219" s="1"/>
  <c r="K5" i="221" s="1"/>
  <c r="N7" i="189"/>
  <c r="M7" i="193"/>
  <c r="K6" i="212"/>
  <c r="K8" i="220" s="1"/>
  <c r="K7" i="212"/>
  <c r="K23" i="220" s="1"/>
  <c r="J33" i="220"/>
  <c r="J30" i="220"/>
  <c r="J9" i="220"/>
  <c r="J17" i="221" s="1"/>
  <c r="J28" i="220"/>
  <c r="J26" i="220"/>
  <c r="J24" i="220"/>
  <c r="J18" i="221" s="1"/>
  <c r="J19" i="220"/>
  <c r="J5" i="212"/>
  <c r="J7" i="219"/>
  <c r="J9" i="219" s="1"/>
  <c r="M11" i="189"/>
  <c r="K6" i="221" l="1"/>
  <c r="K7" i="221"/>
  <c r="O7" i="189"/>
  <c r="N7" i="193"/>
  <c r="K7" i="220"/>
  <c r="K8" i="212"/>
  <c r="J13" i="221"/>
  <c r="J35" i="220"/>
  <c r="M7" i="196"/>
  <c r="M11" i="196" s="1"/>
  <c r="M5" i="198" s="1"/>
  <c r="M7" i="197"/>
  <c r="M11" i="197" s="1"/>
  <c r="M6" i="219" s="1"/>
  <c r="M11" i="193"/>
  <c r="K13" i="221"/>
  <c r="K35" i="220"/>
  <c r="K18" i="221"/>
  <c r="L5" i="219"/>
  <c r="L4" i="198"/>
  <c r="L5" i="205"/>
  <c r="L7" i="205" s="1"/>
  <c r="L8" i="219" s="1"/>
  <c r="J5" i="221"/>
  <c r="J11" i="219"/>
  <c r="J7" i="220"/>
  <c r="J11" i="221" s="1"/>
  <c r="J8" i="212"/>
  <c r="K12" i="221"/>
  <c r="L7" i="197"/>
  <c r="L11" i="197" s="1"/>
  <c r="L6" i="219" s="1"/>
  <c r="L11" i="196"/>
  <c r="L5" i="198" s="1"/>
  <c r="L6" i="198" s="1"/>
  <c r="N11" i="189"/>
  <c r="K11" i="221" l="1"/>
  <c r="K14" i="221"/>
  <c r="N7" i="196"/>
  <c r="N11" i="196" s="1"/>
  <c r="N5" i="198" s="1"/>
  <c r="N7" i="197"/>
  <c r="N11" i="197" s="1"/>
  <c r="N6" i="219" s="1"/>
  <c r="N11" i="193"/>
  <c r="L33" i="220"/>
  <c r="L9" i="220"/>
  <c r="L30" i="220"/>
  <c r="L24" i="220"/>
  <c r="L19" i="220"/>
  <c r="L5" i="212"/>
  <c r="L28" i="220"/>
  <c r="L26" i="220"/>
  <c r="L7" i="219"/>
  <c r="L9" i="219" s="1"/>
  <c r="L5" i="221" s="1"/>
  <c r="J14" i="221"/>
  <c r="M5" i="219"/>
  <c r="M4" i="198"/>
  <c r="M5" i="205"/>
  <c r="M7" i="205" s="1"/>
  <c r="M8" i="219" s="1"/>
  <c r="P7" i="189"/>
  <c r="O7" i="193"/>
  <c r="L6" i="212"/>
  <c r="L8" i="220" s="1"/>
  <c r="L12" i="221" s="1"/>
  <c r="L7" i="212"/>
  <c r="L23" i="220" s="1"/>
  <c r="J12" i="219"/>
  <c r="J14" i="219" s="1"/>
  <c r="J6" i="221"/>
  <c r="J7" i="221" s="1"/>
  <c r="M6" i="212"/>
  <c r="M8" i="220" s="1"/>
  <c r="M7" i="212"/>
  <c r="M23" i="220" s="1"/>
  <c r="M6" i="198"/>
  <c r="O11" i="189"/>
  <c r="D24" i="192" s="1"/>
  <c r="N5" i="219" l="1"/>
  <c r="N4" i="198"/>
  <c r="N6" i="198" s="1"/>
  <c r="N5" i="205"/>
  <c r="N7" i="205" s="1"/>
  <c r="N8" i="219" s="1"/>
  <c r="N6" i="212"/>
  <c r="N8" i="220" s="1"/>
  <c r="N12" i="221" s="1"/>
  <c r="N7" i="212"/>
  <c r="N23" i="220" s="1"/>
  <c r="L7" i="220"/>
  <c r="L11" i="221" s="1"/>
  <c r="L8" i="212"/>
  <c r="L13" i="221"/>
  <c r="L35" i="220"/>
  <c r="M12" i="221"/>
  <c r="Q7" i="189"/>
  <c r="P7" i="193"/>
  <c r="O7" i="197"/>
  <c r="O11" i="197" s="1"/>
  <c r="O6" i="219" s="1"/>
  <c r="O7" i="196"/>
  <c r="O11" i="196" s="1"/>
  <c r="O5" i="198" s="1"/>
  <c r="O11" i="193"/>
  <c r="L18" i="221"/>
  <c r="M5" i="212"/>
  <c r="M33" i="220"/>
  <c r="M26" i="220"/>
  <c r="M30" i="220"/>
  <c r="M19" i="220"/>
  <c r="M9" i="220"/>
  <c r="M24" i="220"/>
  <c r="M28" i="220"/>
  <c r="M7" i="219"/>
  <c r="M9" i="219" s="1"/>
  <c r="M5" i="221" s="1"/>
  <c r="L6" i="221"/>
  <c r="L7" i="221"/>
  <c r="M13" i="221"/>
  <c r="J25" i="221"/>
  <c r="L17" i="221"/>
  <c r="P11" i="189"/>
  <c r="M35" i="220" l="1"/>
  <c r="L14" i="221"/>
  <c r="N13" i="221"/>
  <c r="P7" i="196"/>
  <c r="P11" i="196" s="1"/>
  <c r="P5" i="198" s="1"/>
  <c r="P11" i="193"/>
  <c r="M7" i="220"/>
  <c r="M11" i="221" s="1"/>
  <c r="M14" i="221" s="1"/>
  <c r="M8" i="212"/>
  <c r="O7" i="212"/>
  <c r="O23" i="220" s="1"/>
  <c r="O6" i="212"/>
  <c r="O8" i="220" s="1"/>
  <c r="O12" i="221" s="1"/>
  <c r="M6" i="221"/>
  <c r="M7" i="221" s="1"/>
  <c r="N7" i="219"/>
  <c r="N9" i="219" s="1"/>
  <c r="N5" i="221" s="1"/>
  <c r="N5" i="212"/>
  <c r="N9" i="220"/>
  <c r="N33" i="220"/>
  <c r="N24" i="220"/>
  <c r="N26" i="220"/>
  <c r="N19" i="220"/>
  <c r="N30" i="220"/>
  <c r="N28" i="220"/>
  <c r="M18" i="221"/>
  <c r="O5" i="219"/>
  <c r="O4" i="198"/>
  <c r="O5" i="205"/>
  <c r="O7" i="205" s="1"/>
  <c r="O8" i="219" s="1"/>
  <c r="R7" i="189"/>
  <c r="Q7" i="193"/>
  <c r="M17" i="221"/>
  <c r="O6" i="198"/>
  <c r="Q11" i="189"/>
  <c r="N17" i="221" l="1"/>
  <c r="N35" i="220"/>
  <c r="O19" i="220"/>
  <c r="O5" i="212"/>
  <c r="O28" i="220"/>
  <c r="O9" i="220"/>
  <c r="O17" i="221" s="1"/>
  <c r="O33" i="220"/>
  <c r="O24" i="220"/>
  <c r="O30" i="220"/>
  <c r="O26" i="220"/>
  <c r="O7" i="219"/>
  <c r="O9" i="219" s="1"/>
  <c r="O5" i="221" s="1"/>
  <c r="N7" i="220"/>
  <c r="N11" i="221" s="1"/>
  <c r="N14" i="221" s="1"/>
  <c r="N8" i="212"/>
  <c r="Q7" i="196"/>
  <c r="Q11" i="196" s="1"/>
  <c r="Q5" i="198" s="1"/>
  <c r="Q11" i="193"/>
  <c r="P5" i="219"/>
  <c r="P5" i="205"/>
  <c r="P7" i="205" s="1"/>
  <c r="P8" i="219" s="1"/>
  <c r="P4" i="198"/>
  <c r="P6" i="198"/>
  <c r="N6" i="221"/>
  <c r="N7" i="221"/>
  <c r="P7" i="197"/>
  <c r="P11" i="197" s="1"/>
  <c r="P6" i="219" s="1"/>
  <c r="O13" i="221"/>
  <c r="S7" i="189"/>
  <c r="R7" i="193"/>
  <c r="N18" i="221"/>
  <c r="R11" i="189"/>
  <c r="O18" i="221" l="1"/>
  <c r="Q5" i="219"/>
  <c r="Q5" i="205"/>
  <c r="Q7" i="205" s="1"/>
  <c r="Q8" i="219" s="1"/>
  <c r="Q4" i="198"/>
  <c r="Q6" i="198" s="1"/>
  <c r="O7" i="220"/>
  <c r="O11" i="221" s="1"/>
  <c r="O14" i="221" s="1"/>
  <c r="O8" i="212"/>
  <c r="R11" i="193"/>
  <c r="R7" i="196"/>
  <c r="T7" i="189"/>
  <c r="S7" i="193"/>
  <c r="P7" i="212"/>
  <c r="P23" i="220" s="1"/>
  <c r="P6" i="212"/>
  <c r="P8" i="220" s="1"/>
  <c r="P12" i="221" s="1"/>
  <c r="Q7" i="197"/>
  <c r="Q11" i="197" s="1"/>
  <c r="Q6" i="219" s="1"/>
  <c r="O6" i="221"/>
  <c r="O7" i="221" s="1"/>
  <c r="O35" i="220"/>
  <c r="P19" i="220"/>
  <c r="P5" i="212"/>
  <c r="P28" i="220"/>
  <c r="P9" i="220"/>
  <c r="P33" i="220"/>
  <c r="P26" i="220"/>
  <c r="P30" i="220"/>
  <c r="P24" i="220"/>
  <c r="P7" i="219"/>
  <c r="P9" i="219" s="1"/>
  <c r="P5" i="221" s="1"/>
  <c r="S11" i="189"/>
  <c r="P17" i="221" l="1"/>
  <c r="Q7" i="212"/>
  <c r="Q23" i="220" s="1"/>
  <c r="Q6" i="212"/>
  <c r="Q8" i="220" s="1"/>
  <c r="Q12" i="221" s="1"/>
  <c r="P13" i="221"/>
  <c r="P35" i="220"/>
  <c r="P7" i="220"/>
  <c r="P11" i="221" s="1"/>
  <c r="P14" i="221" s="1"/>
  <c r="P8" i="212"/>
  <c r="Q33" i="220"/>
  <c r="Q19" i="220"/>
  <c r="Q5" i="212"/>
  <c r="Q30" i="220"/>
  <c r="Q9" i="220"/>
  <c r="Q17" i="221" s="1"/>
  <c r="Q26" i="220"/>
  <c r="Q24" i="220"/>
  <c r="Q28" i="220"/>
  <c r="Q7" i="219"/>
  <c r="Q9" i="219" s="1"/>
  <c r="Q5" i="221" s="1"/>
  <c r="P6" i="221"/>
  <c r="P7" i="221"/>
  <c r="U7" i="189"/>
  <c r="T7" i="193"/>
  <c r="P18" i="221"/>
  <c r="R7" i="197"/>
  <c r="R11" i="197" s="1"/>
  <c r="R6" i="219" s="1"/>
  <c r="R11" i="196"/>
  <c r="R5" i="198" s="1"/>
  <c r="R6" i="198" s="1"/>
  <c r="S7" i="196"/>
  <c r="S11" i="193"/>
  <c r="R5" i="219"/>
  <c r="R4" i="198"/>
  <c r="R5" i="205"/>
  <c r="R7" i="205" s="1"/>
  <c r="R8" i="219" s="1"/>
  <c r="T11" i="189"/>
  <c r="Q6" i="221" l="1"/>
  <c r="Q7" i="221"/>
  <c r="R6" i="212"/>
  <c r="R8" i="220" s="1"/>
  <c r="R12" i="221" s="1"/>
  <c r="R7" i="212"/>
  <c r="R23" i="220" s="1"/>
  <c r="T7" i="196"/>
  <c r="T11" i="193"/>
  <c r="S5" i="219"/>
  <c r="S4" i="198"/>
  <c r="S5" i="205"/>
  <c r="S7" i="205" s="1"/>
  <c r="S8" i="219" s="1"/>
  <c r="Q7" i="220"/>
  <c r="Q11" i="221" s="1"/>
  <c r="Q8" i="212"/>
  <c r="Q13" i="221"/>
  <c r="Q35" i="220"/>
  <c r="Q18" i="221"/>
  <c r="R9" i="220"/>
  <c r="R33" i="220"/>
  <c r="R19" i="220"/>
  <c r="R5" i="212"/>
  <c r="R28" i="220"/>
  <c r="R30" i="220"/>
  <c r="R24" i="220"/>
  <c r="R26" i="220"/>
  <c r="R7" i="219"/>
  <c r="R9" i="219" s="1"/>
  <c r="R5" i="221" s="1"/>
  <c r="V7" i="189"/>
  <c r="U7" i="193"/>
  <c r="S7" i="197"/>
  <c r="S11" i="197" s="1"/>
  <c r="S6" i="219" s="1"/>
  <c r="S11" i="196"/>
  <c r="S5" i="198" s="1"/>
  <c r="S6" i="198" s="1"/>
  <c r="U11" i="189"/>
  <c r="V11" i="189"/>
  <c r="D25" i="192" s="1"/>
  <c r="F25" i="192" s="1"/>
  <c r="G9" i="208"/>
  <c r="J8" i="221" s="1"/>
  <c r="J9" i="221" s="1"/>
  <c r="J20" i="221" s="1"/>
  <c r="F30" i="208"/>
  <c r="E30" i="208"/>
  <c r="R18" i="221" l="1"/>
  <c r="T5" i="219"/>
  <c r="T4" i="198"/>
  <c r="T5" i="205"/>
  <c r="T7" i="205" s="1"/>
  <c r="T8" i="219" s="1"/>
  <c r="T7" i="197"/>
  <c r="T11" i="197" s="1"/>
  <c r="T6" i="219" s="1"/>
  <c r="T11" i="196"/>
  <c r="T5" i="198" s="1"/>
  <c r="T6" i="198" s="1"/>
  <c r="Q14" i="221"/>
  <c r="R13" i="221"/>
  <c r="R14" i="221" s="1"/>
  <c r="R35" i="220"/>
  <c r="U7" i="196"/>
  <c r="U11" i="193"/>
  <c r="S6" i="212"/>
  <c r="S8" i="220" s="1"/>
  <c r="S12" i="221" s="1"/>
  <c r="S7" i="212"/>
  <c r="S23" i="220" s="1"/>
  <c r="R6" i="221"/>
  <c r="R7" i="221" s="1"/>
  <c r="R17" i="221"/>
  <c r="R7" i="220"/>
  <c r="R11" i="221" s="1"/>
  <c r="R8" i="212"/>
  <c r="J18" i="215"/>
  <c r="J28" i="221"/>
  <c r="J6" i="222"/>
  <c r="S28" i="220"/>
  <c r="S9" i="220"/>
  <c r="S33" i="220"/>
  <c r="S19" i="220"/>
  <c r="S5" i="212"/>
  <c r="S24" i="220"/>
  <c r="S26" i="220"/>
  <c r="S30" i="220"/>
  <c r="S7" i="219"/>
  <c r="S9" i="219" s="1"/>
  <c r="S5" i="221" s="1"/>
  <c r="G10" i="208"/>
  <c r="S17" i="221" l="1"/>
  <c r="S6" i="221"/>
  <c r="S7" i="221"/>
  <c r="J20" i="215"/>
  <c r="J36" i="220" s="1"/>
  <c r="J19" i="215"/>
  <c r="J11" i="215" s="1"/>
  <c r="T6" i="212"/>
  <c r="T8" i="220" s="1"/>
  <c r="T12" i="221" s="1"/>
  <c r="T7" i="212"/>
  <c r="T23" i="220" s="1"/>
  <c r="S13" i="221"/>
  <c r="S35" i="220"/>
  <c r="H7" i="208"/>
  <c r="J13" i="220"/>
  <c r="S18" i="221"/>
  <c r="S7" i="220"/>
  <c r="S11" i="221" s="1"/>
  <c r="S8" i="212"/>
  <c r="U5" i="219"/>
  <c r="U4" i="198"/>
  <c r="U5" i="205"/>
  <c r="U7" i="205" s="1"/>
  <c r="U8" i="219" s="1"/>
  <c r="U7" i="197"/>
  <c r="U11" i="197" s="1"/>
  <c r="U6" i="219" s="1"/>
  <c r="U11" i="196"/>
  <c r="U5" i="198" s="1"/>
  <c r="U6" i="198" s="1"/>
  <c r="J31" i="221"/>
  <c r="J32" i="221" s="1"/>
  <c r="T24" i="220"/>
  <c r="T30" i="220"/>
  <c r="T9" i="220"/>
  <c r="T33" i="220"/>
  <c r="T19" i="220"/>
  <c r="T5" i="212"/>
  <c r="T26" i="220"/>
  <c r="T28" i="220"/>
  <c r="T7" i="219"/>
  <c r="T9" i="219" s="1"/>
  <c r="T5" i="221" s="1"/>
  <c r="H8" i="208"/>
  <c r="T17" i="221" l="1"/>
  <c r="T13" i="221"/>
  <c r="T35" i="220"/>
  <c r="K12" i="215"/>
  <c r="U26" i="220"/>
  <c r="U5" i="212"/>
  <c r="U30" i="220"/>
  <c r="U9" i="220"/>
  <c r="U17" i="221" s="1"/>
  <c r="U33" i="220"/>
  <c r="U19" i="220"/>
  <c r="U28" i="220"/>
  <c r="U24" i="220"/>
  <c r="U7" i="219"/>
  <c r="U9" i="219" s="1"/>
  <c r="U5" i="221" s="1"/>
  <c r="T7" i="220"/>
  <c r="T11" i="221" s="1"/>
  <c r="T8" i="212"/>
  <c r="K24" i="221"/>
  <c r="J16" i="216"/>
  <c r="J38" i="220"/>
  <c r="J34" i="221"/>
  <c r="K30" i="221"/>
  <c r="U6" i="212"/>
  <c r="U8" i="220" s="1"/>
  <c r="U12" i="221" s="1"/>
  <c r="U7" i="212"/>
  <c r="U23" i="220" s="1"/>
  <c r="R19" i="208"/>
  <c r="K16" i="221"/>
  <c r="T6" i="221"/>
  <c r="T7" i="221"/>
  <c r="T18" i="221"/>
  <c r="S14" i="221"/>
  <c r="I19" i="208"/>
  <c r="J19" i="208"/>
  <c r="K19" i="208"/>
  <c r="H19" i="208"/>
  <c r="H30" i="208" s="1"/>
  <c r="H9" i="208" s="1"/>
  <c r="K8" i="221" s="1"/>
  <c r="K9" i="221" s="1"/>
  <c r="K20" i="221" s="1"/>
  <c r="L19" i="208"/>
  <c r="M19" i="208"/>
  <c r="N19" i="208"/>
  <c r="O19" i="208"/>
  <c r="P19" i="208"/>
  <c r="Q19" i="208"/>
  <c r="U7" i="220" l="1"/>
  <c r="U11" i="221" s="1"/>
  <c r="U8" i="212"/>
  <c r="U6" i="221"/>
  <c r="U7" i="221" s="1"/>
  <c r="U18" i="221"/>
  <c r="U13" i="221"/>
  <c r="U14" i="221" s="1"/>
  <c r="U35" i="220"/>
  <c r="K22" i="221"/>
  <c r="K10" i="219"/>
  <c r="K11" i="219" s="1"/>
  <c r="K6" i="222"/>
  <c r="K18" i="215"/>
  <c r="J18" i="216"/>
  <c r="J19" i="216"/>
  <c r="T14" i="221"/>
  <c r="H10" i="208"/>
  <c r="J24" i="216" l="1"/>
  <c r="J9" i="222" s="1"/>
  <c r="J10" i="222" s="1"/>
  <c r="K12" i="219"/>
  <c r="K25" i="221" s="1"/>
  <c r="K28" i="221" s="1"/>
  <c r="K19" i="215"/>
  <c r="K11" i="215" s="1"/>
  <c r="K20" i="215"/>
  <c r="I7" i="208"/>
  <c r="I8" i="208" s="1"/>
  <c r="K13" i="220"/>
  <c r="R20" i="208" l="1"/>
  <c r="L16" i="221"/>
  <c r="K31" i="221"/>
  <c r="K32" i="221" s="1"/>
  <c r="L12" i="215"/>
  <c r="K14" i="219"/>
  <c r="K20" i="208"/>
  <c r="I20" i="208"/>
  <c r="N20" i="208"/>
  <c r="O20" i="208"/>
  <c r="P20" i="208"/>
  <c r="Q20" i="208"/>
  <c r="M20" i="208"/>
  <c r="J20" i="208"/>
  <c r="L20" i="208"/>
  <c r="K16" i="216" l="1"/>
  <c r="L24" i="221"/>
  <c r="K38" i="220"/>
  <c r="L10" i="219"/>
  <c r="L11" i="219" s="1"/>
  <c r="L22" i="221"/>
  <c r="K21" i="220"/>
  <c r="K34" i="221"/>
  <c r="L30" i="221"/>
  <c r="I30" i="208"/>
  <c r="L12" i="219" l="1"/>
  <c r="L25" i="221" s="1"/>
  <c r="L14" i="219"/>
  <c r="K40" i="220"/>
  <c r="K18" i="216"/>
  <c r="K19" i="216"/>
  <c r="I9" i="208"/>
  <c r="K24" i="216" l="1"/>
  <c r="K9" i="222" s="1"/>
  <c r="K10" i="222" s="1"/>
  <c r="I10" i="208"/>
  <c r="L8" i="221"/>
  <c r="L9" i="221" s="1"/>
  <c r="L20" i="221" s="1"/>
  <c r="L6" i="222" l="1"/>
  <c r="L18" i="215"/>
  <c r="L28" i="221"/>
  <c r="J7" i="208"/>
  <c r="J8" i="208" s="1"/>
  <c r="L13" i="220"/>
  <c r="L31" i="221" l="1"/>
  <c r="L32" i="221" s="1"/>
  <c r="M16" i="221"/>
  <c r="Q21" i="208"/>
  <c r="J21" i="208"/>
  <c r="J30" i="208" s="1"/>
  <c r="J9" i="208" s="1"/>
  <c r="M21" i="208"/>
  <c r="R21" i="208"/>
  <c r="L21" i="208"/>
  <c r="N21" i="208"/>
  <c r="O21" i="208"/>
  <c r="P21" i="208"/>
  <c r="K21" i="208"/>
  <c r="L19" i="215"/>
  <c r="L11" i="215" s="1"/>
  <c r="L20" i="215"/>
  <c r="L36" i="220" s="1"/>
  <c r="M12" i="215" l="1"/>
  <c r="L16" i="216"/>
  <c r="M24" i="221"/>
  <c r="L38" i="220"/>
  <c r="J10" i="208"/>
  <c r="M8" i="221"/>
  <c r="M9" i="221" s="1"/>
  <c r="M20" i="221" s="1"/>
  <c r="L21" i="220"/>
  <c r="L40" i="220" s="1"/>
  <c r="L34" i="221"/>
  <c r="M30" i="221"/>
  <c r="M6" i="222" l="1"/>
  <c r="M18" i="215"/>
  <c r="K7" i="208"/>
  <c r="K8" i="208" s="1"/>
  <c r="M13" i="220"/>
  <c r="L19" i="216"/>
  <c r="L18" i="216"/>
  <c r="M22" i="221"/>
  <c r="M10" i="219"/>
  <c r="M11" i="219" s="1"/>
  <c r="L24" i="216" l="1"/>
  <c r="L9" i="222" s="1"/>
  <c r="L10" i="222" s="1"/>
  <c r="M12" i="219"/>
  <c r="M25" i="221" s="1"/>
  <c r="M28" i="221" s="1"/>
  <c r="M19" i="215"/>
  <c r="M11" i="215" s="1"/>
  <c r="M20" i="215"/>
  <c r="R22" i="208"/>
  <c r="N16" i="221"/>
  <c r="M22" i="208"/>
  <c r="N22" i="208"/>
  <c r="O22" i="208"/>
  <c r="P22" i="208"/>
  <c r="K22" i="208"/>
  <c r="K30" i="208" s="1"/>
  <c r="K9" i="208" s="1"/>
  <c r="L22" i="208"/>
  <c r="Q22" i="208"/>
  <c r="M14" i="219" l="1"/>
  <c r="N12" i="215"/>
  <c r="M36" i="220"/>
  <c r="M31" i="221"/>
  <c r="M32" i="221" s="1"/>
  <c r="K10" i="208"/>
  <c r="N8" i="221"/>
  <c r="N9" i="221" s="1"/>
  <c r="N20" i="221" s="1"/>
  <c r="N6" i="222" l="1"/>
  <c r="N18" i="215"/>
  <c r="M34" i="221"/>
  <c r="N30" i="221"/>
  <c r="M21" i="220"/>
  <c r="M40" i="220" s="1"/>
  <c r="L7" i="208"/>
  <c r="N13" i="220"/>
  <c r="N22" i="221"/>
  <c r="N10" i="219"/>
  <c r="N11" i="219" s="1"/>
  <c r="N24" i="221"/>
  <c r="M16" i="216"/>
  <c r="M38" i="220"/>
  <c r="L8" i="208" l="1"/>
  <c r="M19" i="216"/>
  <c r="M18" i="216"/>
  <c r="M24" i="216" s="1"/>
  <c r="M9" i="222" s="1"/>
  <c r="M10" i="222" s="1"/>
  <c r="N19" i="215"/>
  <c r="N11" i="215" s="1"/>
  <c r="N20" i="215"/>
  <c r="N12" i="219"/>
  <c r="N25" i="221" s="1"/>
  <c r="N28" i="221" s="1"/>
  <c r="N14" i="219" l="1"/>
  <c r="N31" i="221"/>
  <c r="N32" i="221" s="1"/>
  <c r="O12" i="215"/>
  <c r="N36" i="220"/>
  <c r="O16" i="221"/>
  <c r="M23" i="208"/>
  <c r="N23" i="208"/>
  <c r="R23" i="208"/>
  <c r="L23" i="208"/>
  <c r="L30" i="208" s="1"/>
  <c r="L9" i="208" s="1"/>
  <c r="P23" i="208"/>
  <c r="Q23" i="208"/>
  <c r="O23" i="208"/>
  <c r="O8" i="221" l="1"/>
  <c r="O9" i="221" s="1"/>
  <c r="O20" i="221" s="1"/>
  <c r="L10" i="208"/>
  <c r="N21" i="220"/>
  <c r="N40" i="220" s="1"/>
  <c r="O24" i="221"/>
  <c r="N16" i="216"/>
  <c r="N38" i="220"/>
  <c r="O10" i="219"/>
  <c r="O11" i="219" s="1"/>
  <c r="O22" i="221"/>
  <c r="N34" i="221"/>
  <c r="O30" i="221"/>
  <c r="M7" i="208" l="1"/>
  <c r="M8" i="208" s="1"/>
  <c r="O13" i="220"/>
  <c r="N19" i="216"/>
  <c r="N18" i="216"/>
  <c r="N24" i="216" s="1"/>
  <c r="N9" i="222" s="1"/>
  <c r="N10" i="222" s="1"/>
  <c r="O6" i="222"/>
  <c r="O18" i="215"/>
  <c r="O12" i="219"/>
  <c r="O25" i="221" s="1"/>
  <c r="O28" i="221" s="1"/>
  <c r="O14" i="219" l="1"/>
  <c r="O31" i="221"/>
  <c r="O32" i="221" s="1"/>
  <c r="R24" i="208"/>
  <c r="P16" i="221"/>
  <c r="O24" i="208"/>
  <c r="N24" i="208"/>
  <c r="Q24" i="208"/>
  <c r="M24" i="208"/>
  <c r="M30" i="208" s="1"/>
  <c r="M9" i="208" s="1"/>
  <c r="P24" i="208"/>
  <c r="O19" i="215"/>
  <c r="O11" i="215" s="1"/>
  <c r="O20" i="215"/>
  <c r="O36" i="220"/>
  <c r="M10" i="208" l="1"/>
  <c r="P8" i="221"/>
  <c r="P9" i="221" s="1"/>
  <c r="P20" i="221" s="1"/>
  <c r="P12" i="215"/>
  <c r="P24" i="221"/>
  <c r="O16" i="216"/>
  <c r="O38" i="220"/>
  <c r="O21" i="220"/>
  <c r="O34" i="221"/>
  <c r="P30" i="221"/>
  <c r="O40" i="220" l="1"/>
  <c r="P10" i="219"/>
  <c r="P11" i="219" s="1"/>
  <c r="P22" i="221"/>
  <c r="P6" i="222"/>
  <c r="P18" i="215"/>
  <c r="O19" i="216"/>
  <c r="O18" i="216"/>
  <c r="N7" i="208"/>
  <c r="N8" i="208" s="1"/>
  <c r="P13" i="220"/>
  <c r="O24" i="216" l="1"/>
  <c r="O9" i="222" s="1"/>
  <c r="O10" i="222" s="1"/>
  <c r="P19" i="215"/>
  <c r="P11" i="215" s="1"/>
  <c r="P20" i="215"/>
  <c r="P12" i="219"/>
  <c r="P25" i="221" s="1"/>
  <c r="P28" i="221" s="1"/>
  <c r="Q16" i="221"/>
  <c r="Q25" i="208"/>
  <c r="P25" i="208"/>
  <c r="O25" i="208"/>
  <c r="N25" i="208"/>
  <c r="N30" i="208" s="1"/>
  <c r="N9" i="208" s="1"/>
  <c r="R25" i="208"/>
  <c r="P14" i="219" l="1"/>
  <c r="P36" i="220" s="1"/>
  <c r="P16" i="216" s="1"/>
  <c r="P31" i="221"/>
  <c r="P32" i="221" s="1"/>
  <c r="P38" i="220"/>
  <c r="N10" i="208"/>
  <c r="Q8" i="221"/>
  <c r="Q9" i="221" s="1"/>
  <c r="Q20" i="221" s="1"/>
  <c r="Q12" i="215"/>
  <c r="I40" i="220"/>
  <c r="Q24" i="221" l="1"/>
  <c r="Q6" i="222"/>
  <c r="Q18" i="215"/>
  <c r="O7" i="208"/>
  <c r="Q13" i="220"/>
  <c r="P19" i="216"/>
  <c r="P18" i="216"/>
  <c r="Q22" i="221"/>
  <c r="Q10" i="219"/>
  <c r="Q11" i="219" s="1"/>
  <c r="P21" i="220"/>
  <c r="P40" i="220" s="1"/>
  <c r="P34" i="221"/>
  <c r="Q30" i="221"/>
  <c r="P24" i="216" l="1"/>
  <c r="P9" i="222" s="1"/>
  <c r="P10" i="222" s="1"/>
  <c r="O8" i="208"/>
  <c r="Q19" i="215"/>
  <c r="Q11" i="215" s="1"/>
  <c r="Q20" i="215"/>
  <c r="Q12" i="219"/>
  <c r="Q25" i="221" s="1"/>
  <c r="Q28" i="221" s="1"/>
  <c r="Q31" i="221" l="1"/>
  <c r="Q32" i="221" s="1"/>
  <c r="R12" i="215"/>
  <c r="Q14" i="219"/>
  <c r="Q36" i="220" s="1"/>
  <c r="R26" i="208"/>
  <c r="R16" i="221"/>
  <c r="P26" i="208"/>
  <c r="O26" i="208"/>
  <c r="O30" i="208" s="1"/>
  <c r="O9" i="208" s="1"/>
  <c r="Q26" i="208"/>
  <c r="Q16" i="216" l="1"/>
  <c r="R24" i="221"/>
  <c r="Q38" i="220"/>
  <c r="R10" i="219"/>
  <c r="R11" i="219" s="1"/>
  <c r="R22" i="221"/>
  <c r="Q21" i="220"/>
  <c r="Q40" i="220" s="1"/>
  <c r="R8" i="221"/>
  <c r="R9" i="221" s="1"/>
  <c r="R20" i="221" s="1"/>
  <c r="O10" i="208"/>
  <c r="Q34" i="221"/>
  <c r="R30" i="221"/>
  <c r="R12" i="219" l="1"/>
  <c r="R25" i="221" s="1"/>
  <c r="R28" i="221" s="1"/>
  <c r="R14" i="219"/>
  <c r="P7" i="208"/>
  <c r="R13" i="220"/>
  <c r="R6" i="222"/>
  <c r="R18" i="215"/>
  <c r="Q19" i="216"/>
  <c r="Q18" i="216"/>
  <c r="Q24" i="216" l="1"/>
  <c r="Q9" i="222" s="1"/>
  <c r="Q10" i="222" s="1"/>
  <c r="R20" i="215"/>
  <c r="R19" i="215"/>
  <c r="R11" i="215" s="1"/>
  <c r="P8" i="208"/>
  <c r="R31" i="221"/>
  <c r="R32" i="221" s="1"/>
  <c r="R36" i="220"/>
  <c r="S24" i="221" l="1"/>
  <c r="R16" i="216"/>
  <c r="R38" i="220"/>
  <c r="R34" i="221"/>
  <c r="S30" i="221"/>
  <c r="R27" i="208"/>
  <c r="S16" i="221"/>
  <c r="P27" i="208"/>
  <c r="P30" i="208" s="1"/>
  <c r="P9" i="208" s="1"/>
  <c r="S8" i="221" s="1"/>
  <c r="S9" i="221" s="1"/>
  <c r="S20" i="221" s="1"/>
  <c r="Q27" i="208"/>
  <c r="R21" i="220"/>
  <c r="S12" i="215"/>
  <c r="R40" i="220" l="1"/>
  <c r="S6" i="222"/>
  <c r="S18" i="215"/>
  <c r="S22" i="221"/>
  <c r="S10" i="219"/>
  <c r="S11" i="219" s="1"/>
  <c r="P10" i="208"/>
  <c r="R19" i="216"/>
  <c r="R18" i="216"/>
  <c r="S12" i="219" l="1"/>
  <c r="S25" i="221" s="1"/>
  <c r="S28" i="221" s="1"/>
  <c r="S14" i="219"/>
  <c r="S19" i="215"/>
  <c r="S11" i="215" s="1"/>
  <c r="S20" i="215"/>
  <c r="Q7" i="208"/>
  <c r="S13" i="220"/>
  <c r="R24" i="216"/>
  <c r="R9" i="222" s="1"/>
  <c r="R10" i="222" s="1"/>
  <c r="Q8" i="208" l="1"/>
  <c r="T12" i="215"/>
  <c r="S36" i="220"/>
  <c r="S31" i="221"/>
  <c r="S32" i="221" s="1"/>
  <c r="S21" i="220" l="1"/>
  <c r="T22" i="221"/>
  <c r="T10" i="219"/>
  <c r="T11" i="219" s="1"/>
  <c r="T30" i="221"/>
  <c r="S34" i="221"/>
  <c r="T24" i="221"/>
  <c r="S16" i="216"/>
  <c r="S38" i="220"/>
  <c r="R28" i="208"/>
  <c r="T16" i="221"/>
  <c r="Q28" i="208"/>
  <c r="Q30" i="208" s="1"/>
  <c r="Q9" i="208" s="1"/>
  <c r="S40" i="220" l="1"/>
  <c r="T8" i="221"/>
  <c r="T9" i="221" s="1"/>
  <c r="T20" i="221" s="1"/>
  <c r="Q10" i="208"/>
  <c r="T12" i="219"/>
  <c r="T25" i="221" s="1"/>
  <c r="T28" i="221" s="1"/>
  <c r="S18" i="216"/>
  <c r="S19" i="216"/>
  <c r="S24" i="216" l="1"/>
  <c r="S9" i="222" s="1"/>
  <c r="S10" i="222" s="1"/>
  <c r="T14" i="219"/>
  <c r="T31" i="221"/>
  <c r="T32" i="221" s="1"/>
  <c r="R7" i="208"/>
  <c r="R8" i="208" s="1"/>
  <c r="T13" i="220"/>
  <c r="T6" i="222"/>
  <c r="T18" i="215"/>
  <c r="T19" i="215" l="1"/>
  <c r="T11" i="215" s="1"/>
  <c r="T20" i="215"/>
  <c r="T36" i="220" s="1"/>
  <c r="R29" i="208"/>
  <c r="R30" i="208" s="1"/>
  <c r="R9" i="208" s="1"/>
  <c r="U8" i="221" s="1"/>
  <c r="U9" i="221" s="1"/>
  <c r="U20" i="221" s="1"/>
  <c r="U16" i="221"/>
  <c r="T21" i="220"/>
  <c r="T34" i="221"/>
  <c r="U30" i="221"/>
  <c r="U24" i="221" l="1"/>
  <c r="T16" i="216"/>
  <c r="T38" i="220"/>
  <c r="T40" i="220" s="1"/>
  <c r="U6" i="222"/>
  <c r="U18" i="215"/>
  <c r="R10" i="208"/>
  <c r="U13" i="220" s="1"/>
  <c r="U12" i="215"/>
  <c r="T18" i="216" l="1"/>
  <c r="T19" i="216"/>
  <c r="U19" i="215"/>
  <c r="U11" i="215" s="1"/>
  <c r="U20" i="215"/>
  <c r="U10" i="219"/>
  <c r="U11" i="219" s="1"/>
  <c r="U22" i="221"/>
  <c r="U12" i="219" l="1"/>
  <c r="U25" i="221" s="1"/>
  <c r="U28" i="221" s="1"/>
  <c r="T24" i="216"/>
  <c r="T9" i="222" s="1"/>
  <c r="T10" i="222" s="1"/>
  <c r="U14" i="219" l="1"/>
  <c r="U36" i="220" s="1"/>
  <c r="U16" i="216" s="1"/>
  <c r="U31" i="221"/>
  <c r="U32" i="221" s="1"/>
  <c r="U34" i="221" s="1"/>
  <c r="U38" i="220" l="1"/>
  <c r="V5" i="220"/>
  <c r="U21" i="220"/>
  <c r="U40" i="220" s="1"/>
  <c r="U19" i="216"/>
  <c r="U18" i="216"/>
  <c r="U24" i="216" l="1"/>
  <c r="U9" i="222" s="1"/>
  <c r="U7" i="222" s="1"/>
  <c r="U10" i="222" l="1"/>
  <c r="F14" i="222" s="1"/>
  <c r="U11" i="222"/>
  <c r="F16" i="222" s="1"/>
  <c r="F15" i="222"/>
  <c r="J21" i="220"/>
  <c r="J40" i="220" s="1"/>
  <c r="F17" i="222" l="1"/>
  <c r="F20" i="222" s="1"/>
  <c r="F22" i="222" s="1"/>
  <c r="F25" i="2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022A3FFC-931B-43B4-84E7-8D7C6C4ABF96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BFB6A471-1E58-4829-9240-746C69AEC1D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sharedStrings.xml><?xml version="1.0" encoding="utf-8"?>
<sst xmlns="http://schemas.openxmlformats.org/spreadsheetml/2006/main" count="1149" uniqueCount="390">
  <si>
    <t>Selected case</t>
  </si>
  <si>
    <t>Corporate tax rate</t>
  </si>
  <si>
    <t>Expected inflation</t>
  </si>
  <si>
    <t>Currency</t>
  </si>
  <si>
    <t>USD</t>
  </si>
  <si>
    <t>Domestic country</t>
  </si>
  <si>
    <t>United States</t>
  </si>
  <si>
    <t>Market risk premium US</t>
  </si>
  <si>
    <t>Tesla</t>
  </si>
  <si>
    <t>Company</t>
  </si>
  <si>
    <t>10-year treasury yield (May 27 2021)</t>
  </si>
  <si>
    <t>Company beta (May 27 2021)</t>
  </si>
  <si>
    <t>Tesla share price (May 27 2021)</t>
  </si>
  <si>
    <t>Bond Yield (May 27 2021)</t>
  </si>
  <si>
    <t>Drivers - May 27 2021</t>
  </si>
  <si>
    <t>Company Analysis</t>
  </si>
  <si>
    <t>Balance Sheet Input</t>
  </si>
  <si>
    <t>(in thousands)</t>
  </si>
  <si>
    <t>31 Dec
2014</t>
  </si>
  <si>
    <t>31 Dec
2015</t>
  </si>
  <si>
    <t>31 Dec
2016</t>
  </si>
  <si>
    <t>31 Dec 
2017</t>
  </si>
  <si>
    <t>Cash and cash equivalents</t>
  </si>
  <si>
    <t>Restricted cash and marketable securities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</si>
  <si>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</si>
  <si>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</si>
  <si>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</si>
  <si>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</si>
  <si>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</si>
  <si>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</si>
  <si>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</si>
  <si>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</si>
  <si>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Restricted cash, net of current portion</t>
  </si>
  <si>
    <t>Other assets</t>
  </si>
  <si>
    <t>Total assets</t>
  </si>
  <si>
    <t>Accounts payable</t>
  </si>
  <si>
    <t>Accrued liabilities</t>
  </si>
  <si>
    <t>Deferred revenue</t>
  </si>
  <si>
    <t>Resale value guarantees</t>
  </si>
  <si>
    <t>Customer deposits</t>
  </si>
  <si>
    <t>Current portion of long-term debt and capital leases</t>
  </si>
  <si>
    <t>Total current liabilities</t>
  </si>
  <si>
    <t>Long-term debt and capital leases, net of current</t>
  </si>
  <si>
    <t>Other liabilities</t>
  </si>
  <si>
    <t>Total liabilities</t>
  </si>
  <si>
    <t>Total stockholders' equity</t>
  </si>
  <si>
    <t>Noncontrolling interests in subsidiaries</t>
  </si>
  <si>
    <t>Total liabilities and equity</t>
  </si>
  <si>
    <t>KPIs</t>
  </si>
  <si>
    <t>Liquidity ratios</t>
  </si>
  <si>
    <t>Quick ratio</t>
  </si>
  <si>
    <t>Current ratio</t>
  </si>
  <si>
    <t>DSO</t>
  </si>
  <si>
    <t>DIO</t>
  </si>
  <si>
    <t>DPO</t>
  </si>
  <si>
    <t>Net Trading Cycle</t>
  </si>
  <si>
    <t>Solvency ratios</t>
  </si>
  <si>
    <t>Debt ratio</t>
  </si>
  <si>
    <t>Interest coverage</t>
  </si>
  <si>
    <t>&lt;0</t>
  </si>
  <si>
    <t>P&amp;L Input</t>
  </si>
  <si>
    <t>2014
Act</t>
  </si>
  <si>
    <t>2015
Act</t>
  </si>
  <si>
    <t>2016
Act</t>
  </si>
  <si>
    <t>2017
Act</t>
  </si>
  <si>
    <t>Automotive revenues</t>
  </si>
  <si>
    <t>Energy generation and storage</t>
  </si>
  <si>
    <t>Services and other</t>
  </si>
  <si>
    <t>Total revenues</t>
  </si>
  <si>
    <t>Automotive cost of revenues</t>
  </si>
  <si>
    <t>Energy generation and storage cost of revenues</t>
  </si>
  <si>
    <t>Services and other cost of revenues</t>
  </si>
  <si>
    <t>Gross profit</t>
  </si>
  <si>
    <t>Research and development</t>
  </si>
  <si>
    <t>Selling, general and administrative</t>
  </si>
  <si>
    <t>Restructuring and other</t>
  </si>
  <si>
    <t>EBIT</t>
  </si>
  <si>
    <t>Interest income</t>
  </si>
  <si>
    <t>Interest expense</t>
  </si>
  <si>
    <t>Other income (expense), net</t>
  </si>
  <si>
    <t>EBT</t>
  </si>
  <si>
    <t>Provision for income taxes</t>
  </si>
  <si>
    <t>Net loss incl. minority interests</t>
  </si>
  <si>
    <t>Minority interests</t>
  </si>
  <si>
    <t>Revenue % automotive y-o-y</t>
  </si>
  <si>
    <t>Revenue % generation y-o-y</t>
  </si>
  <si>
    <t>Revenue % services y-o-y</t>
  </si>
  <si>
    <t>GP% automotive</t>
  </si>
  <si>
    <t>GP% energy generation and automotive</t>
  </si>
  <si>
    <t>GP% services and other</t>
  </si>
  <si>
    <t>Overall GP%</t>
  </si>
  <si>
    <t>EBIT %</t>
  </si>
  <si>
    <t>Net loss %</t>
  </si>
  <si>
    <t>ROA</t>
  </si>
  <si>
    <t>ROE</t>
  </si>
  <si>
    <t>31 Dec
2018</t>
  </si>
  <si>
    <t>31 Dec
2019</t>
  </si>
  <si>
    <t>31 Dec
2020</t>
  </si>
  <si>
    <t>Input --&gt;</t>
  </si>
  <si>
    <t>Workings --&gt;</t>
  </si>
  <si>
    <t>Income Statement Items</t>
  </si>
  <si>
    <t>Automotive</t>
  </si>
  <si>
    <t>notes receivable, net of current portion</t>
  </si>
  <si>
    <t>goodwill</t>
  </si>
  <si>
    <t>Current portion of promissory notes issued to related parties</t>
  </si>
  <si>
    <t>Long-term debt and capital leases, net of current portion</t>
  </si>
  <si>
    <t>Deferred revenue, net of current portion</t>
  </si>
  <si>
    <t>Resale value guarantees, net of current portion</t>
  </si>
  <si>
    <t>Redeemable Noncontrolling interests in subsidiaries</t>
  </si>
  <si>
    <t>2018
Act</t>
  </si>
  <si>
    <t>2019
Act</t>
  </si>
  <si>
    <t>2020
Act</t>
  </si>
  <si>
    <t>Operating lease rights of use assets</t>
  </si>
  <si>
    <t>convertible senior notes</t>
  </si>
  <si>
    <t>Net loss/gain</t>
  </si>
  <si>
    <t>Deliveries</t>
  </si>
  <si>
    <t>Tesla Deliveries</t>
  </si>
  <si>
    <t>Vehicle</t>
  </si>
  <si>
    <t>2019
Fcst</t>
  </si>
  <si>
    <t>2020
Fcst</t>
  </si>
  <si>
    <t>2021
Fcst</t>
  </si>
  <si>
    <t>2022
Fcst</t>
  </si>
  <si>
    <t>2023
Fcst</t>
  </si>
  <si>
    <t>2024
Fcst</t>
  </si>
  <si>
    <t>2025
Fcst</t>
  </si>
  <si>
    <t>2026
Fcst</t>
  </si>
  <si>
    <t>2027
Fcst</t>
  </si>
  <si>
    <t>2028
Fcst</t>
  </si>
  <si>
    <t>Tesla Model 3</t>
  </si>
  <si>
    <t>Tesla Model S and X</t>
  </si>
  <si>
    <t>Tesla Model Y</t>
  </si>
  <si>
    <t>Tesla Roadster 2</t>
  </si>
  <si>
    <t>Tesla Pickup</t>
  </si>
  <si>
    <t>Tesla Semi</t>
  </si>
  <si>
    <t>Total</t>
  </si>
  <si>
    <t>y-o-y growth %</t>
  </si>
  <si>
    <t>n.a.</t>
  </si>
  <si>
    <t>Assumed growth after introduction:</t>
  </si>
  <si>
    <t>2 years</t>
  </si>
  <si>
    <t>onwards</t>
  </si>
  <si>
    <t>2029
Fcst</t>
  </si>
  <si>
    <t>2030
Fcst</t>
  </si>
  <si>
    <t>2031
Fcst</t>
  </si>
  <si>
    <t>2032
Fcst</t>
  </si>
  <si>
    <t>Tesla Cybertruck</t>
  </si>
  <si>
    <t>Source for Deliveries:</t>
  </si>
  <si>
    <t>https://ir.tesla.com/press</t>
  </si>
  <si>
    <t>https://insideevs.com/</t>
  </si>
  <si>
    <t>Assumption:</t>
  </si>
  <si>
    <t>The first 3 years of all new models will have accelerated growth similar to model 3 and Y, then level off at a lower growth rate</t>
  </si>
  <si>
    <t>Q1 2021 Deliveries:</t>
  </si>
  <si>
    <t>Model 3/Y</t>
  </si>
  <si>
    <t>Model S/X</t>
  </si>
  <si>
    <t>1% of Model 3and Y figure was actually Model Y in 2020 of the combined 442,511 figure Tesla indicates</t>
  </si>
  <si>
    <t>1M cybertrucks preordered, we assume 3% actual delivery and purchase in year 1</t>
  </si>
  <si>
    <t>Tesla Model Y, Pickup, and Semi have at least 60% of the same YoY growth as Model 3 between Year 1-2</t>
  </si>
  <si>
    <t>Deliveries comparables</t>
  </si>
  <si>
    <t>Comparables</t>
  </si>
  <si>
    <t xml:space="preserve">  </t>
  </si>
  <si>
    <t>Average</t>
  </si>
  <si>
    <t>Adj. Average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</si>
  <si>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</si>
  <si>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</si>
  <si>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</si>
  <si>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</si>
  <si>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</si>
  <si>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</si>
  <si>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</si>
  <si>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</si>
  <si>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</si>
  <si>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</si>
  <si>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</si>
  <si>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Comparables 2015- 2019</t>
  </si>
  <si>
    <t>Vehicle Sales 2015 - 2019 - Average</t>
  </si>
  <si>
    <t>Tesla Expected Deliveries</t>
  </si>
  <si>
    <t>This data shows that my analysis for Tesla is conservative as even over the next 10 years, Tesla is estimated to sell only about 53% the average of other car makers</t>
  </si>
  <si>
    <t>Revenue Automotive</t>
  </si>
  <si>
    <t xml:space="preserve"> </t>
  </si>
  <si>
    <t>Tesla Revenue Automotive (in mln $)</t>
  </si>
  <si>
    <t>Average Price ($)</t>
  </si>
  <si>
    <t>Best case</t>
  </si>
  <si>
    <t>Base case</t>
  </si>
  <si>
    <t>Worst case</t>
  </si>
  <si>
    <t>Average Prices</t>
  </si>
  <si>
    <t>Model and Version</t>
  </si>
  <si>
    <t>Range</t>
  </si>
  <si>
    <t>Base Price</t>
  </si>
  <si>
    <t>Fully Loaded</t>
  </si>
  <si>
    <t>Average Price Per Model</t>
  </si>
  <si>
    <t>Model 3 Standard Rage Plus</t>
  </si>
  <si>
    <t>Model 3 Long Range</t>
  </si>
  <si>
    <t>Model 3 Performance</t>
  </si>
  <si>
    <t>Average Model 3</t>
  </si>
  <si>
    <t>Model S Long Range</t>
  </si>
  <si>
    <t>Model S Performance</t>
  </si>
  <si>
    <t>Model X Long Range</t>
  </si>
  <si>
    <t>Model X Performance</t>
  </si>
  <si>
    <t>Average Model S and X</t>
  </si>
  <si>
    <t xml:space="preserve">Model </t>
  </si>
  <si>
    <t>Max Price</t>
  </si>
  <si>
    <t>250 Miles</t>
  </si>
  <si>
    <t>322 Miles</t>
  </si>
  <si>
    <t>373 Miles</t>
  </si>
  <si>
    <t>348 Miles</t>
  </si>
  <si>
    <t>328 Miles</t>
  </si>
  <si>
    <t>305 Miles</t>
  </si>
  <si>
    <t>Model Y</t>
  </si>
  <si>
    <t>Roadster 2</t>
  </si>
  <si>
    <t>CyberTruck</t>
  </si>
  <si>
    <t>Semi</t>
  </si>
  <si>
    <t>GP %</t>
  </si>
  <si>
    <t>Comparable companies</t>
  </si>
  <si>
    <t>GP %
Comp. 1</t>
  </si>
  <si>
    <t>GP %
Comp. 2</t>
  </si>
  <si>
    <t>GP %
Comp. 3</t>
  </si>
  <si>
    <t>GM, Ford, Fiat Chrysler</t>
  </si>
  <si>
    <t>Jaguar, Porsche, Ferrari</t>
  </si>
  <si>
    <t>Scania, MAN, Paccar</t>
  </si>
  <si>
    <t>Estimated GP% for Tesla Based on Historic and Comparables</t>
  </si>
  <si>
    <t>Historic</t>
  </si>
  <si>
    <t>BMW, Mercedes, Volkswagen</t>
  </si>
  <si>
    <t xml:space="preserve">Historic </t>
  </si>
  <si>
    <t>Based on Tesla not Comps</t>
  </si>
  <si>
    <t>Gross Profit</t>
  </si>
  <si>
    <t>Tesla Gross Profit (in mln $)</t>
  </si>
  <si>
    <t>Cost of sales automotive</t>
  </si>
  <si>
    <t>Tesla Cost of sales (in mln $)</t>
  </si>
  <si>
    <t>Revenue and Gross Profit automotive</t>
  </si>
  <si>
    <t>Revenue automotive</t>
  </si>
  <si>
    <t>Gross Profit automotive</t>
  </si>
  <si>
    <t>GP%</t>
  </si>
  <si>
    <t>Energy &amp; Other</t>
  </si>
  <si>
    <t>Operating Expenses</t>
  </si>
  <si>
    <t>Property, Plant, &amp; Equipment</t>
  </si>
  <si>
    <t>P&amp;L</t>
  </si>
  <si>
    <t>Financing</t>
  </si>
  <si>
    <t>Financing --&gt;</t>
  </si>
  <si>
    <t>Working Capital --&gt;</t>
  </si>
  <si>
    <t>Output --&gt;</t>
  </si>
  <si>
    <t>Revenue Energy &amp; Other</t>
  </si>
  <si>
    <t>Tesla Revenue Energy &amp; Other (in mln $)</t>
  </si>
  <si>
    <t>($ in million)</t>
  </si>
  <si>
    <t>Total Energy and Other</t>
  </si>
  <si>
    <t>Y-o-Y %</t>
  </si>
  <si>
    <t>n.a</t>
  </si>
  <si>
    <t>Assumptions:</t>
  </si>
  <si>
    <t xml:space="preserve">SolarCity Revenue is included in Teslas Figures </t>
  </si>
  <si>
    <t>Gross Profit &amp; Energy</t>
  </si>
  <si>
    <t>Tesla GP% Energy &amp; Other (in mln $)</t>
  </si>
  <si>
    <t>Tesla Cost of Sales Energy &amp; Other (in mln $)</t>
  </si>
  <si>
    <t>Cost of sales Energy &amp; Other</t>
  </si>
  <si>
    <t>Opex comparables</t>
  </si>
  <si>
    <t>Comparables - 2017</t>
  </si>
  <si>
    <t>Opex</t>
  </si>
  <si>
    <t>Tesla Opex (in mln $)</t>
  </si>
  <si>
    <t>Revenues</t>
  </si>
  <si>
    <t>Opex as a % of revenues</t>
  </si>
  <si>
    <t>Opex as a % of revenue</t>
  </si>
  <si>
    <t>Opex %</t>
  </si>
  <si>
    <t>Fixed asset roll forward</t>
  </si>
  <si>
    <t>Tesla PP&amp;E (in mln $)</t>
  </si>
  <si>
    <t>31Dec2014
Act</t>
  </si>
  <si>
    <t>31Dec2015
Act</t>
  </si>
  <si>
    <t>31Dec2016
Act</t>
  </si>
  <si>
    <t>31Dec2017
Act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</si>
  <si>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</si>
  <si>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</si>
  <si>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</si>
  <si>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</si>
  <si>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</si>
  <si>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</si>
  <si>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</si>
  <si>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</si>
  <si>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Beginning PP&amp;E</t>
  </si>
  <si>
    <t>Capex</t>
  </si>
  <si>
    <t>D&amp;A</t>
  </si>
  <si>
    <t>Ending PP&amp;E</t>
  </si>
  <si>
    <t>Tesla D&amp;A (in mln $)</t>
  </si>
  <si>
    <t>Total D&amp;A</t>
  </si>
  <si>
    <t>Capex as a % of PP&amp;E</t>
  </si>
  <si>
    <t>Capex as a % of revenues</t>
  </si>
  <si>
    <t>Useful life Capex</t>
  </si>
  <si>
    <t>Useful life historical assets</t>
  </si>
  <si>
    <t>31Dec2029
Fcst</t>
  </si>
  <si>
    <t>31Dec2030
Fcst</t>
  </si>
  <si>
    <t>31Dec2031
Fcst</t>
  </si>
  <si>
    <t>31Dec2032
Fcst</t>
  </si>
  <si>
    <t>31Dec2018
Act</t>
  </si>
  <si>
    <t>31Dec2019
Act</t>
  </si>
  <si>
    <t>31Dec2020
Act</t>
  </si>
  <si>
    <t>Capex%</t>
  </si>
  <si>
    <t>PP&amp;E comparables</t>
  </si>
  <si>
    <t>CAPEX taken from Cashflow Statements, Can be found in Cash flow from investing activities section</t>
  </si>
  <si>
    <t xml:space="preserve">typically referred to as Capital spend </t>
  </si>
  <si>
    <t>CAPEX as a % of PP&amp;E</t>
  </si>
  <si>
    <t>CAPEX as a % of revenues</t>
  </si>
  <si>
    <t>Mercedes</t>
  </si>
  <si>
    <t>Also can find D&amp;A amounts</t>
  </si>
  <si>
    <t>Working Capital comparables</t>
  </si>
  <si>
    <t>Net trade cycle</t>
  </si>
  <si>
    <t>Working capital</t>
  </si>
  <si>
    <t>Tesla Working capital (in mln $)</t>
  </si>
  <si>
    <t>Trade receivables</t>
  </si>
  <si>
    <t>Trade payables</t>
  </si>
  <si>
    <t>Selected case:</t>
  </si>
  <si>
    <t>Cover negative cash flows with:</t>
  </si>
  <si>
    <t>Debt</t>
  </si>
  <si>
    <t>Equity</t>
  </si>
  <si>
    <t>Tesla Financing (in mln $)</t>
  </si>
  <si>
    <t>Interest rate</t>
  </si>
  <si>
    <t>Tesla Cash Flow (in mln $)</t>
  </si>
  <si>
    <t>Unlevered Free Cash Flow</t>
  </si>
  <si>
    <t>WACC</t>
  </si>
  <si>
    <t>Risk-free rate</t>
  </si>
  <si>
    <t>Market risk premium</t>
  </si>
  <si>
    <t>Tax rate</t>
  </si>
  <si>
    <t>Cost of equity</t>
  </si>
  <si>
    <t>Tesla WACC calculation (in mln $)</t>
  </si>
  <si>
    <t>Debt / (Debt + Equity)</t>
  </si>
  <si>
    <t>Equity / (Debt + Equity)</t>
  </si>
  <si>
    <t>Cost of debt</t>
  </si>
  <si>
    <t>Tesla P&amp;L (in mln $)</t>
  </si>
  <si>
    <t>Cost of sales</t>
  </si>
  <si>
    <t>Operating expenses</t>
  </si>
  <si>
    <t>Interest expenses/income</t>
  </si>
  <si>
    <t>Taxes</t>
  </si>
  <si>
    <t>Minority interest</t>
  </si>
  <si>
    <t>Net Income</t>
  </si>
  <si>
    <t>Check</t>
  </si>
  <si>
    <t>Net income</t>
  </si>
  <si>
    <t>Balance Sheet</t>
  </si>
  <si>
    <t>Tesla BS (in mln $)</t>
  </si>
  <si>
    <t>Assumption</t>
  </si>
  <si>
    <t>Cash</t>
  </si>
  <si>
    <t>Cash flow sheet</t>
  </si>
  <si>
    <t>Restricted cash and securities</t>
  </si>
  <si>
    <t>Stays flat</t>
  </si>
  <si>
    <t>Working capital sheet</t>
  </si>
  <si>
    <t>Prepaid expenses</t>
  </si>
  <si>
    <t>Grows as a % of revenues</t>
  </si>
  <si>
    <t>as a % of revenues</t>
  </si>
  <si>
    <t>Operating lease vehicles</t>
  </si>
  <si>
    <t>Solar energy systems leased</t>
  </si>
  <si>
    <t>PP&amp;E</t>
  </si>
  <si>
    <t>PP&amp;E sheet</t>
  </si>
  <si>
    <t>Intangible assets</t>
  </si>
  <si>
    <t>Long-term debt</t>
  </si>
  <si>
    <t>Financing sheet</t>
  </si>
  <si>
    <t>Total liabilities &amp; equity</t>
  </si>
  <si>
    <t>Cash Flow</t>
  </si>
  <si>
    <t>NOPAT</t>
  </si>
  <si>
    <t>Add-back D&amp;A</t>
  </si>
  <si>
    <t>Gross Cash Flow</t>
  </si>
  <si>
    <t>Investments in Working Capital</t>
  </si>
  <si>
    <t>Other liabilties</t>
  </si>
  <si>
    <t>Interest expenses</t>
  </si>
  <si>
    <t>Delta Financial liabilities</t>
  </si>
  <si>
    <t>Delta equity/Other equity movements</t>
  </si>
  <si>
    <t>Tax adjustment</t>
  </si>
  <si>
    <t>Net Cash Flow</t>
  </si>
  <si>
    <t>Opening cash</t>
  </si>
  <si>
    <t>Closing cash</t>
  </si>
  <si>
    <t>Goodwill</t>
  </si>
  <si>
    <t>Notes receivable, net of current portion</t>
  </si>
  <si>
    <t>If UFCF &lt;0, Tesla will raise financing on the 1st day of following year</t>
  </si>
  <si>
    <t>Tesla will use 50% debt and 50% equity to cover negative cashflows</t>
  </si>
  <si>
    <t>company cost of debt remains flat for entire forecast period (4.258%)</t>
  </si>
  <si>
    <t>Bond Yield as of May 27 2021</t>
  </si>
  <si>
    <t>Operating taxes (22.5%)</t>
  </si>
  <si>
    <t>Current bond Yield as of May 27 2021</t>
  </si>
  <si>
    <t>Beta (as of 27 May 2021)</t>
  </si>
  <si>
    <t>DCF Valuation</t>
  </si>
  <si>
    <t>g (Perpetuity growth)</t>
  </si>
  <si>
    <t>Continuing value</t>
  </si>
  <si>
    <t>Discount factor (WACC)</t>
  </si>
  <si>
    <t>Present value of UFCF</t>
  </si>
  <si>
    <t>Present value of CV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</si>
  <si>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</si>
  <si>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</si>
  <si>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</si>
  <si>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</si>
  <si>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</si>
  <si>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</si>
  <si>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</si>
  <si>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</si>
  <si>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Price per share</t>
  </si>
  <si>
    <t>Number of shares outstanding (as of 27 May 2021)</t>
  </si>
  <si>
    <t>Current Stock Price (as of 27 May 2021)</t>
  </si>
  <si>
    <t xml:space="preserve">Premium </t>
  </si>
  <si>
    <t>Tesla currently trades at a 14x premium on the market compared to what the company is worth based on the 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</si>
</sst>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@_)"/>
    <numFmt numFmtId="166" formatCode="_(* #,##0.0_);_(* \(#,##0.0\);_(* &quot;-&quot;?_);_(@_)"/>
    <numFmt numFmtId="167" formatCode="&quot;$&quot;#,##0"/>
    <numFmt numFmtId="168" formatCode="0.0%"/>
    <numFmt numFmtId="169" formatCode="_(* #,##0.0_);_(* \(#,##0.0\);_(* &quot;-&quot;??_);_(@_)"/>
    <numFmt numFmtId="170" formatCode="_(* #,##0.000_);_(* \(#,##0.000\);_(* &quot;-&quot;??_);_(@_)"/>
    <numFmt numFmtId="171" formatCode="_(* #,##0.0_);_(* \(#,##0.0\);_(* &quot;-&quot;?_);@_)"/>
    <numFmt numFmtId="172" formatCode="_-* #,##0.00\ _л_в_._-;\-* #,##0.00\ _л_в_._-;_-* &quot;-&quot;??\ _л_в_._-;_-@_-"/>
    <numFmt numFmtId="173" formatCode="0.0"/>
    <numFmt numFmtId="174" formatCode="_(* #,##0.0_);_(* \(#,##0.0\);_(* &quot;-&quot;?_);@_l"/>
  </numFmts>
  <fonts count="43" x14ac:knownFonts="1">
    <font>
      <sz val="10"/>
      <name val="Arial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</font>
    <font>
      <sz val="10"/>
      <color rgb="FF00206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  <charset val="204"/>
    </font>
    <font>
      <b/>
      <sz val="40"/>
      <color rgb="FF002060"/>
      <name val="Arial"/>
      <family val="2"/>
    </font>
    <font>
      <sz val="9"/>
      <name val="Arial"/>
      <family val="2"/>
    </font>
    <font>
      <b/>
      <i/>
      <sz val="8"/>
      <name val="Arial"/>
      <family val="2"/>
      <charset val="204"/>
    </font>
    <font>
      <u/>
      <sz val="10"/>
      <color theme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i/>
      <sz val="9"/>
      <color rgb="FF00206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i/>
      <sz val="10"/>
      <color rgb="FF00206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9"/>
      <name val="Arial"/>
      <family val="2"/>
      <charset val="204"/>
    </font>
    <font>
      <b/>
      <sz val="10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0"/>
      <name val="Arial"/>
      <family val="2"/>
      <charset val="204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9"/>
      <name val="Arial"/>
      <family val="2"/>
    </font>
    <font>
      <sz val="9"/>
      <color theme="0" tint="-0.14999847407452621"/>
      <name val="Arial"/>
      <family val="2"/>
    </font>
    <font>
      <b/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mediumGray">
        <bgColor theme="0" tint="-0.14996795556505021"/>
      </patternFill>
    </fill>
    <fill>
      <patternFill patternType="solid">
        <fgColor rgb="FFFFFF00"/>
        <bgColor indexed="64"/>
      </patternFill>
    </fill>
    <fill>
      <patternFill patternType="darkDown">
        <bgColor theme="0" tint="-0.14996795556505021"/>
      </patternFill>
    </fill>
    <fill>
      <patternFill patternType="darkGray">
        <bgColor theme="0" tint="-0.14996795556505021"/>
      </patternFill>
    </fill>
    <fill>
      <patternFill patternType="mediumGray">
        <bgColor theme="0"/>
      </patternFill>
    </fill>
    <fill>
      <patternFill patternType="darkDown">
        <bgColor theme="0"/>
      </patternFill>
    </fill>
    <fill>
      <patternFill patternType="darkDown"/>
    </fill>
    <fill>
      <patternFill patternType="darkDown">
        <bgColor rgb="FF002060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6">
    <xf numFmtId="0" fontId="0" fillId="0" borderId="0">
      <alignment vertical="top"/>
    </xf>
    <xf numFmtId="43" fontId="1" fillId="0" borderId="0">
      <alignment vertical="top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/>
  </cellStyleXfs>
  <cellXfs count="244">
    <xf numFmtId="0" fontId="0" fillId="0" borderId="0" xfId="0">
      <alignment vertical="top"/>
    </xf>
    <xf numFmtId="0" fontId="0" fillId="2" borderId="0" xfId="0" applyFill="1">
      <alignment vertical="top"/>
    </xf>
    <xf numFmtId="0" fontId="3" fillId="2" borderId="0" xfId="0" applyFont="1" applyFill="1">
      <alignment vertical="top"/>
    </xf>
    <xf numFmtId="164" fontId="1" fillId="2" borderId="0" xfId="1" applyNumberFormat="1" applyFill="1">
      <alignment vertical="top"/>
    </xf>
    <xf numFmtId="0" fontId="2" fillId="2" borderId="0" xfId="0" applyFont="1" applyFill="1">
      <alignment vertical="top"/>
    </xf>
    <xf numFmtId="0" fontId="4" fillId="2" borderId="0" xfId="0" applyFont="1" applyFill="1">
      <alignment vertical="top"/>
    </xf>
    <xf numFmtId="0" fontId="5" fillId="3" borderId="0" xfId="0" applyFont="1" applyFill="1">
      <alignment vertical="top"/>
    </xf>
    <xf numFmtId="0" fontId="6" fillId="2" borderId="0" xfId="0" applyFont="1" applyFill="1" applyAlignment="1"/>
    <xf numFmtId="10" fontId="6" fillId="2" borderId="0" xfId="0" applyNumberFormat="1" applyFont="1" applyFill="1" applyAlignment="1"/>
    <xf numFmtId="9" fontId="2" fillId="2" borderId="0" xfId="0" applyNumberFormat="1" applyFont="1" applyFill="1">
      <alignment vertical="top"/>
    </xf>
    <xf numFmtId="0" fontId="2" fillId="2" borderId="0" xfId="0" applyFont="1" applyFill="1" applyAlignment="1">
      <alignment horizontal="right" vertical="top"/>
    </xf>
    <xf numFmtId="10" fontId="2" fillId="2" borderId="0" xfId="0" applyNumberFormat="1" applyFont="1" applyFill="1">
      <alignment vertical="top"/>
    </xf>
    <xf numFmtId="0" fontId="8" fillId="2" borderId="0" xfId="0" applyFont="1" applyFill="1">
      <alignment vertical="top"/>
    </xf>
    <xf numFmtId="9" fontId="2" fillId="2" borderId="0" xfId="0" applyNumberFormat="1" applyFont="1" applyFill="1" applyAlignment="1">
      <alignment horizontal="right" vertical="top"/>
    </xf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165" fontId="2" fillId="2" borderId="0" xfId="1" applyNumberFormat="1" applyFont="1" applyFill="1" applyAlignment="1">
      <alignment horizontal="right" vertical="top"/>
    </xf>
    <xf numFmtId="0" fontId="10" fillId="2" borderId="2" xfId="0" applyFont="1" applyFill="1" applyBorder="1">
      <alignment vertical="top"/>
    </xf>
    <xf numFmtId="165" fontId="10" fillId="2" borderId="2" xfId="1" applyNumberFormat="1" applyFont="1" applyFill="1" applyBorder="1" applyAlignment="1">
      <alignment horizontal="right" vertical="top"/>
    </xf>
    <xf numFmtId="0" fontId="10" fillId="2" borderId="3" xfId="0" applyFont="1" applyFill="1" applyBorder="1">
      <alignment vertical="top"/>
    </xf>
    <xf numFmtId="165" fontId="10" fillId="2" borderId="3" xfId="1" applyNumberFormat="1" applyFont="1" applyFill="1" applyBorder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10" fillId="2" borderId="0" xfId="0" applyFont="1" applyFill="1">
      <alignment vertical="top"/>
    </xf>
    <xf numFmtId="165" fontId="10" fillId="2" borderId="0" xfId="1" applyNumberFormat="1" applyFont="1" applyFill="1" applyAlignment="1">
      <alignment horizontal="right" vertical="top"/>
    </xf>
    <xf numFmtId="164" fontId="2" fillId="2" borderId="0" xfId="0" applyNumberFormat="1" applyFont="1" applyFill="1">
      <alignment vertical="top"/>
    </xf>
    <xf numFmtId="0" fontId="11" fillId="5" borderId="0" xfId="0" applyFont="1" applyFill="1" applyAlignment="1"/>
    <xf numFmtId="2" fontId="12" fillId="5" borderId="0" xfId="0" applyNumberFormat="1" applyFont="1" applyFill="1" applyAlignment="1"/>
    <xf numFmtId="0" fontId="12" fillId="5" borderId="0" xfId="0" applyFont="1" applyFill="1" applyAlignment="1"/>
    <xf numFmtId="2" fontId="12" fillId="5" borderId="0" xfId="0" applyNumberFormat="1" applyFont="1" applyFill="1" applyAlignment="1">
      <alignment horizontal="right"/>
    </xf>
    <xf numFmtId="0" fontId="10" fillId="2" borderId="1" xfId="0" applyFont="1" applyFill="1" applyBorder="1" applyAlignment="1">
      <alignment horizontal="right" vertical="top" wrapText="1"/>
    </xf>
    <xf numFmtId="0" fontId="10" fillId="4" borderId="1" xfId="0" applyFont="1" applyFill="1" applyBorder="1" applyAlignment="1">
      <alignment horizontal="right" vertical="top" wrapText="1"/>
    </xf>
    <xf numFmtId="165" fontId="10" fillId="2" borderId="2" xfId="0" applyNumberFormat="1" applyFont="1" applyFill="1" applyBorder="1" applyAlignment="1">
      <alignment horizontal="right" vertical="top"/>
    </xf>
    <xf numFmtId="165" fontId="10" fillId="4" borderId="2" xfId="0" applyNumberFormat="1" applyFont="1" applyFill="1" applyBorder="1" applyAlignment="1">
      <alignment horizontal="right" vertical="top"/>
    </xf>
    <xf numFmtId="0" fontId="1" fillId="2" borderId="0" xfId="0" applyFont="1" applyFill="1">
      <alignment vertical="top"/>
    </xf>
    <xf numFmtId="165" fontId="10" fillId="2" borderId="3" xfId="0" applyNumberFormat="1" applyFont="1" applyFill="1" applyBorder="1" applyAlignment="1">
      <alignment horizontal="right" vertical="top"/>
    </xf>
    <xf numFmtId="0" fontId="13" fillId="5" borderId="0" xfId="0" applyFont="1" applyFill="1" applyAlignment="1"/>
    <xf numFmtId="0" fontId="14" fillId="5" borderId="0" xfId="0" applyFont="1" applyFill="1" applyAlignment="1"/>
    <xf numFmtId="9" fontId="15" fillId="5" borderId="0" xfId="3" applyFont="1" applyFill="1" applyAlignment="1">
      <alignment vertical="top"/>
    </xf>
    <xf numFmtId="0" fontId="16" fillId="2" borderId="0" xfId="0" applyFont="1" applyFill="1">
      <alignment vertical="top"/>
    </xf>
    <xf numFmtId="165" fontId="2" fillId="2" borderId="0" xfId="0" applyNumberFormat="1" applyFont="1" applyFill="1">
      <alignment vertical="top"/>
    </xf>
    <xf numFmtId="43" fontId="1" fillId="0" borderId="0" xfId="1">
      <alignment vertical="top"/>
    </xf>
    <xf numFmtId="165" fontId="17" fillId="2" borderId="0" xfId="1" applyNumberFormat="1" applyFont="1" applyFill="1" applyAlignment="1">
      <alignment horizontal="right" vertical="top"/>
    </xf>
    <xf numFmtId="0" fontId="10" fillId="2" borderId="1" xfId="0" applyFont="1" applyFill="1" applyBorder="1" applyAlignment="1">
      <alignment horizontal="left" wrapText="1"/>
    </xf>
    <xf numFmtId="0" fontId="10" fillId="2" borderId="4" xfId="0" applyFont="1" applyFill="1" applyBorder="1" applyAlignment="1"/>
    <xf numFmtId="164" fontId="10" fillId="2" borderId="4" xfId="0" applyNumberFormat="1" applyFont="1" applyFill="1" applyBorder="1" applyAlignment="1"/>
    <xf numFmtId="0" fontId="18" fillId="5" borderId="0" xfId="0" applyFont="1" applyFill="1">
      <alignment vertical="top"/>
    </xf>
    <xf numFmtId="0" fontId="15" fillId="5" borderId="0" xfId="0" applyFont="1" applyFill="1">
      <alignment vertical="top"/>
    </xf>
    <xf numFmtId="0" fontId="15" fillId="5" borderId="0" xfId="0" applyFont="1" applyFill="1" applyAlignment="1">
      <alignment horizontal="right" vertical="top"/>
    </xf>
    <xf numFmtId="9" fontId="15" fillId="5" borderId="0" xfId="3" applyFont="1" applyFill="1" applyAlignment="1">
      <alignment horizontal="right" vertical="top"/>
    </xf>
    <xf numFmtId="9" fontId="15" fillId="5" borderId="0" xfId="0" applyNumberFormat="1" applyFont="1" applyFill="1">
      <alignment vertical="top"/>
    </xf>
    <xf numFmtId="0" fontId="5" fillId="3" borderId="0" xfId="0" applyFont="1" applyFill="1" applyAlignment="1">
      <alignment horizontal="center" vertical="top"/>
    </xf>
    <xf numFmtId="0" fontId="19" fillId="2" borderId="0" xfId="4" applyFill="1">
      <alignment vertical="top"/>
    </xf>
    <xf numFmtId="0" fontId="20" fillId="2" borderId="0" xfId="0" applyFont="1" applyFill="1">
      <alignment vertical="top"/>
    </xf>
    <xf numFmtId="43" fontId="21" fillId="0" borderId="0" xfId="1" applyFont="1">
      <alignment vertical="top"/>
    </xf>
    <xf numFmtId="166" fontId="2" fillId="2" borderId="0" xfId="0" applyNumberFormat="1" applyFont="1" applyFill="1">
      <alignment vertical="top"/>
    </xf>
    <xf numFmtId="43" fontId="2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43" fontId="21" fillId="0" borderId="0" xfId="1" applyFont="1" applyBorder="1">
      <alignment vertical="top"/>
    </xf>
    <xf numFmtId="43" fontId="21" fillId="2" borderId="0" xfId="1" applyFont="1" applyFill="1">
      <alignment vertical="top"/>
    </xf>
    <xf numFmtId="43" fontId="21" fillId="2" borderId="0" xfId="1" applyFont="1" applyFill="1" applyBorder="1">
      <alignment vertical="top"/>
    </xf>
    <xf numFmtId="0" fontId="23" fillId="2" borderId="0" xfId="0" applyFont="1" applyFill="1">
      <alignment vertical="top"/>
    </xf>
    <xf numFmtId="164" fontId="2" fillId="2" borderId="0" xfId="1" applyNumberFormat="1" applyFont="1" applyFill="1">
      <alignment vertical="top"/>
    </xf>
    <xf numFmtId="0" fontId="2" fillId="5" borderId="0" xfId="0" applyFont="1" applyFill="1">
      <alignment vertical="top"/>
    </xf>
    <xf numFmtId="2" fontId="2" fillId="5" borderId="0" xfId="0" applyNumberFormat="1" applyFont="1" applyFill="1" applyAlignment="1">
      <alignment horizontal="right" vertical="top"/>
    </xf>
    <xf numFmtId="2" fontId="10" fillId="2" borderId="2" xfId="0" applyNumberFormat="1" applyFont="1" applyFill="1" applyBorder="1" applyAlignment="1">
      <alignment horizontal="right" vertical="top"/>
    </xf>
    <xf numFmtId="164" fontId="10" fillId="2" borderId="2" xfId="1" applyNumberFormat="1" applyFont="1" applyFill="1" applyBorder="1">
      <alignment vertical="top"/>
    </xf>
    <xf numFmtId="2" fontId="2" fillId="2" borderId="0" xfId="0" applyNumberFormat="1" applyFont="1" applyFill="1">
      <alignment vertical="top"/>
    </xf>
    <xf numFmtId="43" fontId="1" fillId="2" borderId="0" xfId="1" applyFill="1">
      <alignment vertical="top"/>
    </xf>
    <xf numFmtId="9" fontId="2" fillId="2" borderId="0" xfId="3" applyFont="1" applyFill="1" applyAlignment="1">
      <alignment vertical="top"/>
    </xf>
    <xf numFmtId="165" fontId="2" fillId="2" borderId="0" xfId="0" applyNumberFormat="1" applyFont="1" applyFill="1" applyAlignment="1">
      <alignment horizontal="right" vertical="center"/>
    </xf>
    <xf numFmtId="165" fontId="2" fillId="4" borderId="0" xfId="0" applyNumberFormat="1" applyFont="1" applyFill="1">
      <alignment vertical="top"/>
    </xf>
    <xf numFmtId="165" fontId="10" fillId="2" borderId="3" xfId="1" applyNumberFormat="1" applyFont="1" applyFill="1" applyBorder="1">
      <alignment vertical="top"/>
    </xf>
    <xf numFmtId="0" fontId="15" fillId="2" borderId="0" xfId="0" applyFont="1" applyFill="1">
      <alignment vertical="top"/>
    </xf>
    <xf numFmtId="165" fontId="15" fillId="2" borderId="0" xfId="0" applyNumberFormat="1" applyFont="1" applyFill="1">
      <alignment vertical="top"/>
    </xf>
    <xf numFmtId="0" fontId="24" fillId="2" borderId="0" xfId="0" applyFont="1" applyFill="1">
      <alignment vertical="top"/>
    </xf>
    <xf numFmtId="0" fontId="17" fillId="2" borderId="0" xfId="0" applyFont="1" applyFill="1">
      <alignment vertical="top"/>
    </xf>
    <xf numFmtId="0" fontId="17" fillId="2" borderId="5" xfId="0" applyFont="1" applyFill="1" applyBorder="1">
      <alignment vertical="top"/>
    </xf>
    <xf numFmtId="0" fontId="20" fillId="2" borderId="5" xfId="0" applyFont="1" applyFill="1" applyBorder="1">
      <alignment vertical="top"/>
    </xf>
    <xf numFmtId="0" fontId="17" fillId="6" borderId="0" xfId="0" applyFont="1" applyFill="1">
      <alignment vertical="top"/>
    </xf>
    <xf numFmtId="0" fontId="20" fillId="6" borderId="0" xfId="0" applyFont="1" applyFill="1">
      <alignment vertical="top"/>
    </xf>
    <xf numFmtId="0" fontId="20" fillId="2" borderId="5" xfId="0" applyFont="1" applyFill="1" applyBorder="1" applyAlignment="1">
      <alignment horizontal="right" vertical="top"/>
    </xf>
    <xf numFmtId="0" fontId="17" fillId="2" borderId="0" xfId="0" applyFont="1" applyFill="1" applyAlignment="1">
      <alignment horizontal="right" vertical="top"/>
    </xf>
    <xf numFmtId="0" fontId="17" fillId="2" borderId="0" xfId="0" applyFont="1" applyFill="1" applyAlignment="1">
      <alignment vertical="top"/>
    </xf>
    <xf numFmtId="167" fontId="20" fillId="6" borderId="0" xfId="2" applyNumberFormat="1" applyFont="1" applyFill="1" applyAlignment="1">
      <alignment vertical="top"/>
    </xf>
    <xf numFmtId="167" fontId="17" fillId="2" borderId="0" xfId="2" applyNumberFormat="1" applyFont="1" applyFill="1" applyAlignment="1">
      <alignment vertical="top"/>
    </xf>
    <xf numFmtId="167" fontId="17" fillId="2" borderId="5" xfId="2" applyNumberFormat="1" applyFont="1" applyFill="1" applyBorder="1" applyAlignment="1">
      <alignment vertical="top"/>
    </xf>
    <xf numFmtId="167" fontId="20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0" fontId="15" fillId="7" borderId="0" xfId="0" applyFont="1" applyFill="1" applyAlignment="1">
      <alignment horizontal="right" vertical="top"/>
    </xf>
    <xf numFmtId="9" fontId="15" fillId="7" borderId="0" xfId="3" applyFont="1" applyFill="1" applyAlignment="1">
      <alignment horizontal="right" vertical="top"/>
    </xf>
    <xf numFmtId="9" fontId="15" fillId="7" borderId="0" xfId="3" applyFont="1" applyFill="1" applyAlignment="1">
      <alignment vertical="top"/>
    </xf>
    <xf numFmtId="9" fontId="15" fillId="7" borderId="0" xfId="0" applyNumberFormat="1" applyFont="1" applyFill="1">
      <alignment vertical="top"/>
    </xf>
    <xf numFmtId="0" fontId="15" fillId="7" borderId="0" xfId="0" applyFont="1" applyFill="1">
      <alignment vertical="top"/>
    </xf>
    <xf numFmtId="0" fontId="26" fillId="2" borderId="0" xfId="0" applyFont="1" applyFill="1">
      <alignment vertical="top"/>
    </xf>
    <xf numFmtId="168" fontId="2" fillId="2" borderId="0" xfId="3" applyNumberFormat="1" applyFont="1" applyFill="1" applyAlignment="1">
      <alignment vertical="top"/>
    </xf>
    <xf numFmtId="168" fontId="2" fillId="2" borderId="0" xfId="0" applyNumberFormat="1" applyFont="1" applyFill="1">
      <alignment vertical="top"/>
    </xf>
    <xf numFmtId="168" fontId="2" fillId="2" borderId="0" xfId="0" applyNumberFormat="1" applyFont="1" applyFill="1" applyAlignment="1">
      <alignment horizontal="right" vertical="top"/>
    </xf>
    <xf numFmtId="168" fontId="2" fillId="8" borderId="0" xfId="0" applyNumberFormat="1" applyFont="1" applyFill="1">
      <alignment vertical="top"/>
    </xf>
    <xf numFmtId="164" fontId="10" fillId="2" borderId="0" xfId="0" applyNumberFormat="1" applyFont="1" applyFill="1" applyBorder="1" applyAlignment="1"/>
    <xf numFmtId="0" fontId="10" fillId="4" borderId="0" xfId="0" applyFont="1" applyFill="1" applyBorder="1" applyAlignment="1">
      <alignment horizontal="right" vertical="top" wrapText="1"/>
    </xf>
    <xf numFmtId="9" fontId="29" fillId="2" borderId="0" xfId="3" applyFont="1" applyFill="1" applyAlignment="1">
      <alignment vertical="top"/>
    </xf>
    <xf numFmtId="9" fontId="29" fillId="4" borderId="0" xfId="0" applyNumberFormat="1" applyFont="1" applyFill="1">
      <alignment vertical="top"/>
    </xf>
    <xf numFmtId="169" fontId="2" fillId="2" borderId="0" xfId="1" applyNumberFormat="1" applyFont="1" applyFill="1">
      <alignment vertical="top"/>
    </xf>
    <xf numFmtId="165" fontId="10" fillId="2" borderId="2" xfId="0" applyNumberFormat="1" applyFont="1" applyFill="1" applyBorder="1">
      <alignment vertical="top"/>
    </xf>
    <xf numFmtId="165" fontId="10" fillId="4" borderId="2" xfId="0" applyNumberFormat="1" applyFont="1" applyFill="1" applyBorder="1">
      <alignment vertical="top"/>
    </xf>
    <xf numFmtId="0" fontId="30" fillId="5" borderId="0" xfId="0" applyFont="1" applyFill="1">
      <alignment vertical="top"/>
    </xf>
    <xf numFmtId="9" fontId="2" fillId="0" borderId="0" xfId="3" applyFont="1" applyAlignment="1">
      <alignment vertical="top"/>
    </xf>
    <xf numFmtId="9" fontId="2" fillId="5" borderId="0" xfId="0" applyNumberFormat="1" applyFont="1" applyFill="1" applyAlignment="1">
      <alignment horizontal="right" vertical="top"/>
    </xf>
    <xf numFmtId="9" fontId="10" fillId="2" borderId="2" xfId="0" applyNumberFormat="1" applyFont="1" applyFill="1" applyBorder="1">
      <alignment vertical="top"/>
    </xf>
    <xf numFmtId="9" fontId="2" fillId="6" borderId="0" xfId="3" applyFont="1" applyFill="1" applyAlignment="1">
      <alignment vertical="top"/>
    </xf>
    <xf numFmtId="0" fontId="15" fillId="9" borderId="0" xfId="0" applyFont="1" applyFill="1">
      <alignment vertical="top"/>
    </xf>
    <xf numFmtId="9" fontId="2" fillId="9" borderId="0" xfId="3" applyFont="1" applyFill="1" applyAlignment="1">
      <alignment vertical="top"/>
    </xf>
    <xf numFmtId="9" fontId="15" fillId="9" borderId="0" xfId="3" applyFont="1" applyFill="1" applyAlignment="1">
      <alignment horizontal="right" vertical="top"/>
    </xf>
    <xf numFmtId="0" fontId="15" fillId="9" borderId="0" xfId="0" applyFont="1" applyFill="1" applyAlignment="1">
      <alignment horizontal="right" vertical="top"/>
    </xf>
    <xf numFmtId="9" fontId="15" fillId="9" borderId="0" xfId="0" applyNumberFormat="1" applyFont="1" applyFill="1">
      <alignment vertical="top"/>
    </xf>
    <xf numFmtId="9" fontId="15" fillId="9" borderId="0" xfId="3" applyFont="1" applyFill="1" applyAlignment="1">
      <alignment vertical="top"/>
    </xf>
    <xf numFmtId="9" fontId="2" fillId="4" borderId="0" xfId="3" applyFont="1" applyFill="1" applyAlignment="1">
      <alignment horizontal="right" vertical="top"/>
    </xf>
    <xf numFmtId="165" fontId="17" fillId="4" borderId="2" xfId="0" applyNumberFormat="1" applyFont="1" applyFill="1" applyBorder="1" applyAlignment="1">
      <alignment horizontal="right" vertical="top"/>
    </xf>
    <xf numFmtId="0" fontId="0" fillId="2" borderId="0" xfId="0" applyFill="1" applyAlignment="1"/>
    <xf numFmtId="0" fontId="3" fillId="2" borderId="0" xfId="0" applyFont="1" applyFill="1" applyAlignment="1"/>
    <xf numFmtId="0" fontId="31" fillId="2" borderId="0" xfId="0" applyFont="1" applyFill="1" applyAlignment="1"/>
    <xf numFmtId="0" fontId="32" fillId="3" borderId="0" xfId="0" applyFont="1" applyFill="1" applyAlignment="1"/>
    <xf numFmtId="0" fontId="32" fillId="2" borderId="0" xfId="0" applyFont="1" applyFill="1" applyAlignment="1"/>
    <xf numFmtId="164" fontId="6" fillId="2" borderId="0" xfId="1" applyNumberFormat="1" applyFont="1" applyFill="1" applyAlignment="1"/>
    <xf numFmtId="164" fontId="2" fillId="4" borderId="0" xfId="0" applyNumberFormat="1" applyFont="1" applyFill="1" applyAlignment="1">
      <alignment horizontal="right" vertical="top"/>
    </xf>
    <xf numFmtId="164" fontId="33" fillId="2" borderId="0" xfId="0" applyNumberFormat="1" applyFont="1" applyFill="1" applyAlignment="1"/>
    <xf numFmtId="0" fontId="34" fillId="2" borderId="0" xfId="0" applyFont="1" applyFill="1" applyAlignment="1"/>
    <xf numFmtId="0" fontId="2" fillId="2" borderId="0" xfId="0" applyFont="1" applyFill="1" applyAlignment="1"/>
    <xf numFmtId="0" fontId="15" fillId="5" borderId="0" xfId="0" applyFont="1" applyFill="1" applyAlignment="1"/>
    <xf numFmtId="0" fontId="10" fillId="2" borderId="0" xfId="0" applyFont="1" applyFill="1" applyBorder="1" applyAlignment="1"/>
    <xf numFmtId="169" fontId="6" fillId="2" borderId="0" xfId="1" applyNumberFormat="1" applyFont="1" applyFill="1" applyAlignment="1"/>
    <xf numFmtId="0" fontId="0" fillId="5" borderId="0" xfId="0" applyFill="1" applyAlignment="1"/>
    <xf numFmtId="9" fontId="10" fillId="2" borderId="2" xfId="0" applyNumberFormat="1" applyFont="1" applyFill="1" applyBorder="1" applyAlignment="1">
      <alignment horizontal="right" vertical="top"/>
    </xf>
    <xf numFmtId="9" fontId="0" fillId="5" borderId="0" xfId="0" applyNumberFormat="1" applyFill="1" applyAlignment="1"/>
    <xf numFmtId="9" fontId="0" fillId="5" borderId="0" xfId="3" applyFont="1" applyFill="1" applyAlignment="1"/>
    <xf numFmtId="0" fontId="0" fillId="10" borderId="0" xfId="0" applyFill="1" applyAlignment="1"/>
    <xf numFmtId="0" fontId="2" fillId="2" borderId="0" xfId="0" applyFont="1" applyFill="1" applyAlignment="1">
      <alignment horizontal="left"/>
    </xf>
    <xf numFmtId="169" fontId="2" fillId="0" borderId="0" xfId="1" applyNumberFormat="1" applyFont="1">
      <alignment vertical="top"/>
    </xf>
    <xf numFmtId="43" fontId="2" fillId="4" borderId="0" xfId="1" applyFont="1" applyFill="1">
      <alignment vertical="top"/>
    </xf>
    <xf numFmtId="169" fontId="2" fillId="5" borderId="0" xfId="1" applyNumberFormat="1" applyFont="1" applyFill="1">
      <alignment vertical="top"/>
    </xf>
    <xf numFmtId="169" fontId="10" fillId="2" borderId="2" xfId="1" applyNumberFormat="1" applyFont="1" applyFill="1" applyBorder="1">
      <alignment vertical="top"/>
    </xf>
    <xf numFmtId="43" fontId="10" fillId="4" borderId="2" xfId="1" applyFont="1" applyFill="1" applyBorder="1">
      <alignment vertical="top"/>
    </xf>
    <xf numFmtId="37" fontId="2" fillId="2" borderId="0" xfId="0" applyNumberFormat="1" applyFont="1" applyFill="1">
      <alignment vertical="top"/>
    </xf>
    <xf numFmtId="37" fontId="2" fillId="4" borderId="0" xfId="1" applyNumberFormat="1" applyFont="1" applyFill="1">
      <alignment vertical="top"/>
    </xf>
    <xf numFmtId="169" fontId="15" fillId="5" borderId="0" xfId="1" applyNumberFormat="1" applyFont="1" applyFill="1">
      <alignment vertical="top"/>
    </xf>
    <xf numFmtId="0" fontId="2" fillId="5" borderId="0" xfId="0" applyFont="1" applyFill="1" applyAlignment="1"/>
    <xf numFmtId="0" fontId="35" fillId="2" borderId="0" xfId="0" applyFont="1" applyFill="1" applyAlignment="1"/>
    <xf numFmtId="9" fontId="5" fillId="3" borderId="0" xfId="0" applyNumberFormat="1" applyFont="1" applyFill="1" applyAlignment="1"/>
    <xf numFmtId="9" fontId="6" fillId="2" borderId="0" xfId="0" applyNumberFormat="1" applyFont="1" applyFill="1" applyAlignment="1"/>
    <xf numFmtId="168" fontId="6" fillId="2" borderId="0" xfId="0" applyNumberFormat="1" applyFont="1" applyFill="1" applyAlignment="1"/>
    <xf numFmtId="169" fontId="6" fillId="4" borderId="0" xfId="0" applyNumberFormat="1" applyFont="1" applyFill="1" applyAlignment="1">
      <alignment horizontal="right"/>
    </xf>
    <xf numFmtId="169" fontId="6" fillId="2" borderId="0" xfId="0" applyNumberFormat="1" applyFont="1" applyFill="1" applyAlignment="1"/>
    <xf numFmtId="169" fontId="6" fillId="4" borderId="0" xfId="1" applyNumberFormat="1" applyFont="1" applyFill="1" applyAlignment="1">
      <alignment horizontal="right"/>
    </xf>
    <xf numFmtId="168" fontId="6" fillId="2" borderId="0" xfId="0" applyNumberFormat="1" applyFont="1" applyFill="1" applyAlignment="1">
      <alignment horizontal="right"/>
    </xf>
    <xf numFmtId="168" fontId="6" fillId="4" borderId="0" xfId="0" applyNumberFormat="1" applyFont="1" applyFill="1" applyAlignment="1"/>
    <xf numFmtId="168" fontId="6" fillId="4" borderId="0" xfId="0" applyNumberFormat="1" applyFont="1" applyFill="1" applyAlignment="1">
      <alignment horizontal="right"/>
    </xf>
    <xf numFmtId="0" fontId="36" fillId="2" borderId="0" xfId="0" applyFont="1" applyFill="1" applyAlignment="1"/>
    <xf numFmtId="169" fontId="36" fillId="4" borderId="0" xfId="1" applyNumberFormat="1" applyFont="1" applyFill="1" applyAlignment="1">
      <alignment horizontal="right"/>
    </xf>
    <xf numFmtId="172" fontId="6" fillId="2" borderId="0" xfId="0" applyNumberFormat="1" applyFont="1" applyFill="1" applyAlignment="1"/>
    <xf numFmtId="168" fontId="36" fillId="2" borderId="0" xfId="0" applyNumberFormat="1" applyFont="1" applyFill="1" applyAlignment="1"/>
    <xf numFmtId="1" fontId="2" fillId="2" borderId="0" xfId="0" applyNumberFormat="1" applyFont="1" applyFill="1" applyAlignment="1">
      <alignment horizontal="right"/>
    </xf>
    <xf numFmtId="164" fontId="6" fillId="4" borderId="0" xfId="1" applyNumberFormat="1" applyFont="1" applyFill="1" applyAlignment="1"/>
    <xf numFmtId="0" fontId="6" fillId="4" borderId="0" xfId="0" applyFont="1" applyFill="1" applyAlignment="1"/>
    <xf numFmtId="9" fontId="6" fillId="4" borderId="0" xfId="0" applyNumberFormat="1" applyFont="1" applyFill="1" applyAlignment="1"/>
    <xf numFmtId="43" fontId="6" fillId="4" borderId="0" xfId="0" applyNumberFormat="1" applyFont="1" applyFill="1" applyAlignment="1"/>
    <xf numFmtId="168" fontId="10" fillId="2" borderId="4" xfId="0" applyNumberFormat="1" applyFont="1" applyFill="1" applyBorder="1" applyAlignment="1"/>
    <xf numFmtId="164" fontId="2" fillId="4" borderId="0" xfId="1" applyNumberFormat="1" applyFont="1" applyFill="1">
      <alignment vertical="top"/>
    </xf>
    <xf numFmtId="0" fontId="36" fillId="2" borderId="2" xfId="0" applyFont="1" applyFill="1" applyBorder="1" applyAlignment="1"/>
    <xf numFmtId="164" fontId="36" fillId="2" borderId="2" xfId="1" applyNumberFormat="1" applyFont="1" applyFill="1" applyBorder="1" applyAlignment="1"/>
    <xf numFmtId="164" fontId="10" fillId="4" borderId="2" xfId="1" applyNumberFormat="1" applyFont="1" applyFill="1" applyBorder="1">
      <alignment vertical="top"/>
    </xf>
    <xf numFmtId="164" fontId="36" fillId="2" borderId="2" xfId="0" applyNumberFormat="1" applyFont="1" applyFill="1" applyBorder="1" applyAlignment="1"/>
    <xf numFmtId="170" fontId="0" fillId="2" borderId="0" xfId="0" applyNumberFormat="1" applyFill="1" applyAlignment="1"/>
    <xf numFmtId="0" fontId="30" fillId="8" borderId="0" xfId="0" applyFont="1" applyFill="1" applyAlignment="1"/>
    <xf numFmtId="0" fontId="15" fillId="8" borderId="0" xfId="0" applyFont="1" applyFill="1" applyAlignment="1"/>
    <xf numFmtId="1" fontId="15" fillId="8" borderId="0" xfId="0" applyNumberFormat="1" applyFont="1" applyFill="1" applyAlignment="1"/>
    <xf numFmtId="164" fontId="15" fillId="8" borderId="0" xfId="0" applyNumberFormat="1" applyFont="1" applyFill="1" applyAlignment="1"/>
    <xf numFmtId="164" fontId="10" fillId="4" borderId="3" xfId="1" applyNumberFormat="1" applyFont="1" applyFill="1" applyBorder="1">
      <alignment vertical="top"/>
    </xf>
    <xf numFmtId="0" fontId="29" fillId="2" borderId="0" xfId="0" applyFont="1" applyFill="1">
      <alignment vertical="top"/>
    </xf>
    <xf numFmtId="168" fontId="29" fillId="2" borderId="0" xfId="3" applyNumberFormat="1" applyFont="1" applyFill="1" applyAlignment="1">
      <alignment vertical="top"/>
    </xf>
    <xf numFmtId="168" fontId="29" fillId="4" borderId="0" xfId="1" applyNumberFormat="1" applyFont="1" applyFill="1">
      <alignment vertical="top"/>
    </xf>
    <xf numFmtId="164" fontId="10" fillId="2" borderId="0" xfId="0" applyNumberFormat="1" applyFont="1" applyFill="1">
      <alignment vertical="top"/>
    </xf>
    <xf numFmtId="164" fontId="10" fillId="4" borderId="0" xfId="1" applyNumberFormat="1" applyFont="1" applyFill="1">
      <alignment vertical="top"/>
    </xf>
    <xf numFmtId="173" fontId="2" fillId="2" borderId="0" xfId="0" applyNumberFormat="1" applyFont="1" applyFill="1">
      <alignment vertical="top"/>
    </xf>
    <xf numFmtId="174" fontId="6" fillId="2" borderId="0" xfId="0" applyNumberFormat="1" applyFont="1" applyFill="1" applyAlignment="1"/>
    <xf numFmtId="169" fontId="6" fillId="2" borderId="0" xfId="1" applyNumberFormat="1" applyFont="1" applyFill="1" applyAlignment="1">
      <alignment horizontal="right"/>
    </xf>
    <xf numFmtId="164" fontId="6" fillId="2" borderId="0" xfId="1" applyNumberFormat="1" applyFont="1" applyFill="1" applyAlignment="1">
      <alignment horizontal="right"/>
    </xf>
    <xf numFmtId="171" fontId="10" fillId="2" borderId="6" xfId="0" applyNumberFormat="1" applyFont="1" applyFill="1" applyBorder="1" applyAlignment="1"/>
    <xf numFmtId="164" fontId="10" fillId="2" borderId="6" xfId="0" applyNumberFormat="1" applyFont="1" applyFill="1" applyBorder="1" applyAlignment="1">
      <alignment horizontal="right"/>
    </xf>
    <xf numFmtId="164" fontId="10" fillId="4" borderId="6" xfId="0" applyNumberFormat="1" applyFont="1" applyFill="1" applyBorder="1" applyAlignment="1"/>
    <xf numFmtId="171" fontId="10" fillId="2" borderId="2" xfId="0" applyNumberFormat="1" applyFont="1" applyFill="1" applyBorder="1" applyAlignment="1"/>
    <xf numFmtId="164" fontId="10" fillId="2" borderId="2" xfId="0" applyNumberFormat="1" applyFont="1" applyFill="1" applyBorder="1" applyAlignment="1">
      <alignment horizontal="right"/>
    </xf>
    <xf numFmtId="164" fontId="10" fillId="4" borderId="2" xfId="0" applyNumberFormat="1" applyFont="1" applyFill="1" applyBorder="1" applyAlignment="1"/>
    <xf numFmtId="174" fontId="35" fillId="2" borderId="0" xfId="0" applyNumberFormat="1" applyFont="1" applyFill="1" applyAlignment="1"/>
    <xf numFmtId="174" fontId="2" fillId="2" borderId="0" xfId="0" applyNumberFormat="1" applyFont="1" applyFill="1" applyAlignment="1"/>
    <xf numFmtId="164" fontId="2" fillId="2" borderId="0" xfId="0" applyNumberFormat="1" applyFont="1" applyFill="1" applyAlignment="1">
      <alignment horizontal="right"/>
    </xf>
    <xf numFmtId="164" fontId="2" fillId="4" borderId="0" xfId="0" applyNumberFormat="1" applyFont="1" applyFill="1" applyAlignment="1"/>
    <xf numFmtId="171" fontId="5" fillId="3" borderId="3" xfId="0" applyNumberFormat="1" applyFont="1" applyFill="1" applyBorder="1" applyAlignment="1"/>
    <xf numFmtId="164" fontId="5" fillId="3" borderId="3" xfId="0" applyNumberFormat="1" applyFont="1" applyFill="1" applyBorder="1" applyAlignment="1">
      <alignment horizontal="right"/>
    </xf>
    <xf numFmtId="164" fontId="37" fillId="3" borderId="3" xfId="0" applyNumberFormat="1" applyFont="1" applyFill="1" applyBorder="1" applyAlignment="1">
      <alignment horizontal="right"/>
    </xf>
    <xf numFmtId="164" fontId="5" fillId="3" borderId="3" xfId="0" applyNumberFormat="1" applyFont="1" applyFill="1" applyBorder="1" applyAlignment="1"/>
    <xf numFmtId="169" fontId="5" fillId="3" borderId="3" xfId="0" applyNumberFormat="1" applyFont="1" applyFill="1" applyBorder="1" applyAlignment="1">
      <alignment horizontal="right"/>
    </xf>
    <xf numFmtId="174" fontId="14" fillId="8" borderId="0" xfId="0" applyNumberFormat="1" applyFont="1" applyFill="1" applyAlignment="1"/>
    <xf numFmtId="174" fontId="12" fillId="8" borderId="0" xfId="0" applyNumberFormat="1" applyFont="1" applyFill="1" applyAlignment="1"/>
    <xf numFmtId="43" fontId="0" fillId="2" borderId="0" xfId="0" applyNumberFormat="1" applyFill="1" applyAlignment="1"/>
    <xf numFmtId="0" fontId="36" fillId="11" borderId="0" xfId="0" applyFont="1" applyFill="1" applyAlignment="1"/>
    <xf numFmtId="169" fontId="6" fillId="11" borderId="0" xfId="1" applyNumberFormat="1" applyFont="1" applyFill="1" applyAlignment="1"/>
    <xf numFmtId="0" fontId="6" fillId="11" borderId="0" xfId="0" applyFont="1" applyFill="1" applyAlignment="1"/>
    <xf numFmtId="168" fontId="6" fillId="11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169" fontId="6" fillId="12" borderId="0" xfId="1" applyNumberFormat="1" applyFont="1" applyFill="1" applyAlignment="1">
      <alignment horizontal="right"/>
    </xf>
    <xf numFmtId="43" fontId="1" fillId="13" borderId="0" xfId="1" applyFill="1">
      <alignment vertical="top"/>
    </xf>
    <xf numFmtId="164" fontId="10" fillId="12" borderId="6" xfId="0" applyNumberFormat="1" applyFont="1" applyFill="1" applyBorder="1" applyAlignment="1">
      <alignment horizontal="right"/>
    </xf>
    <xf numFmtId="164" fontId="6" fillId="12" borderId="0" xfId="1" applyNumberFormat="1" applyFont="1" applyFill="1" applyAlignment="1">
      <alignment horizontal="right"/>
    </xf>
    <xf numFmtId="0" fontId="2" fillId="12" borderId="0" xfId="0" applyFont="1" applyFill="1" applyAlignment="1">
      <alignment horizontal="right"/>
    </xf>
    <xf numFmtId="171" fontId="10" fillId="12" borderId="2" xfId="0" applyNumberFormat="1" applyFont="1" applyFill="1" applyBorder="1" applyAlignment="1">
      <alignment horizontal="right"/>
    </xf>
    <xf numFmtId="169" fontId="37" fillId="14" borderId="3" xfId="0" applyNumberFormat="1" applyFont="1" applyFill="1" applyBorder="1" applyAlignment="1">
      <alignment horizontal="right"/>
    </xf>
    <xf numFmtId="169" fontId="2" fillId="12" borderId="0" xfId="0" applyNumberFormat="1" applyFont="1" applyFill="1" applyAlignment="1">
      <alignment horizontal="right"/>
    </xf>
    <xf numFmtId="9" fontId="1" fillId="2" borderId="0" xfId="1" applyNumberFormat="1" applyFill="1">
      <alignment vertical="top"/>
    </xf>
    <xf numFmtId="1" fontId="6" fillId="4" borderId="0" xfId="0" applyNumberFormat="1" applyFont="1" applyFill="1" applyAlignment="1"/>
    <xf numFmtId="37" fontId="1" fillId="2" borderId="0" xfId="1" applyNumberFormat="1" applyFill="1">
      <alignment vertical="top"/>
    </xf>
    <xf numFmtId="171" fontId="24" fillId="2" borderId="0" xfId="0" applyNumberFormat="1" applyFont="1" applyFill="1" applyAlignment="1"/>
    <xf numFmtId="171" fontId="38" fillId="2" borderId="0" xfId="0" applyNumberFormat="1" applyFont="1" applyFill="1" applyAlignment="1"/>
    <xf numFmtId="171" fontId="25" fillId="2" borderId="0" xfId="0" applyNumberFormat="1" applyFont="1" applyFill="1" applyAlignment="1"/>
    <xf numFmtId="9" fontId="39" fillId="15" borderId="7" xfId="0" applyNumberFormat="1" applyFont="1" applyFill="1" applyBorder="1" applyAlignment="1">
      <alignment horizontal="center"/>
    </xf>
    <xf numFmtId="165" fontId="38" fillId="16" borderId="0" xfId="0" applyNumberFormat="1" applyFont="1" applyFill="1" applyAlignment="1"/>
    <xf numFmtId="165" fontId="38" fillId="4" borderId="0" xfId="0" applyNumberFormat="1" applyFont="1" applyFill="1" applyAlignment="1"/>
    <xf numFmtId="171" fontId="38" fillId="4" borderId="0" xfId="0" applyNumberFormat="1" applyFont="1" applyFill="1" applyAlignment="1"/>
    <xf numFmtId="168" fontId="38" fillId="4" borderId="0" xfId="1" applyNumberFormat="1" applyFont="1" applyFill="1" applyAlignment="1"/>
    <xf numFmtId="171" fontId="25" fillId="2" borderId="2" xfId="0" applyNumberFormat="1" applyFont="1" applyFill="1" applyBorder="1" applyAlignment="1"/>
    <xf numFmtId="165" fontId="38" fillId="16" borderId="2" xfId="0" applyNumberFormat="1" applyFont="1" applyFill="1" applyBorder="1" applyAlignment="1"/>
    <xf numFmtId="165" fontId="20" fillId="4" borderId="2" xfId="0" applyNumberFormat="1" applyFont="1" applyFill="1" applyBorder="1" applyAlignment="1"/>
    <xf numFmtId="165" fontId="38" fillId="2" borderId="0" xfId="0" applyNumberFormat="1" applyFont="1" applyFill="1" applyAlignment="1"/>
    <xf numFmtId="171" fontId="25" fillId="2" borderId="6" xfId="0" applyNumberFormat="1" applyFont="1" applyFill="1" applyBorder="1" applyAlignment="1"/>
    <xf numFmtId="165" fontId="25" fillId="2" borderId="6" xfId="0" applyNumberFormat="1" applyFont="1" applyFill="1" applyBorder="1" applyAlignment="1"/>
    <xf numFmtId="171" fontId="38" fillId="2" borderId="0" xfId="0" quotePrefix="1" applyNumberFormat="1" applyFont="1" applyFill="1" applyAlignment="1"/>
    <xf numFmtId="171" fontId="5" fillId="3" borderId="0" xfId="0" applyNumberFormat="1" applyFont="1" applyFill="1" applyAlignment="1"/>
    <xf numFmtId="171" fontId="41" fillId="2" borderId="0" xfId="0" applyNumberFormat="1" applyFont="1" applyFill="1" applyAlignment="1"/>
    <xf numFmtId="165" fontId="41" fillId="2" borderId="0" xfId="0" applyNumberFormat="1" applyFont="1" applyFill="1" applyAlignment="1"/>
    <xf numFmtId="171" fontId="42" fillId="2" borderId="0" xfId="0" applyNumberFormat="1" applyFont="1" applyFill="1" applyAlignment="1"/>
    <xf numFmtId="164" fontId="0" fillId="2" borderId="0" xfId="0" applyNumberFormat="1" applyFill="1">
      <alignment vertical="top"/>
    </xf>
    <xf numFmtId="0" fontId="5" fillId="3" borderId="0" xfId="0" applyFont="1" applyFill="1" applyAlignment="1">
      <alignment horizontal="center" vertical="top"/>
    </xf>
    <xf numFmtId="0" fontId="40" fillId="17" borderId="0" xfId="5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_Project Accel Valuation v56" xfId="5" xr:uid="{8F7E370D-8398-4379-9059-E0529CD468E2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Deliveries!$C$4:$V$4</c:f>
              <c:strCache>
                <c:ptCount val="20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2028
Fcst</c:v>
                </c:pt>
                <c:pt idx="16">
                  <c:v>2029
Fcst</c:v>
                </c:pt>
                <c:pt idx="17">
                  <c:v>2030
Fcst</c:v>
                </c:pt>
                <c:pt idx="18">
                  <c:v>2031
Fcst</c:v>
                </c:pt>
                <c:pt idx="19">
                  <c:v>2032
Fcst</c:v>
                </c:pt>
              </c:strCache>
            </c:strRef>
          </c:cat>
          <c:val>
            <c:numRef>
              <c:f>Deliveries!$C$5:$V$5</c:f>
              <c:numCache>
                <c:formatCode>_(* #,##0_);_(* \(#,##0\);_(* "-"?_);@_)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146055</c:v>
                </c:pt>
                <c:pt idx="5">
                  <c:v>300815</c:v>
                </c:pt>
                <c:pt idx="6">
                  <c:v>420385</c:v>
                </c:pt>
                <c:pt idx="7">
                  <c:v>588539</c:v>
                </c:pt>
                <c:pt idx="8">
                  <c:v>676819.85</c:v>
                </c:pt>
                <c:pt idx="9">
                  <c:v>778342.8274999999</c:v>
                </c:pt>
                <c:pt idx="10">
                  <c:v>840610.2537</c:v>
                </c:pt>
                <c:pt idx="11">
                  <c:v>907859.07399600011</c:v>
                </c:pt>
                <c:pt idx="12">
                  <c:v>935094.84621588013</c:v>
                </c:pt>
                <c:pt idx="13">
                  <c:v>963147.6916023565</c:v>
                </c:pt>
                <c:pt idx="14">
                  <c:v>992042.12235042721</c:v>
                </c:pt>
                <c:pt idx="15">
                  <c:v>1021803.38602094</c:v>
                </c:pt>
                <c:pt idx="16">
                  <c:v>1052457.4876015682</c:v>
                </c:pt>
                <c:pt idx="17">
                  <c:v>1084031.2122296153</c:v>
                </c:pt>
                <c:pt idx="18">
                  <c:v>1116552.1485965038</c:v>
                </c:pt>
                <c:pt idx="19">
                  <c:v>1150048.713054399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B-4F1D-B100-EF471126C44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Deliveries!$C$4:$V$4</c:f>
              <c:strCache>
                <c:ptCount val="20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2028
Fcst</c:v>
                </c:pt>
                <c:pt idx="16">
                  <c:v>2029
Fcst</c:v>
                </c:pt>
                <c:pt idx="17">
                  <c:v>2030
Fcst</c:v>
                </c:pt>
                <c:pt idx="18">
                  <c:v>2031
Fcst</c:v>
                </c:pt>
                <c:pt idx="19">
                  <c:v>2032
Fcst</c:v>
                </c:pt>
              </c:strCache>
            </c:strRef>
          </c:cat>
          <c:val>
            <c:numRef>
              <c:f>Deliveries!$C$6:$V$6</c:f>
              <c:numCache>
                <c:formatCode>_(* #,##0_);_(* \(#,##0\);_(* "-"?_);@_)</c:formatCode>
                <c:ptCount val="20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98865</c:v>
                </c:pt>
                <c:pt idx="5">
                  <c:v>66385</c:v>
                </c:pt>
                <c:pt idx="6">
                  <c:v>57039</c:v>
                </c:pt>
                <c:pt idx="7">
                  <c:v>58750.17</c:v>
                </c:pt>
                <c:pt idx="8">
                  <c:v>60512.6751</c:v>
                </c:pt>
                <c:pt idx="9">
                  <c:v>62328.055353000003</c:v>
                </c:pt>
                <c:pt idx="10">
                  <c:v>64197.897013590002</c:v>
                </c:pt>
                <c:pt idx="11">
                  <c:v>66123.833923997707</c:v>
                </c:pt>
                <c:pt idx="12">
                  <c:v>68107.548941717643</c:v>
                </c:pt>
                <c:pt idx="13">
                  <c:v>70150.775409969181</c:v>
                </c:pt>
                <c:pt idx="14">
                  <c:v>72255.298672268254</c:v>
                </c:pt>
                <c:pt idx="15">
                  <c:v>74422.957632436301</c:v>
                </c:pt>
                <c:pt idx="16">
                  <c:v>76655.646361409395</c:v>
                </c:pt>
                <c:pt idx="17">
                  <c:v>78955.315752251685</c:v>
                </c:pt>
                <c:pt idx="18">
                  <c:v>81323.975224819238</c:v>
                </c:pt>
                <c:pt idx="19">
                  <c:v>83763.694481563813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B-4F1D-B100-EF471126C44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Deliveries!$C$4:$V$4</c:f>
              <c:strCache>
                <c:ptCount val="20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2028
Fcst</c:v>
                </c:pt>
                <c:pt idx="16">
                  <c:v>2029
Fcst</c:v>
                </c:pt>
                <c:pt idx="17">
                  <c:v>2030
Fcst</c:v>
                </c:pt>
                <c:pt idx="18">
                  <c:v>2031
Fcst</c:v>
                </c:pt>
                <c:pt idx="19">
                  <c:v>2032
Fcst</c:v>
                </c:pt>
              </c:strCache>
            </c:strRef>
          </c:cat>
          <c:val>
            <c:numRef>
              <c:f>Deliveries!$C$7:$V$7</c:f>
              <c:numCache>
                <c:formatCode>_(* #,##0_);_(* \(#,##0\);_(* "-"?_);@_)</c:formatCode>
                <c:ptCount val="20"/>
                <c:pt idx="6">
                  <c:v>4425</c:v>
                </c:pt>
                <c:pt idx="7">
                  <c:v>26550</c:v>
                </c:pt>
                <c:pt idx="8">
                  <c:v>54682.402177261996</c:v>
                </c:pt>
                <c:pt idx="9">
                  <c:v>76417.936736161035</c:v>
                </c:pt>
                <c:pt idx="10">
                  <c:v>106985.11143062545</c:v>
                </c:pt>
                <c:pt idx="11">
                  <c:v>123032.87814521925</c:v>
                </c:pt>
                <c:pt idx="12">
                  <c:v>132875.50839683678</c:v>
                </c:pt>
                <c:pt idx="13">
                  <c:v>143505.54906858373</c:v>
                </c:pt>
                <c:pt idx="14">
                  <c:v>147810.71554064125</c:v>
                </c:pt>
                <c:pt idx="15">
                  <c:v>152245.03700686048</c:v>
                </c:pt>
                <c:pt idx="16">
                  <c:v>156812.38811706629</c:v>
                </c:pt>
                <c:pt idx="17">
                  <c:v>161516.75976057828</c:v>
                </c:pt>
                <c:pt idx="18">
                  <c:v>166362.26255339565</c:v>
                </c:pt>
                <c:pt idx="19">
                  <c:v>171353.13042999752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B-4F1D-B100-EF471126C44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Deliveries!$C$4:$V$4</c:f>
              <c:strCache>
                <c:ptCount val="20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2028
Fcst</c:v>
                </c:pt>
                <c:pt idx="16">
                  <c:v>2029
Fcst</c:v>
                </c:pt>
                <c:pt idx="17">
                  <c:v>2030
Fcst</c:v>
                </c:pt>
                <c:pt idx="18">
                  <c:v>2031
Fcst</c:v>
                </c:pt>
                <c:pt idx="19">
                  <c:v>2032
Fcst</c:v>
                </c:pt>
              </c:strCache>
            </c:strRef>
          </c:cat>
          <c:val>
            <c:numRef>
              <c:f>Deliveries!$C$8:$V$8</c:f>
              <c:numCache>
                <c:formatCode>_(* #,##0_);_(* \(#,##0\);_(* "-"?_);@_)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22500</c:v>
                </c:pt>
                <c:pt idx="12">
                  <c:v>25874.999999999996</c:v>
                </c:pt>
                <c:pt idx="13">
                  <c:v>29756.249999999993</c:v>
                </c:pt>
                <c:pt idx="14">
                  <c:v>32136.749999999993</c:v>
                </c:pt>
                <c:pt idx="15">
                  <c:v>34707.689999999995</c:v>
                </c:pt>
                <c:pt idx="16">
                  <c:v>35748.920699999995</c:v>
                </c:pt>
                <c:pt idx="17">
                  <c:v>36821.388320999999</c:v>
                </c:pt>
                <c:pt idx="18">
                  <c:v>37926.029970629999</c:v>
                </c:pt>
                <c:pt idx="19">
                  <c:v>39063.810869748901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B-4F1D-B100-EF471126C44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Cybertruck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Deliveries!$C$4:$V$4</c:f>
              <c:strCache>
                <c:ptCount val="20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2028
Fcst</c:v>
                </c:pt>
                <c:pt idx="16">
                  <c:v>2029
Fcst</c:v>
                </c:pt>
                <c:pt idx="17">
                  <c:v>2030
Fcst</c:v>
                </c:pt>
                <c:pt idx="18">
                  <c:v>2031
Fcst</c:v>
                </c:pt>
                <c:pt idx="19">
                  <c:v>2032
Fcst</c:v>
                </c:pt>
              </c:strCache>
            </c:strRef>
          </c:cat>
          <c:val>
            <c:numRef>
              <c:f>Deliveries!$C$9:$V$9</c:f>
              <c:numCache>
                <c:formatCode>_(* #,##0_);_(* \(#,##0\);_(* "-"?_);@_)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15000</c:v>
                </c:pt>
                <c:pt idx="9">
                  <c:v>90000</c:v>
                </c:pt>
                <c:pt idx="10">
                  <c:v>135000</c:v>
                </c:pt>
                <c:pt idx="11">
                  <c:v>202500</c:v>
                </c:pt>
                <c:pt idx="12">
                  <c:v>232874.99999999997</c:v>
                </c:pt>
                <c:pt idx="13">
                  <c:v>267806.24999999994</c:v>
                </c:pt>
                <c:pt idx="14">
                  <c:v>289230.74999999994</c:v>
                </c:pt>
                <c:pt idx="15">
                  <c:v>312369.20999999996</c:v>
                </c:pt>
                <c:pt idx="16">
                  <c:v>321740.28629999998</c:v>
                </c:pt>
                <c:pt idx="17">
                  <c:v>331392.49488899997</c:v>
                </c:pt>
                <c:pt idx="18">
                  <c:v>341334.26973566995</c:v>
                </c:pt>
                <c:pt idx="19">
                  <c:v>351574.29782774008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B-4F1D-B100-EF471126C447}"/>
            </c:ext>
          </c:extLst>
        </c:ser>
        <c:ser>
          <c:idx val="6"/>
          <c:order val="6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Deliveries!$C$4:$V$4</c:f>
              <c:strCache>
                <c:ptCount val="20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2028
Fcst</c:v>
                </c:pt>
                <c:pt idx="16">
                  <c:v>2029
Fcst</c:v>
                </c:pt>
                <c:pt idx="17">
                  <c:v>2030
Fcst</c:v>
                </c:pt>
                <c:pt idx="18">
                  <c:v>2031
Fcst</c:v>
                </c:pt>
                <c:pt idx="19">
                  <c:v>2032
Fcst</c:v>
                </c:pt>
              </c:strCache>
            </c:strRef>
          </c:cat>
          <c:val>
            <c:numRef>
              <c:f>Deliveries!$C$10:$V$10</c:f>
              <c:numCache>
                <c:formatCode>_(* #,##0_);_(* \(#,##0\);_(* "-"?_);@_)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1000</c:v>
                </c:pt>
                <c:pt idx="9">
                  <c:v>50080</c:v>
                </c:pt>
                <c:pt idx="10">
                  <c:v>103144.80983191264</c:v>
                </c:pt>
                <c:pt idx="11">
                  <c:v>144143.51306014857</c:v>
                </c:pt>
                <c:pt idx="12">
                  <c:v>201800.91828420799</c:v>
                </c:pt>
                <c:pt idx="13">
                  <c:v>232071.05602683916</c:v>
                </c:pt>
                <c:pt idx="14">
                  <c:v>266881.71443086502</c:v>
                </c:pt>
                <c:pt idx="15">
                  <c:v>288232.25158533425</c:v>
                </c:pt>
                <c:pt idx="16">
                  <c:v>311290.83171216102</c:v>
                </c:pt>
                <c:pt idx="17">
                  <c:v>320629.55666352587</c:v>
                </c:pt>
                <c:pt idx="18">
                  <c:v>330248.44336343167</c:v>
                </c:pt>
                <c:pt idx="19">
                  <c:v>340155.89666433464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BB-4F1D-B100-EF471126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37613240"/>
        <c:axId val="133761388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Deliveries!#REF!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Deliveries!$C$4:$V$4</c15:sqref>
                        </c15:formulaRef>
                      </c:ext>
                    </c:extLst>
                    <c:strCache>
                      <c:ptCount val="20"/>
                      <c:pt idx="0">
                        <c:v>2014
Act</c:v>
                      </c:pt>
                      <c:pt idx="1">
                        <c:v>2015
Act</c:v>
                      </c:pt>
                      <c:pt idx="2">
                        <c:v>2016
Act</c:v>
                      </c:pt>
                      <c:pt idx="3">
                        <c:v>2017
Act</c:v>
                      </c:pt>
                      <c:pt idx="4">
                        <c:v>2018
Act</c:v>
                      </c:pt>
                      <c:pt idx="5">
                        <c:v>2019
Fcst</c:v>
                      </c:pt>
                      <c:pt idx="6">
                        <c:v>2020
Fcst</c:v>
                      </c:pt>
                      <c:pt idx="7">
                        <c:v>2021
Fcst</c:v>
                      </c:pt>
                      <c:pt idx="8">
                        <c:v>2022
Fcst</c:v>
                      </c:pt>
                      <c:pt idx="9">
                        <c:v>2023
Fcst</c:v>
                      </c:pt>
                      <c:pt idx="10">
                        <c:v>2024
Fcst</c:v>
                      </c:pt>
                      <c:pt idx="11">
                        <c:v>2025
Fcst</c:v>
                      </c:pt>
                      <c:pt idx="12">
                        <c:v>2026
Fcst</c:v>
                      </c:pt>
                      <c:pt idx="13">
                        <c:v>2027
Fcst</c:v>
                      </c:pt>
                      <c:pt idx="14">
                        <c:v>2028
Fcst</c:v>
                      </c:pt>
                      <c:pt idx="15">
                        <c:v>2028
Fcst</c:v>
                      </c:pt>
                      <c:pt idx="16">
                        <c:v>2029
Fcst</c:v>
                      </c:pt>
                      <c:pt idx="17">
                        <c:v>2030
Fcst</c:v>
                      </c:pt>
                      <c:pt idx="18">
                        <c:v>2031
Fcst</c:v>
                      </c:pt>
                      <c:pt idx="19">
                        <c:v>2032
Fcst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Deliveries!#REF!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ABB-4F1D-B100-EF471126C447}"/>
                  </c:ext>
                </c:extLst>
              </c15:ser>
            </c15:filteredBarSeries>
          </c:ext>
        </c:extLst>
      </c:barChart>
      <c:catAx>
        <c:axId val="133761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13880"/>
        <c:crosses val="autoZero"/>
        <c:auto val="1"/>
        <c:lblAlgn val="ctr"/>
        <c:lblOffset val="100"/>
        <c:noMultiLvlLbl val="0"/>
      </c:catAx>
      <c:valAx>
        <c:axId val="13376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13240"/>
        <c:crosses val="autoZero"/>
        <c:crossBetween val="between"/>
        <c:majorUnit val="500000"/>
        <c:min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'Revenue and GP Auto'!$A$4:$B$4</c:f>
              <c:strCache>
                <c:ptCount val="2"/>
                <c:pt idx="1">
                  <c:v>Revenue automotive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'Revenue and GP Auto'!$C$3:$U$3</c:f>
              <c:strCache>
                <c:ptCount val="19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Act</c:v>
                </c:pt>
                <c:pt idx="6">
                  <c:v>2020
Act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2029
Fcst</c:v>
                </c:pt>
                <c:pt idx="16">
                  <c:v>2030
Fcst</c:v>
                </c:pt>
                <c:pt idx="17">
                  <c:v>2031
Fcst</c:v>
                </c:pt>
                <c:pt idx="18">
                  <c:v>2032
Fcst</c:v>
                </c:pt>
              </c:strCache>
            </c:strRef>
          </c:cat>
          <c:val>
            <c:numRef>
              <c:f>'Revenue and GP Auto'!$C$4:$U$4</c:f>
              <c:numCache>
                <c:formatCode>_(* #,##0_);_(* \(#,##0\);_(* "-"?_);@_)</c:formatCode>
                <c:ptCount val="19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18514.983</c:v>
                </c:pt>
                <c:pt idx="5">
                  <c:v>20821</c:v>
                </c:pt>
                <c:pt idx="6">
                  <c:v>27236</c:v>
                </c:pt>
                <c:pt idx="7">
                  <c:v>40278.231410603497</c:v>
                </c:pt>
                <c:pt idx="8">
                  <c:v>49308.231384654842</c:v>
                </c:pt>
                <c:pt idx="9">
                  <c:v>70833.574692548704</c:v>
                </c:pt>
                <c:pt idx="10">
                  <c:v>89669.871483226161</c:v>
                </c:pt>
                <c:pt idx="11">
                  <c:v>107644.01104791567</c:v>
                </c:pt>
                <c:pt idx="12">
                  <c:v>122843.1973833204</c:v>
                </c:pt>
                <c:pt idx="13">
                  <c:v>133641.66994109031</c:v>
                </c:pt>
                <c:pt idx="14">
                  <c:v>143760.9691631679</c:v>
                </c:pt>
                <c:pt idx="15">
                  <c:v>151685.93161140842</c:v>
                </c:pt>
                <c:pt idx="16">
                  <c:v>158808.98240514979</c:v>
                </c:pt>
                <c:pt idx="17">
                  <c:v>163573.25187730431</c:v>
                </c:pt>
                <c:pt idx="18">
                  <c:v>168480.44943362343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8-4BAA-A2FB-D27179E6FCFF}"/>
            </c:ext>
          </c:extLst>
        </c:ser>
        <c:ser>
          <c:idx val="1"/>
          <c:order val="1"/>
          <c:tx>
            <c:strRef>
              <c:f>'Revenue and GP Auto'!$A$5:$B$5</c:f>
              <c:strCache>
                <c:ptCount val="2"/>
                <c:pt idx="1">
                  <c:v>Gross Profit automotive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'Revenue and GP Auto'!$C$3:$U$3</c:f>
              <c:strCache>
                <c:ptCount val="19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Act</c:v>
                </c:pt>
                <c:pt idx="6">
                  <c:v>2020
Act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2029
Fcst</c:v>
                </c:pt>
                <c:pt idx="16">
                  <c:v>2030
Fcst</c:v>
                </c:pt>
                <c:pt idx="17">
                  <c:v>2031
Fcst</c:v>
                </c:pt>
                <c:pt idx="18">
                  <c:v>2032
Fcst</c:v>
                </c:pt>
              </c:strCache>
            </c:strRef>
          </c:cat>
          <c:val>
            <c:numRef>
              <c:f>'Revenue and GP Auto'!$C$5:$U$5</c:f>
              <c:numCache>
                <c:formatCode>_(* #,##0_);_(* \(#,##0\);_(* "-"?_);@_)</c:formatCode>
                <c:ptCount val="19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4340.9859999999999</c:v>
                </c:pt>
                <c:pt idx="5">
                  <c:v>4423</c:v>
                </c:pt>
                <c:pt idx="6">
                  <c:v>6977</c:v>
                </c:pt>
                <c:pt idx="7">
                  <c:v>9677.4808327766495</c:v>
                </c:pt>
                <c:pt idx="8">
                  <c:v>11941.916122239845</c:v>
                </c:pt>
                <c:pt idx="9">
                  <c:v>16850.754168707739</c:v>
                </c:pt>
                <c:pt idx="10">
                  <c:v>21173.719208554798</c:v>
                </c:pt>
                <c:pt idx="11">
                  <c:v>25428.36184739117</c:v>
                </c:pt>
                <c:pt idx="12">
                  <c:v>28913.037538128425</c:v>
                </c:pt>
                <c:pt idx="13">
                  <c:v>31434.969188381849</c:v>
                </c:pt>
                <c:pt idx="14">
                  <c:v>33779.63113689312</c:v>
                </c:pt>
                <c:pt idx="15">
                  <c:v>35643.710204638162</c:v>
                </c:pt>
                <c:pt idx="16">
                  <c:v>37284.110482455908</c:v>
                </c:pt>
                <c:pt idx="17">
                  <c:v>38402.633796929593</c:v>
                </c:pt>
                <c:pt idx="18">
                  <c:v>39554.712810837482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8-4BAA-A2FB-D27179E6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14744"/>
        <c:axId val="906315704"/>
      </c:areaChart>
      <c:lineChart>
        <c:grouping val="standard"/>
        <c:varyColors val="0"/>
        <c:ser>
          <c:idx val="2"/>
          <c:order val="2"/>
          <c:tx>
            <c:strRef>
              <c:f>'Revenue and GP Auto'!$A$6:$B$6</c:f>
              <c:strCache>
                <c:ptCount val="2"/>
                <c:pt idx="1">
                  <c:v>GP%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'Revenue and GP Auto'!$C$3:$U$3</c:f>
              <c:strCache>
                <c:ptCount val="19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Act</c:v>
                </c:pt>
                <c:pt idx="5">
                  <c:v>2019
Act</c:v>
                </c:pt>
                <c:pt idx="6">
                  <c:v>2020
Act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  <c:pt idx="15">
                  <c:v>2029
Fcst</c:v>
                </c:pt>
                <c:pt idx="16">
                  <c:v>2030
Fcst</c:v>
                </c:pt>
                <c:pt idx="17">
                  <c:v>2031
Fcst</c:v>
                </c:pt>
                <c:pt idx="18">
                  <c:v>2032
Fcst</c:v>
                </c:pt>
              </c:strCache>
            </c:strRef>
          </c:cat>
          <c:val>
            <c:numRef>
              <c:f>'Revenue and GP Auto'!$C$6:$U$6</c:f>
              <c:numCache>
                <c:formatCode>0%</c:formatCode>
                <c:ptCount val="19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0.23445800625363791</c:v>
                </c:pt>
                <c:pt idx="5">
                  <c:v>0.21242975841698286</c:v>
                </c:pt>
                <c:pt idx="6">
                  <c:v>0.25616830665295931</c:v>
                </c:pt>
                <c:pt idx="7">
                  <c:v>0.24026578362199369</c:v>
                </c:pt>
                <c:pt idx="8">
                  <c:v>0.24218909879530329</c:v>
                </c:pt>
                <c:pt idx="9">
                  <c:v>0.23789218942920784</c:v>
                </c:pt>
                <c:pt idx="10">
                  <c:v>0.23612969282013077</c:v>
                </c:pt>
                <c:pt idx="11">
                  <c:v>0.23622644306771717</c:v>
                </c:pt>
                <c:pt idx="12">
                  <c:v>0.23536539388427077</c:v>
                </c:pt>
                <c:pt idx="13">
                  <c:v>0.23521832076955104</c:v>
                </c:pt>
                <c:pt idx="14">
                  <c:v>0.23497080837395737</c:v>
                </c:pt>
                <c:pt idx="15">
                  <c:v>0.23498362587738736</c:v>
                </c:pt>
                <c:pt idx="16">
                  <c:v>0.23477331016036329</c:v>
                </c:pt>
                <c:pt idx="17">
                  <c:v>0.23477331016036329</c:v>
                </c:pt>
                <c:pt idx="18">
                  <c:v>0.23477331016036332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8-4BAA-A2FB-D27179E6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38480"/>
        <c:axId val="470333040"/>
      </c:lineChart>
      <c:catAx>
        <c:axId val="90631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5704"/>
        <c:crosses val="autoZero"/>
        <c:auto val="1"/>
        <c:lblAlgn val="ctr"/>
        <c:lblOffset val="100"/>
        <c:noMultiLvlLbl val="0"/>
      </c:catAx>
      <c:valAx>
        <c:axId val="90631570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4744"/>
        <c:crosses val="autoZero"/>
        <c:crossBetween val="between"/>
      </c:valAx>
      <c:valAx>
        <c:axId val="4703330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38480"/>
        <c:crosses val="max"/>
        <c:crossBetween val="between"/>
      </c:valAx>
      <c:catAx>
        <c:axId val="47033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33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287486</xdr:colOff>
      <xdr:row>2</xdr:row>
      <xdr:rowOff>56198</xdr:rowOff>
    </xdr:from>
    <xdr:to>
      <xdr:col>8</xdr:col>
      <xdr:colOff>664715</xdr:colOff>
      <xdr:row>13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3916E-0F3A-424B-B765-DC8A1891D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3086" y="399098"/>
          <a:ext cx="4368204" cy="1648778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1</xdr:row>
      <xdr:rowOff>104776</xdr:rowOff>
    </xdr:from>
    <xdr:to>
      <xdr:col>16</xdr:col>
      <xdr:colOff>648877</xdr:colOff>
      <xdr:row>22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6AFBE-91C5-411F-B8E4-39CD4A55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295276"/>
          <a:ext cx="6097177" cy="32385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285749</xdr:colOff>
      <xdr:row>13</xdr:row>
      <xdr:rowOff>48090</xdr:rowOff>
    </xdr:from>
    <xdr:to>
      <xdr:col>8</xdr:col>
      <xdr:colOff>246285</xdr:colOff>
      <xdr:row>31</xdr:row>
      <xdr:rowOff>84763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09D801-E53F-453F-9DC6-0EBFA830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1349" y="2086440"/>
          <a:ext cx="3951511" cy="2779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85726</xdr:rowOff>
    </xdr:from>
    <xdr:to>
      <xdr:col>20</xdr:col>
      <xdr:colOff>419100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FF03C-72DC-4B06-B0A4-3E52D1306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514349</xdr:colOff>
      <xdr:row>0</xdr:row>
      <xdr:rowOff>85725</xdr:rowOff>
    </xdr:from>
    <xdr:to>
      <xdr:col>7</xdr:col>
      <xdr:colOff>390524</xdr:colOff>
      <xdr:row>2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C4CA15-613C-458E-89F6-FCAE519C6EB3}"/>
            </a:ext>
          </a:extLst>
        </xdr:cNvPr>
        <xdr:cNvSpPr txBox="1"/>
      </xdr:nvSpPr>
      <xdr:spPr>
        <a:xfrm>
          <a:off x="514349" y="85725"/>
          <a:ext cx="44100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Tesla vehicle deliveries 2014-2028 (actuals and forecasts)</a:t>
          </a:r>
          <a:endParaRPr lang="en-US" sz="1400" b="1">
            <a:solidFill>
              <a:srgbClr val="00206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85724</xdr:rowOff>
    </xdr:from>
    <xdr:to>
      <xdr:col>13</xdr:col>
      <xdr:colOff>495301</xdr:colOff>
      <xdr:row>35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E90B4-9C06-48E8-8973-C3C8744E1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7</xdr:row>
      <xdr:rowOff>104775</xdr:rowOff>
    </xdr:from>
    <xdr:to>
      <xdr:col>3</xdr:col>
      <xdr:colOff>180975</xdr:colOff>
      <xdr:row>9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5BE290-52F9-4A70-8F26-2839F7A85914}"/>
            </a:ext>
          </a:extLst>
        </xdr:cNvPr>
        <xdr:cNvSpPr txBox="1"/>
      </xdr:nvSpPr>
      <xdr:spPr>
        <a:xfrm>
          <a:off x="85725" y="1390650"/>
          <a:ext cx="3924300" cy="333375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Revenue and Gross Profit automotive</a:t>
          </a:r>
          <a:endParaRPr lang="en-US" sz="1200" b="1">
            <a:solidFill>
              <a:srgbClr val="00206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b0139f93b020088/Desktop/Beginner%20to%20Pro%20in%20Excel/13.%20Tesla%20valuation/204/22.DCF-af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b0139f93b020088/Desktop/Beginner%20to%20Pro%20in%20Excel/13.%20Tesla%20valuation/203/21.WACC-af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b0139f93b020088/Desktop/Beginner%20to%20Pro%20in%20Excel/13.%20Tesla%20valuation/205/23.EV-Equity-value-Price-per-share-af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rivers"/>
      <sheetName val="Input --&gt;"/>
      <sheetName val="P&amp;L Input"/>
      <sheetName val="Balance Sheet Input"/>
      <sheetName val="Workings --&gt;"/>
      <sheetName val="Income Statement items"/>
      <sheetName val="Automotive"/>
      <sheetName val="Deliveries"/>
      <sheetName val="Deliveries development"/>
      <sheetName val="Deliveries comparables"/>
      <sheetName val="Revenue automotive"/>
      <sheetName val="GP% automotive"/>
      <sheetName val="GP automotive"/>
      <sheetName val="Cost of sales automotive"/>
      <sheetName val="Revenue &amp; GP autom"/>
      <sheetName val="Energy &amp; Other"/>
      <sheetName val="Revenue Energy &amp; Other"/>
      <sheetName val="GP Energy &amp; Other"/>
      <sheetName val="Cost of sales Energy &amp; Other"/>
      <sheetName val="Operating expenses"/>
      <sheetName val="Opex comparables"/>
      <sheetName val="Opex"/>
      <sheetName val="Balance Sheet --&gt;"/>
      <sheetName val="PP&amp;E --&gt;"/>
      <sheetName val="PP&amp;E"/>
      <sheetName val="PP&amp;E Comparables"/>
      <sheetName val="Working Capital --&gt; "/>
      <sheetName val="WC comparables"/>
      <sheetName val="Working capital"/>
      <sheetName val="WC development"/>
      <sheetName val="Financing --&gt;"/>
      <sheetName val="Financing"/>
      <sheetName val="WACC"/>
      <sheetName val="Output --&gt;"/>
      <sheetName val="P&amp;L"/>
      <sheetName val="Balance Sheet"/>
      <sheetName val="Cash Flow"/>
      <sheetName val="DCF"/>
    </sheetNames>
    <sheetDataSet>
      <sheetData sheetId="0" refreshError="1"/>
      <sheetData sheetId="1" refreshError="1"/>
      <sheetData sheetId="2" refreshError="1"/>
      <sheetData sheetId="3" refreshError="1">
        <row r="17">
          <cell r="B17" t="str">
            <v>Interest expense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rivers"/>
      <sheetName val="Input --&gt;"/>
      <sheetName val="P&amp;L Input"/>
      <sheetName val="Balance Sheet Input"/>
      <sheetName val="Sheet1"/>
      <sheetName val="Sheet2"/>
      <sheetName val="Sheet3"/>
      <sheetName val="Sheet5"/>
      <sheetName val="Workings --&gt;"/>
      <sheetName val="Income Statement items"/>
      <sheetName val="Automotive"/>
      <sheetName val="Deliveries"/>
      <sheetName val="Deliveries development"/>
      <sheetName val="Deliveries comparables"/>
      <sheetName val="Revenue automotive"/>
      <sheetName val="GP% automotive"/>
      <sheetName val="GP automotive"/>
      <sheetName val="Cost of sales automotive"/>
      <sheetName val="Revenue &amp; GP autom"/>
      <sheetName val="Energy &amp; Other"/>
      <sheetName val="Revenue Energy &amp; Other"/>
      <sheetName val="GP Energy &amp; Other"/>
      <sheetName val="Cost of sales Energy &amp; Other"/>
      <sheetName val="Operating expenses"/>
      <sheetName val="Opex comparables"/>
      <sheetName val="Opex"/>
      <sheetName val="Balance Sheet --&gt;"/>
      <sheetName val="PP&amp;E --&gt;"/>
      <sheetName val="PP&amp;E"/>
      <sheetName val="PP&amp;E Comparables"/>
      <sheetName val="Working Capital --&gt; "/>
      <sheetName val="WC comparables"/>
      <sheetName val="Working capital"/>
      <sheetName val="WC development"/>
      <sheetName val="Financing --&gt;"/>
      <sheetName val="Financing"/>
      <sheetName val="WACC"/>
      <sheetName val="Output --&gt;"/>
      <sheetName val="P&amp;L"/>
      <sheetName val="Balance Sheet"/>
      <sheetName val="Cash Flow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/>
      <sheetData sheetId="37" refreshError="1"/>
      <sheetData sheetId="38" refreshError="1"/>
      <sheetData sheetId="39"/>
      <sheetData sheetId="40">
        <row r="5">
          <cell r="C5">
            <v>1905.713</v>
          </cell>
          <cell r="E5">
            <v>3393.2159999999999</v>
          </cell>
          <cell r="F5">
            <v>3367.9140000000002</v>
          </cell>
          <cell r="G5">
            <v>2236.424</v>
          </cell>
          <cell r="H5">
            <v>3677.7759600679965</v>
          </cell>
          <cell r="I5">
            <v>3163.2568338492274</v>
          </cell>
          <cell r="J5">
            <v>11667.264336716644</v>
          </cell>
          <cell r="K5">
            <v>18947.851083949616</v>
          </cell>
          <cell r="L5">
            <v>28262.939231095705</v>
          </cell>
          <cell r="M5">
            <v>30450.419391932046</v>
          </cell>
          <cell r="N5">
            <v>32947.188877999128</v>
          </cell>
          <cell r="O5">
            <v>33805.603247050683</v>
          </cell>
          <cell r="P5">
            <v>34726.660457222271</v>
          </cell>
          <cell r="Q5">
            <v>34714.061716686119</v>
          </cell>
          <cell r="R5">
            <v>34686.568058116296</v>
          </cell>
          <cell r="T5" t="str">
            <v>Cash flow sheet</v>
          </cell>
        </row>
      </sheetData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rivers"/>
      <sheetName val="Input --&gt;"/>
      <sheetName val="P&amp;L Input"/>
      <sheetName val="Balance Sheet Input"/>
      <sheetName val="Workings --&gt;"/>
      <sheetName val="Income Statement items"/>
      <sheetName val="Automotive"/>
      <sheetName val="Deliveries"/>
      <sheetName val="Deliveries development"/>
      <sheetName val="Deliveries comparables"/>
      <sheetName val="Revenue automotive"/>
      <sheetName val="GP% automotive"/>
      <sheetName val="GP automotive"/>
      <sheetName val="Cost of sales automotive"/>
      <sheetName val="Revenue &amp; GP autom"/>
      <sheetName val="Energy &amp; Other"/>
      <sheetName val="Revenue Energy &amp; Other"/>
      <sheetName val="GP Energy &amp; Other"/>
      <sheetName val="Cost of sales Energy &amp; Other"/>
      <sheetName val="Operating expenses"/>
      <sheetName val="Opex comparables"/>
      <sheetName val="Opex"/>
      <sheetName val="Balance Sheet --&gt;"/>
      <sheetName val="PP&amp;E --&gt;"/>
      <sheetName val="PP&amp;E"/>
      <sheetName val="PP&amp;E Comparables"/>
      <sheetName val="Working Capital --&gt; "/>
      <sheetName val="WC comparables"/>
      <sheetName val="Working capital"/>
      <sheetName val="WC development"/>
      <sheetName val="Financing --&gt;"/>
      <sheetName val="Financing"/>
      <sheetName val="WACC"/>
      <sheetName val="Output --&gt;"/>
      <sheetName val="P&amp;L"/>
      <sheetName val="Balance Sheet"/>
      <sheetName val="Cash Flow"/>
      <sheetName val="DCF"/>
    </sheetNames>
    <sheetDataSet>
      <sheetData sheetId="0"/>
      <sheetData sheetId="1">
        <row r="13">
          <cell r="C13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ir.tesla.com/press" TargetMode="External"/><Relationship Id="rId1" Type="http://schemas.openxmlformats.org/officeDocument/2006/relationships/hyperlink" Target="https://insideev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B11" sqref="B11"/>
    </sheetView>
  </sheetViews>
  <sheetFormatPr defaultColWidth="9.1328125" defaultRowHeight="12.75" x14ac:dyDescent="0.35"/>
  <cols>
    <col min="1" max="1" width="2" style="1" customWidth="1"/>
    <col min="2" max="16384" width="9.1328125" style="1"/>
  </cols>
  <sheetData>
    <row r="9" spans="2:3" ht="50.25" x14ac:dyDescent="0.35">
      <c r="B9" s="5" t="s">
        <v>8</v>
      </c>
      <c r="C9" s="12"/>
    </row>
    <row r="10" spans="2:3" ht="50.25" x14ac:dyDescent="0.35">
      <c r="B10" s="5" t="s">
        <v>15</v>
      </c>
      <c r="C10" s="1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46A3-49A7-4459-B38A-60C8BA4B6715}">
  <dimension ref="A1"/>
  <sheetViews>
    <sheetView workbookViewId="0">
      <selection activeCell="L43" sqref="L43"/>
    </sheetView>
  </sheetViews>
  <sheetFormatPr defaultRowHeight="12.75" x14ac:dyDescent="0.35"/>
  <cols>
    <col min="1" max="16384" width="9.06640625" style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F5F-40D4-4681-96C6-A0AE18FA4344}">
  <dimension ref="A1:F29"/>
  <sheetViews>
    <sheetView workbookViewId="0">
      <selection activeCell="B30" sqref="B30"/>
    </sheetView>
  </sheetViews>
  <sheetFormatPr defaultColWidth="9.1328125" defaultRowHeight="11.65" x14ac:dyDescent="0.35"/>
  <cols>
    <col min="1" max="1" width="2" style="4" customWidth="1"/>
    <col min="2" max="2" width="28.59765625" style="4" bestFit="1" customWidth="1"/>
    <col min="3" max="3" width="33.33203125" style="4" customWidth="1"/>
    <col min="4" max="4" width="11.6640625" style="4" customWidth="1"/>
    <col min="5" max="6" width="9.1328125" style="4"/>
    <col min="7" max="7" width="2" style="4" customWidth="1"/>
    <col min="8" max="16384" width="9.1328125" style="4"/>
  </cols>
  <sheetData>
    <row r="1" spans="1:6" ht="15" x14ac:dyDescent="0.35">
      <c r="A1" s="1"/>
      <c r="B1" s="2" t="s">
        <v>156</v>
      </c>
    </row>
    <row r="2" spans="1:6" ht="15" x14ac:dyDescent="0.35">
      <c r="A2" s="1"/>
      <c r="B2" s="2"/>
    </row>
    <row r="3" spans="1:6" x14ac:dyDescent="0.35">
      <c r="B3" s="62" t="s">
        <v>172</v>
      </c>
    </row>
    <row r="5" spans="1:6" x14ac:dyDescent="0.35">
      <c r="F5" s="4" t="s">
        <v>158</v>
      </c>
    </row>
    <row r="6" spans="1:6" x14ac:dyDescent="0.35">
      <c r="B6" s="44" t="s">
        <v>173</v>
      </c>
      <c r="C6" s="15" t="s">
        <v>159</v>
      </c>
      <c r="D6" s="15" t="s">
        <v>160</v>
      </c>
    </row>
    <row r="7" spans="1:6" x14ac:dyDescent="0.35">
      <c r="B7" s="4" t="s">
        <v>161</v>
      </c>
      <c r="C7" s="63">
        <v>9600340</v>
      </c>
      <c r="D7" s="63">
        <v>9600340</v>
      </c>
    </row>
    <row r="8" spans="1:6" x14ac:dyDescent="0.35">
      <c r="B8" s="4" t="s">
        <v>162</v>
      </c>
      <c r="C8" s="63">
        <f>(119+373+1566+1582+2967)*1000</f>
        <v>6607000</v>
      </c>
      <c r="D8" s="63">
        <f>(119+373+1566+1582+2967)*1000</f>
        <v>6607000</v>
      </c>
    </row>
    <row r="9" spans="1:6" x14ac:dyDescent="0.35">
      <c r="B9" s="4" t="s">
        <v>163</v>
      </c>
      <c r="C9" s="63">
        <v>4740000</v>
      </c>
      <c r="D9" s="63">
        <v>4740000</v>
      </c>
    </row>
    <row r="10" spans="1:6" x14ac:dyDescent="0.35">
      <c r="B10" s="4" t="s">
        <v>164</v>
      </c>
      <c r="C10" s="63">
        <v>2460000</v>
      </c>
      <c r="D10" s="63">
        <v>2460000</v>
      </c>
    </row>
    <row r="11" spans="1:6" x14ac:dyDescent="0.35">
      <c r="B11" s="4" t="s">
        <v>165</v>
      </c>
      <c r="C11" s="63">
        <v>10700000</v>
      </c>
      <c r="D11" s="63">
        <v>10700000</v>
      </c>
    </row>
    <row r="12" spans="1:6" x14ac:dyDescent="0.35">
      <c r="B12" s="64" t="s">
        <v>166</v>
      </c>
      <c r="C12" s="65" t="s">
        <v>136</v>
      </c>
      <c r="D12" s="65" t="s">
        <v>136</v>
      </c>
    </row>
    <row r="13" spans="1:6" x14ac:dyDescent="0.35">
      <c r="B13" s="64" t="s">
        <v>167</v>
      </c>
      <c r="C13" s="65" t="s">
        <v>136</v>
      </c>
      <c r="D13" s="65" t="s">
        <v>136</v>
      </c>
    </row>
    <row r="14" spans="1:6" x14ac:dyDescent="0.35">
      <c r="B14" s="64" t="s">
        <v>168</v>
      </c>
      <c r="C14" s="65" t="s">
        <v>136</v>
      </c>
      <c r="D14" s="65" t="s">
        <v>136</v>
      </c>
    </row>
    <row r="15" spans="1:6" x14ac:dyDescent="0.35">
      <c r="B15" s="64" t="s">
        <v>169</v>
      </c>
      <c r="C15" s="65" t="s">
        <v>136</v>
      </c>
      <c r="D15" s="65" t="s">
        <v>136</v>
      </c>
    </row>
    <row r="16" spans="1:6" x14ac:dyDescent="0.35">
      <c r="B16" s="64" t="s">
        <v>170</v>
      </c>
      <c r="C16" s="65" t="s">
        <v>136</v>
      </c>
      <c r="D16" s="65" t="s">
        <v>136</v>
      </c>
    </row>
    <row r="17" spans="2:6" x14ac:dyDescent="0.35">
      <c r="B17" s="64" t="s">
        <v>171</v>
      </c>
      <c r="C17" s="65" t="s">
        <v>136</v>
      </c>
      <c r="D17" s="65" t="s">
        <v>136</v>
      </c>
    </row>
    <row r="18" spans="2:6" x14ac:dyDescent="0.35">
      <c r="B18" s="18" t="s">
        <v>159</v>
      </c>
      <c r="C18" s="66" t="s">
        <v>136</v>
      </c>
      <c r="D18" s="67">
        <f>AVERAGE(D7:D17)</f>
        <v>6821468</v>
      </c>
    </row>
    <row r="19" spans="2:6" x14ac:dyDescent="0.35">
      <c r="C19" s="68"/>
      <c r="D19" s="68"/>
    </row>
    <row r="22" spans="2:6" x14ac:dyDescent="0.35">
      <c r="B22" s="44" t="s">
        <v>174</v>
      </c>
      <c r="C22" s="15"/>
      <c r="D22" s="15"/>
    </row>
    <row r="23" spans="2:6" ht="12.75" x14ac:dyDescent="0.35">
      <c r="B23" s="4">
        <v>2021</v>
      </c>
      <c r="D23" s="69">
        <f>Deliveries!J11</f>
        <v>673839.17</v>
      </c>
    </row>
    <row r="24" spans="2:6" ht="12.75" x14ac:dyDescent="0.35">
      <c r="B24" s="4">
        <v>2026</v>
      </c>
      <c r="D24" s="69">
        <f>Deliveries!O11</f>
        <v>1596628.8218386425</v>
      </c>
    </row>
    <row r="25" spans="2:6" ht="12.75" x14ac:dyDescent="0.35">
      <c r="B25" s="4">
        <v>2032</v>
      </c>
      <c r="D25" s="69">
        <f>Deliveries!V11</f>
        <v>2135959.5433277837</v>
      </c>
      <c r="F25" s="70">
        <f>D25/D18</f>
        <v>0.31312314934670715</v>
      </c>
    </row>
    <row r="29" spans="2:6" x14ac:dyDescent="0.35">
      <c r="B29" s="54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2702-C289-4000-9E25-1C7368BD77D4}">
  <dimension ref="B1:I18"/>
  <sheetViews>
    <sheetView workbookViewId="0">
      <selection activeCell="F42" sqref="F42"/>
    </sheetView>
  </sheetViews>
  <sheetFormatPr defaultRowHeight="11.65" x14ac:dyDescent="0.35"/>
  <cols>
    <col min="1" max="1" width="2.1328125" style="77" customWidth="1"/>
    <col min="2" max="2" width="25.6640625" style="77" customWidth="1"/>
    <col min="3" max="3" width="7.9296875" style="77" bestFit="1" customWidth="1"/>
    <col min="4" max="5" width="10.19921875" style="77" bestFit="1" customWidth="1"/>
    <col min="6" max="6" width="36.86328125" style="77" customWidth="1"/>
    <col min="7" max="16384" width="9.06640625" style="77"/>
  </cols>
  <sheetData>
    <row r="1" spans="2:9" ht="15" x14ac:dyDescent="0.35">
      <c r="B1" s="76" t="s">
        <v>183</v>
      </c>
    </row>
    <row r="3" spans="2:9" ht="12" thickBot="1" x14ac:dyDescent="0.4">
      <c r="B3" s="79" t="s">
        <v>184</v>
      </c>
      <c r="C3" s="79" t="s">
        <v>185</v>
      </c>
      <c r="D3" s="79" t="s">
        <v>186</v>
      </c>
      <c r="E3" s="79" t="s">
        <v>187</v>
      </c>
      <c r="F3" s="82" t="s">
        <v>188</v>
      </c>
    </row>
    <row r="4" spans="2:9" x14ac:dyDescent="0.35">
      <c r="B4" s="77" t="s">
        <v>189</v>
      </c>
      <c r="C4" s="77" t="s">
        <v>200</v>
      </c>
      <c r="D4" s="86">
        <v>39990</v>
      </c>
      <c r="E4" s="86">
        <v>51490</v>
      </c>
    </row>
    <row r="5" spans="2:9" x14ac:dyDescent="0.35">
      <c r="B5" s="77" t="s">
        <v>190</v>
      </c>
      <c r="C5" s="77" t="s">
        <v>201</v>
      </c>
      <c r="D5" s="86">
        <v>48990</v>
      </c>
      <c r="E5" s="86">
        <v>60490</v>
      </c>
    </row>
    <row r="6" spans="2:9" ht="17.649999999999999" customHeight="1" thickBot="1" x14ac:dyDescent="0.4">
      <c r="B6" s="78" t="s">
        <v>191</v>
      </c>
      <c r="C6" s="78" t="s">
        <v>201</v>
      </c>
      <c r="D6" s="87">
        <v>56990</v>
      </c>
      <c r="E6" s="87">
        <v>66990</v>
      </c>
      <c r="F6" s="78"/>
    </row>
    <row r="7" spans="2:9" ht="17.649999999999999" customHeight="1" x14ac:dyDescent="0.35">
      <c r="B7" s="81" t="s">
        <v>192</v>
      </c>
      <c r="C7" s="80"/>
      <c r="D7" s="80"/>
      <c r="E7" s="80"/>
      <c r="F7" s="85">
        <f>AVERAGE(D4:E6)</f>
        <v>54156.666666666664</v>
      </c>
    </row>
    <row r="8" spans="2:9" x14ac:dyDescent="0.35">
      <c r="B8" s="77" t="s">
        <v>193</v>
      </c>
      <c r="C8" s="77" t="s">
        <v>202</v>
      </c>
      <c r="D8" s="86">
        <v>79990</v>
      </c>
      <c r="E8" s="86">
        <v>95490</v>
      </c>
    </row>
    <row r="9" spans="2:9" x14ac:dyDescent="0.35">
      <c r="B9" s="77" t="s">
        <v>194</v>
      </c>
      <c r="C9" s="77" t="s">
        <v>203</v>
      </c>
      <c r="D9" s="86">
        <v>99990</v>
      </c>
      <c r="E9" s="86">
        <v>115990</v>
      </c>
    </row>
    <row r="10" spans="2:9" x14ac:dyDescent="0.35">
      <c r="B10" s="77" t="s">
        <v>195</v>
      </c>
      <c r="C10" s="77" t="s">
        <v>204</v>
      </c>
      <c r="D10" s="86">
        <v>84990</v>
      </c>
      <c r="E10" s="86">
        <v>106490</v>
      </c>
    </row>
    <row r="11" spans="2:9" ht="18.75" customHeight="1" thickBot="1" x14ac:dyDescent="0.4">
      <c r="B11" s="78" t="s">
        <v>196</v>
      </c>
      <c r="C11" s="78" t="s">
        <v>205</v>
      </c>
      <c r="D11" s="87">
        <v>104990</v>
      </c>
      <c r="E11" s="87">
        <v>128490</v>
      </c>
      <c r="F11" s="78"/>
      <c r="I11" s="83"/>
    </row>
    <row r="12" spans="2:9" ht="19.149999999999999" customHeight="1" x14ac:dyDescent="0.35">
      <c r="B12" s="81" t="s">
        <v>197</v>
      </c>
      <c r="C12" s="80"/>
      <c r="D12" s="80"/>
      <c r="E12" s="80"/>
      <c r="F12" s="85">
        <f>AVERAGE(D8:E11)</f>
        <v>102052.5</v>
      </c>
      <c r="G12" s="88"/>
    </row>
    <row r="13" spans="2:9" x14ac:dyDescent="0.35">
      <c r="F13" s="84"/>
    </row>
    <row r="14" spans="2:9" ht="12" thickBot="1" x14ac:dyDescent="0.4">
      <c r="B14" s="79" t="s">
        <v>198</v>
      </c>
      <c r="C14" s="79"/>
      <c r="D14" s="79" t="s">
        <v>186</v>
      </c>
      <c r="E14" s="79" t="s">
        <v>199</v>
      </c>
      <c r="F14" s="82" t="s">
        <v>188</v>
      </c>
    </row>
    <row r="15" spans="2:9" x14ac:dyDescent="0.35">
      <c r="B15" s="77" t="s">
        <v>206</v>
      </c>
      <c r="D15" s="86">
        <v>48000</v>
      </c>
      <c r="E15" s="86">
        <v>74000</v>
      </c>
      <c r="F15" s="85">
        <f>AVERAGE(D15:E15)</f>
        <v>61000</v>
      </c>
    </row>
    <row r="16" spans="2:9" x14ac:dyDescent="0.35">
      <c r="B16" s="77" t="s">
        <v>207</v>
      </c>
      <c r="D16" s="86">
        <v>200000</v>
      </c>
      <c r="E16" s="86">
        <v>250000</v>
      </c>
      <c r="F16" s="85">
        <f t="shared" ref="F16:F18" si="0">AVERAGE(D16:E16)</f>
        <v>225000</v>
      </c>
    </row>
    <row r="17" spans="2:6" x14ac:dyDescent="0.35">
      <c r="B17" s="77" t="s">
        <v>208</v>
      </c>
      <c r="D17" s="86">
        <v>39900</v>
      </c>
      <c r="E17" s="86">
        <v>76900</v>
      </c>
      <c r="F17" s="85">
        <f t="shared" si="0"/>
        <v>58400</v>
      </c>
    </row>
    <row r="18" spans="2:6" x14ac:dyDescent="0.35">
      <c r="B18" s="77" t="s">
        <v>209</v>
      </c>
      <c r="D18" s="86">
        <v>150000</v>
      </c>
      <c r="E18" s="86">
        <v>200000</v>
      </c>
      <c r="F18" s="85">
        <f t="shared" si="0"/>
        <v>175000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9BAB-25B4-4916-847C-D9711A4D61B6}">
  <dimension ref="A1:V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" sqref="J5"/>
    </sheetView>
  </sheetViews>
  <sheetFormatPr defaultColWidth="9.1328125" defaultRowHeight="11.65" x14ac:dyDescent="0.35"/>
  <cols>
    <col min="1" max="1" width="2" style="4" customWidth="1"/>
    <col min="2" max="2" width="15.1328125" style="4" customWidth="1"/>
    <col min="3" max="6" width="9.796875" style="4" customWidth="1"/>
    <col min="7" max="8" width="10.19921875" style="4" bestFit="1" customWidth="1"/>
    <col min="9" max="9" width="11.1328125" style="4" bestFit="1" customWidth="1"/>
    <col min="10" max="11" width="10.19921875" style="4" bestFit="1" customWidth="1"/>
    <col min="12" max="17" width="11.1328125" style="4" bestFit="1" customWidth="1"/>
    <col min="18" max="21" width="11.1328125" style="4" customWidth="1"/>
    <col min="22" max="22" width="15.1328125" style="4" customWidth="1"/>
    <col min="23" max="16384" width="9.1328125" style="4"/>
  </cols>
  <sheetData>
    <row r="1" spans="1:22" ht="15" x14ac:dyDescent="0.35">
      <c r="A1" s="1"/>
      <c r="B1" s="2" t="s">
        <v>176</v>
      </c>
      <c r="V1" s="4" t="s">
        <v>177</v>
      </c>
    </row>
    <row r="2" spans="1:22" ht="15" x14ac:dyDescent="0.35">
      <c r="A2" s="1"/>
      <c r="B2" s="2"/>
    </row>
    <row r="3" spans="1:22" ht="10.9" customHeight="1" x14ac:dyDescent="0.35">
      <c r="C3" s="242" t="s">
        <v>178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1:22" ht="23.25" x14ac:dyDescent="0.35">
      <c r="B4" s="44" t="s">
        <v>117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  <c r="V4" s="15" t="s">
        <v>179</v>
      </c>
    </row>
    <row r="5" spans="1:22" x14ac:dyDescent="0.35">
      <c r="B5" s="4" t="s">
        <v>128</v>
      </c>
      <c r="C5" s="71" t="s">
        <v>136</v>
      </c>
      <c r="D5" s="71" t="s">
        <v>136</v>
      </c>
      <c r="E5" s="71" t="s">
        <v>136</v>
      </c>
      <c r="F5" s="71" t="s">
        <v>136</v>
      </c>
      <c r="G5" s="41">
        <f>($V$5*Deliveries!G5)/1000000</f>
        <v>7909.8519500000002</v>
      </c>
      <c r="H5" s="41">
        <f>($V$5*Deliveries!H5)/1000000</f>
        <v>16291.137683333332</v>
      </c>
      <c r="I5" s="41">
        <f>($V$5*Deliveries!I5)/1000000</f>
        <v>22766.650316666663</v>
      </c>
      <c r="J5" s="72">
        <f>($V5*Deliveries!J5*$J$14)/1000000</f>
        <v>32510.776652200002</v>
      </c>
      <c r="K5" s="72">
        <f>($V5*Deliveries!K5*$J$14)/1000000</f>
        <v>37387.393150030002</v>
      </c>
      <c r="L5" s="72">
        <f>($V5*Deliveries!L5*$J$14)/1000000</f>
        <v>42995.50212253449</v>
      </c>
      <c r="M5" s="72">
        <f>($V5*Deliveries!M5*$J$14)/1000000</f>
        <v>46435.142292337259</v>
      </c>
      <c r="N5" s="72">
        <f>($V5*Deliveries!N5*$J$14)/1000000</f>
        <v>50149.953675724246</v>
      </c>
      <c r="O5" s="72">
        <f>($V5*Deliveries!O5*$J$14)/1000000</f>
        <v>51654.452285995969</v>
      </c>
      <c r="P5" s="72">
        <f>($V5*Deliveries!P5*$J$14)/1000000</f>
        <v>53204.085854575853</v>
      </c>
      <c r="Q5" s="72">
        <f>($V5*Deliveries!Q5*$J$14)/1000000</f>
        <v>54800.208430213126</v>
      </c>
      <c r="R5" s="72">
        <f>($V5*Deliveries!R5*$J$14)/1000000</f>
        <v>56444.21468311952</v>
      </c>
      <c r="S5" s="72">
        <f>($V5*Deliveries!S5*$J$14)/1000000</f>
        <v>58137.541123613104</v>
      </c>
      <c r="T5" s="72">
        <f>($V5*Deliveries!T5*$J$14)/1000000</f>
        <v>59881.667357321501</v>
      </c>
      <c r="U5" s="72">
        <f>($V5*Deliveries!U5*$J$14)/1000000</f>
        <v>61678.117378041148</v>
      </c>
      <c r="V5" s="89">
        <f>'Average Prices'!F7</f>
        <v>54156.666666666664</v>
      </c>
    </row>
    <row r="6" spans="1:22" x14ac:dyDescent="0.35">
      <c r="B6" s="4" t="s">
        <v>129</v>
      </c>
      <c r="C6" s="63">
        <f>'P&amp;L Input'!C4/1000</f>
        <v>3007.0120000000002</v>
      </c>
      <c r="D6" s="63">
        <f>'P&amp;L Input'!D4/1000</f>
        <v>3740.973</v>
      </c>
      <c r="E6" s="63">
        <f>'P&amp;L Input'!E4/1000</f>
        <v>6350.7659999999996</v>
      </c>
      <c r="F6" s="63">
        <f>'P&amp;L Input'!F4/1000</f>
        <v>9641.2999999999993</v>
      </c>
      <c r="G6" s="41">
        <f>($V$6*Deliveries!G6)/1000000</f>
        <v>10089.4204125</v>
      </c>
      <c r="H6" s="41">
        <f>($V$6*Deliveries!H6)/1000000</f>
        <v>6774.7552125000002</v>
      </c>
      <c r="I6" s="41">
        <f>($V$6*Deliveries!I6)/1000000</f>
        <v>5820.9725474999996</v>
      </c>
      <c r="J6" s="72">
        <f>($V6*Deliveries!J6*$J$14)/1000000</f>
        <v>6115.5137584035001</v>
      </c>
      <c r="K6" s="72">
        <f>($V6*Deliveries!K6*$J$14)/1000000</f>
        <v>6298.9791711556054</v>
      </c>
      <c r="L6" s="72">
        <f>($V6*Deliveries!L6*$J$14)/1000000</f>
        <v>6487.948546290274</v>
      </c>
      <c r="M6" s="72">
        <f>($V6*Deliveries!M6*$J$14)/1000000</f>
        <v>6682.5870026789817</v>
      </c>
      <c r="N6" s="72">
        <f>($V6*Deliveries!N6*$J$14)/1000000</f>
        <v>6883.0646127593518</v>
      </c>
      <c r="O6" s="72">
        <f>($V6*Deliveries!O6*$J$14)/1000000</f>
        <v>7089.5565511421328</v>
      </c>
      <c r="P6" s="72">
        <f>($V6*Deliveries!P6*$J$14)/1000000</f>
        <v>7302.243247676397</v>
      </c>
      <c r="Q6" s="72">
        <f>($V6*Deliveries!Q6*$J$14)/1000000</f>
        <v>7521.3105451066886</v>
      </c>
      <c r="R6" s="72">
        <f>($V6*Deliveries!R6*$J$14)/1000000</f>
        <v>7746.9498614598897</v>
      </c>
      <c r="S6" s="72">
        <f>($V6*Deliveries!S6*$J$14)/1000000</f>
        <v>7979.3583573036867</v>
      </c>
      <c r="T6" s="72">
        <f>($V6*Deliveries!T6*$J$14)/1000000</f>
        <v>8218.739108022799</v>
      </c>
      <c r="U6" s="72">
        <f>($V6*Deliveries!U6*$J$14)/1000000</f>
        <v>8465.3012812634825</v>
      </c>
      <c r="V6" s="89">
        <f>'Average Prices'!F12</f>
        <v>102052.5</v>
      </c>
    </row>
    <row r="7" spans="1:22" x14ac:dyDescent="0.35">
      <c r="B7" s="4" t="s">
        <v>130</v>
      </c>
      <c r="C7" s="71" t="s">
        <v>136</v>
      </c>
      <c r="D7" s="71" t="s">
        <v>136</v>
      </c>
      <c r="E7" s="71" t="s">
        <v>136</v>
      </c>
      <c r="F7" s="71" t="s">
        <v>136</v>
      </c>
      <c r="G7" s="71" t="s">
        <v>136</v>
      </c>
      <c r="H7" s="71" t="s">
        <v>136</v>
      </c>
      <c r="I7" s="41">
        <f>($V$7*Deliveries!I7)/1000000</f>
        <v>269.92500000000001</v>
      </c>
      <c r="J7" s="72">
        <f>($V7*Deliveries!J7*$J$14)/1000000</f>
        <v>1651.941</v>
      </c>
      <c r="K7" s="72">
        <f>($V7*Deliveries!K7*$J$14)/1000000</f>
        <v>3402.339063469241</v>
      </c>
      <c r="L7" s="72">
        <f>($V7*Deliveries!L7*$J$14)/1000000</f>
        <v>4754.7240237239394</v>
      </c>
      <c r="M7" s="72">
        <f>($V7*Deliveries!M7*$J$14)/1000000</f>
        <v>6656.6136332135156</v>
      </c>
      <c r="N7" s="72">
        <f>($V7*Deliveries!N7*$J$14)/1000000</f>
        <v>7655.1056781955422</v>
      </c>
      <c r="O7" s="72">
        <f>($V7*Deliveries!O7*$J$14)/1000000</f>
        <v>8267.5141324511842</v>
      </c>
      <c r="P7" s="72">
        <f>($V7*Deliveries!P7*$J$14)/1000000</f>
        <v>8928.91526304728</v>
      </c>
      <c r="Q7" s="72">
        <f>($V7*Deliveries!Q7*$J$14)/1000000</f>
        <v>9196.7827209386996</v>
      </c>
      <c r="R7" s="72">
        <f>($V7*Deliveries!R7*$J$14)/1000000</f>
        <v>9472.6862025668597</v>
      </c>
      <c r="S7" s="72">
        <f>($V7*Deliveries!S7*$J$14)/1000000</f>
        <v>9756.8667886438652</v>
      </c>
      <c r="T7" s="72">
        <f>($V7*Deliveries!T7*$J$14)/1000000</f>
        <v>10049.572792303181</v>
      </c>
      <c r="U7" s="72">
        <f>($V7*Deliveries!U7*$J$14)/1000000</f>
        <v>10351.059976072276</v>
      </c>
      <c r="V7" s="89">
        <f>'Average Prices'!F15</f>
        <v>61000</v>
      </c>
    </row>
    <row r="8" spans="1:22" x14ac:dyDescent="0.35">
      <c r="B8" s="4" t="s">
        <v>131</v>
      </c>
      <c r="C8" s="71" t="s">
        <v>136</v>
      </c>
      <c r="D8" s="71" t="s">
        <v>136</v>
      </c>
      <c r="E8" s="71" t="s">
        <v>136</v>
      </c>
      <c r="F8" s="71" t="s">
        <v>136</v>
      </c>
      <c r="G8" s="71" t="s">
        <v>136</v>
      </c>
      <c r="H8" s="71" t="s">
        <v>136</v>
      </c>
      <c r="I8" s="71" t="s">
        <v>136</v>
      </c>
      <c r="J8" s="72">
        <f>($V8*Deliveries!J8*$J$14)/1000000</f>
        <v>0</v>
      </c>
      <c r="K8" s="72">
        <f>($V8*Deliveries!K8*$J$14)/1000000</f>
        <v>1147.5</v>
      </c>
      <c r="L8" s="72">
        <f>($V8*Deliveries!L8*$J$14)/1000000</f>
        <v>2295</v>
      </c>
      <c r="M8" s="72">
        <f>($V8*Deliveries!M8*$J$14)/1000000</f>
        <v>3442.5</v>
      </c>
      <c r="N8" s="72">
        <f>($V8*Deliveries!N8*$J$14)/1000000</f>
        <v>5163.75</v>
      </c>
      <c r="O8" s="72">
        <f>($V8*Deliveries!O8*$J$14)/1000000</f>
        <v>5938.3124999999991</v>
      </c>
      <c r="P8" s="72">
        <f>($V8*Deliveries!P8*$J$14)/1000000</f>
        <v>6829.059374999998</v>
      </c>
      <c r="Q8" s="72">
        <f>($V8*Deliveries!Q8*$J$14)/1000000</f>
        <v>7375.3841249999978</v>
      </c>
      <c r="R8" s="72">
        <f>($V8*Deliveries!R8*$J$14)/1000000</f>
        <v>7965.4148549999991</v>
      </c>
      <c r="S8" s="72">
        <f>($V8*Deliveries!S8*$J$14)/1000000</f>
        <v>8204.3773006499996</v>
      </c>
      <c r="T8" s="72">
        <f>($V8*Deliveries!T8*$J$14)/1000000</f>
        <v>8450.5086196694992</v>
      </c>
      <c r="U8" s="72">
        <f>($V8*Deliveries!U8*$J$14)/1000000</f>
        <v>8704.0238782595843</v>
      </c>
      <c r="V8" s="89">
        <f>'Average Prices'!F16</f>
        <v>225000</v>
      </c>
    </row>
    <row r="9" spans="1:22" x14ac:dyDescent="0.35">
      <c r="B9" s="4" t="s">
        <v>144</v>
      </c>
      <c r="C9" s="71" t="s">
        <v>136</v>
      </c>
      <c r="D9" s="71" t="s">
        <v>136</v>
      </c>
      <c r="E9" s="71" t="s">
        <v>136</v>
      </c>
      <c r="F9" s="71" t="s">
        <v>136</v>
      </c>
      <c r="G9" s="71" t="s">
        <v>136</v>
      </c>
      <c r="H9" s="71" t="s">
        <v>136</v>
      </c>
      <c r="I9" s="71" t="s">
        <v>136</v>
      </c>
      <c r="J9" s="72">
        <f>($V9*Deliveries!J9*$J$14)/1000000</f>
        <v>0</v>
      </c>
      <c r="K9" s="72">
        <f>($V9*Deliveries!K9*$J$14)/1000000</f>
        <v>893.52</v>
      </c>
      <c r="L9" s="72">
        <f>($V9*Deliveries!L9*$J$14)/1000000</f>
        <v>5361.12</v>
      </c>
      <c r="M9" s="72">
        <f>($V9*Deliveries!M9*$J$14)/1000000</f>
        <v>8041.68</v>
      </c>
      <c r="N9" s="72">
        <f>($V9*Deliveries!N9*$J$14)/1000000</f>
        <v>12062.52</v>
      </c>
      <c r="O9" s="72">
        <f>($V9*Deliveries!O9*$J$14)/1000000</f>
        <v>13871.897999999997</v>
      </c>
      <c r="P9" s="72">
        <f>($V9*Deliveries!P9*$J$14)/1000000</f>
        <v>15952.682699999996</v>
      </c>
      <c r="Q9" s="72">
        <f>($V9*Deliveries!Q9*$J$14)/1000000</f>
        <v>17228.897315999995</v>
      </c>
      <c r="R9" s="72">
        <f>($V9*Deliveries!R9*$J$14)/1000000</f>
        <v>18607.209101279994</v>
      </c>
      <c r="S9" s="72">
        <f>($V9*Deliveries!S9*$J$14)/1000000</f>
        <v>19165.425374318398</v>
      </c>
      <c r="T9" s="72">
        <f>($V9*Deliveries!T9*$J$14)/1000000</f>
        <v>19740.38813554795</v>
      </c>
      <c r="U9" s="72">
        <f>($V9*Deliveries!U9*$J$14)/1000000</f>
        <v>20332.599779614389</v>
      </c>
      <c r="V9" s="89">
        <f>'Average Prices'!F17</f>
        <v>58400</v>
      </c>
    </row>
    <row r="10" spans="1:22" x14ac:dyDescent="0.35">
      <c r="B10" s="4" t="s">
        <v>133</v>
      </c>
      <c r="C10" s="71" t="s">
        <v>136</v>
      </c>
      <c r="D10" s="71" t="s">
        <v>136</v>
      </c>
      <c r="E10" s="71" t="s">
        <v>136</v>
      </c>
      <c r="F10" s="71" t="s">
        <v>136</v>
      </c>
      <c r="G10" s="71" t="s">
        <v>136</v>
      </c>
      <c r="H10" s="71" t="s">
        <v>136</v>
      </c>
      <c r="I10" s="71" t="s">
        <v>136</v>
      </c>
      <c r="J10" s="72">
        <f>($V10*Deliveries!J10*$J$14)/1000000</f>
        <v>0</v>
      </c>
      <c r="K10" s="72">
        <f>($V10*Deliveries!K10*$J$14)/1000000</f>
        <v>178.5</v>
      </c>
      <c r="L10" s="72">
        <f>($V10*Deliveries!L10*$J$14)/1000000</f>
        <v>8939.2800000000007</v>
      </c>
      <c r="M10" s="72">
        <f>($V10*Deliveries!M10*$J$14)/1000000</f>
        <v>18411.348554996406</v>
      </c>
      <c r="N10" s="72">
        <f>($V10*Deliveries!N10*$J$14)/1000000</f>
        <v>25729.617081236524</v>
      </c>
      <c r="O10" s="72">
        <f>($V10*Deliveries!O10*$J$14)/1000000</f>
        <v>36021.463913731124</v>
      </c>
      <c r="P10" s="72">
        <f>($V10*Deliveries!P10*$J$14)/1000000</f>
        <v>41424.683500790794</v>
      </c>
      <c r="Q10" s="72">
        <f>($V10*Deliveries!Q10*$J$14)/1000000</f>
        <v>47638.3860259094</v>
      </c>
      <c r="R10" s="72">
        <f>($V10*Deliveries!R10*$J$14)/1000000</f>
        <v>51449.456907982159</v>
      </c>
      <c r="S10" s="72">
        <f>($V10*Deliveries!S10*$J$14)/1000000</f>
        <v>55565.413460620744</v>
      </c>
      <c r="T10" s="72">
        <f>($V10*Deliveries!T10*$J$14)/1000000</f>
        <v>57232.375864439367</v>
      </c>
      <c r="U10" s="72">
        <f>($V10*Deliveries!U10*$J$14)/1000000</f>
        <v>58949.347140372549</v>
      </c>
      <c r="V10" s="89">
        <f>'Average Prices'!F18</f>
        <v>175000</v>
      </c>
    </row>
    <row r="11" spans="1:22" ht="12" thickBot="1" x14ac:dyDescent="0.4">
      <c r="B11" s="45" t="s">
        <v>134</v>
      </c>
      <c r="C11" s="46">
        <f>'P&amp;L Input'!C4/1000</f>
        <v>3007.0120000000002</v>
      </c>
      <c r="D11" s="46">
        <f>'P&amp;L Input'!D4/1000</f>
        <v>3740.973</v>
      </c>
      <c r="E11" s="46">
        <f>'P&amp;L Input'!E4/1000</f>
        <v>6350.7659999999996</v>
      </c>
      <c r="F11" s="46">
        <f>'P&amp;L Input'!F4/1000</f>
        <v>9641.2999999999993</v>
      </c>
      <c r="G11" s="46">
        <f>'P&amp;L Input'!G4/1000</f>
        <v>18514.983</v>
      </c>
      <c r="H11" s="46">
        <f>'P&amp;L Input'!H4/1000</f>
        <v>20821</v>
      </c>
      <c r="I11" s="46">
        <f>'P&amp;L Input'!I4/1000</f>
        <v>27236</v>
      </c>
      <c r="J11" s="46">
        <f t="shared" ref="J11:Q11" si="0">SUM(J5:J10)</f>
        <v>40278.231410603497</v>
      </c>
      <c r="K11" s="46">
        <f t="shared" si="0"/>
        <v>49308.231384654842</v>
      </c>
      <c r="L11" s="46">
        <f t="shared" si="0"/>
        <v>70833.574692548704</v>
      </c>
      <c r="M11" s="46">
        <f t="shared" si="0"/>
        <v>89669.871483226161</v>
      </c>
      <c r="N11" s="46">
        <f t="shared" si="0"/>
        <v>107644.01104791567</v>
      </c>
      <c r="O11" s="46">
        <f t="shared" si="0"/>
        <v>122843.1973833204</v>
      </c>
      <c r="P11" s="46">
        <f t="shared" si="0"/>
        <v>133641.66994109031</v>
      </c>
      <c r="Q11" s="46">
        <f t="shared" si="0"/>
        <v>143760.9691631679</v>
      </c>
      <c r="R11" s="46">
        <f t="shared" ref="R11:U11" si="1">SUM(R5:R10)</f>
        <v>151685.93161140842</v>
      </c>
      <c r="S11" s="46">
        <f t="shared" si="1"/>
        <v>158808.98240514979</v>
      </c>
      <c r="T11" s="46">
        <f t="shared" si="1"/>
        <v>163573.25187730431</v>
      </c>
      <c r="U11" s="46">
        <f t="shared" si="1"/>
        <v>168480.44943362343</v>
      </c>
      <c r="V11" s="73"/>
    </row>
    <row r="13" spans="1:22" x14ac:dyDescent="0.35">
      <c r="B13" s="47" t="s">
        <v>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74"/>
    </row>
    <row r="14" spans="1:22" x14ac:dyDescent="0.35">
      <c r="B14" s="48" t="s">
        <v>128</v>
      </c>
      <c r="C14" s="90"/>
      <c r="D14" s="90"/>
      <c r="E14" s="90"/>
      <c r="F14" s="90"/>
      <c r="G14" s="91"/>
      <c r="H14" s="91"/>
      <c r="I14" s="91"/>
      <c r="J14" s="50">
        <f>CHOOSE(Drivers!$C$3,'Revenue Automotive'!J21,'Revenue Automotive'!J29,'Revenue Automotive'!J37)</f>
        <v>1.02</v>
      </c>
      <c r="K14" s="50">
        <f>CHOOSE(Drivers!$C$3,'Revenue Automotive'!K21,'Revenue Automotive'!K29,'Revenue Automotive'!K37)</f>
        <v>1.02</v>
      </c>
      <c r="L14" s="50">
        <f>CHOOSE(Drivers!$C$3,'Revenue Automotive'!L21,'Revenue Automotive'!L29,'Revenue Automotive'!L37)</f>
        <v>1.02</v>
      </c>
      <c r="M14" s="50">
        <f>CHOOSE(Drivers!$C$3,'Revenue Automotive'!M21,'Revenue Automotive'!M29,'Revenue Automotive'!M37)</f>
        <v>1.02</v>
      </c>
      <c r="N14" s="50">
        <f>CHOOSE(Drivers!$C$3,'Revenue Automotive'!N21,'Revenue Automotive'!N29,'Revenue Automotive'!N37)</f>
        <v>1.02</v>
      </c>
      <c r="O14" s="50">
        <f>CHOOSE(Drivers!$C$3,'Revenue Automotive'!O21,'Revenue Automotive'!O29,'Revenue Automotive'!O37)</f>
        <v>1.02</v>
      </c>
      <c r="P14" s="50">
        <f>CHOOSE(Drivers!$C$3,'Revenue Automotive'!P21,'Revenue Automotive'!P29,'Revenue Automotive'!P37)</f>
        <v>1.02</v>
      </c>
      <c r="Q14" s="50">
        <f>CHOOSE(Drivers!$C$3,'Revenue Automotive'!Q21,'Revenue Automotive'!Q29,'Revenue Automotive'!Q37)</f>
        <v>1.02</v>
      </c>
      <c r="R14" s="50">
        <f>CHOOSE(Drivers!$C$3,'Revenue Automotive'!R21,'Revenue Automotive'!R29,'Revenue Automotive'!R37)</f>
        <v>1.02</v>
      </c>
      <c r="S14" s="50">
        <f>CHOOSE(Drivers!$C$3,'Revenue Automotive'!S21,'Revenue Automotive'!S29,'Revenue Automotive'!S37)</f>
        <v>1.02</v>
      </c>
      <c r="T14" s="50">
        <f>CHOOSE(Drivers!$C$3,'Revenue Automotive'!T21,'Revenue Automotive'!T29,'Revenue Automotive'!T37)</f>
        <v>1.02</v>
      </c>
      <c r="U14" s="50">
        <f>CHOOSE(Drivers!$C$3,'Revenue Automotive'!U21,'Revenue Automotive'!U29,'Revenue Automotive'!U37)</f>
        <v>1.02</v>
      </c>
      <c r="V14" s="74"/>
    </row>
    <row r="15" spans="1:22" x14ac:dyDescent="0.35">
      <c r="B15" s="48" t="s">
        <v>129</v>
      </c>
      <c r="C15" s="90"/>
      <c r="D15" s="92"/>
      <c r="E15" s="92"/>
      <c r="F15" s="92"/>
      <c r="G15" s="91"/>
      <c r="H15" s="91"/>
      <c r="I15" s="91"/>
      <c r="J15" s="50">
        <f>CHOOSE(Drivers!$C$3,'Revenue Automotive'!J22,'Revenue Automotive'!J30,'Revenue Automotive'!J38)</f>
        <v>1.02</v>
      </c>
      <c r="K15" s="50">
        <f>CHOOSE(Drivers!$C$3,'Revenue Automotive'!K22,'Revenue Automotive'!K30,'Revenue Automotive'!K38)</f>
        <v>1.02</v>
      </c>
      <c r="L15" s="50">
        <f>CHOOSE(Drivers!$C$3,'Revenue Automotive'!L22,'Revenue Automotive'!L30,'Revenue Automotive'!L38)</f>
        <v>1.02</v>
      </c>
      <c r="M15" s="50">
        <f>CHOOSE(Drivers!$C$3,'Revenue Automotive'!M22,'Revenue Automotive'!M30,'Revenue Automotive'!M38)</f>
        <v>1.02</v>
      </c>
      <c r="N15" s="50">
        <f>CHOOSE(Drivers!$C$3,'Revenue Automotive'!N22,'Revenue Automotive'!N30,'Revenue Automotive'!N38)</f>
        <v>1.02</v>
      </c>
      <c r="O15" s="50">
        <f>CHOOSE(Drivers!$C$3,'Revenue Automotive'!O22,'Revenue Automotive'!O30,'Revenue Automotive'!O38)</f>
        <v>1.02</v>
      </c>
      <c r="P15" s="50">
        <f>CHOOSE(Drivers!$C$3,'Revenue Automotive'!P22,'Revenue Automotive'!P30,'Revenue Automotive'!P38)</f>
        <v>1.02</v>
      </c>
      <c r="Q15" s="50">
        <f>CHOOSE(Drivers!$C$3,'Revenue Automotive'!Q22,'Revenue Automotive'!Q30,'Revenue Automotive'!Q38)</f>
        <v>1.02</v>
      </c>
      <c r="R15" s="50">
        <f>CHOOSE(Drivers!$C$3,'Revenue Automotive'!R22,'Revenue Automotive'!R30,'Revenue Automotive'!R38)</f>
        <v>1.02</v>
      </c>
      <c r="S15" s="50">
        <f>CHOOSE(Drivers!$C$3,'Revenue Automotive'!S22,'Revenue Automotive'!S30,'Revenue Automotive'!S38)</f>
        <v>1.02</v>
      </c>
      <c r="T15" s="50">
        <f>CHOOSE(Drivers!$C$3,'Revenue Automotive'!T22,'Revenue Automotive'!T30,'Revenue Automotive'!T38)</f>
        <v>1.02</v>
      </c>
      <c r="U15" s="50">
        <f>CHOOSE(Drivers!$C$3,'Revenue Automotive'!U22,'Revenue Automotive'!U30,'Revenue Automotive'!U38)</f>
        <v>1.02</v>
      </c>
      <c r="V15" s="74"/>
    </row>
    <row r="16" spans="1:22" x14ac:dyDescent="0.35">
      <c r="B16" s="48" t="s">
        <v>130</v>
      </c>
      <c r="C16" s="90"/>
      <c r="D16" s="90"/>
      <c r="E16" s="90"/>
      <c r="F16" s="90"/>
      <c r="G16" s="91"/>
      <c r="H16" s="91"/>
      <c r="I16" s="91"/>
      <c r="J16" s="50">
        <f>CHOOSE(Drivers!$C$3,'Revenue Automotive'!J23,'Revenue Automotive'!J31,'Revenue Automotive'!J39)</f>
        <v>1.02</v>
      </c>
      <c r="K16" s="50">
        <f>CHOOSE(Drivers!$C$3,'Revenue Automotive'!K23,'Revenue Automotive'!K31,'Revenue Automotive'!K39)</f>
        <v>1.02</v>
      </c>
      <c r="L16" s="50">
        <f>CHOOSE(Drivers!$C$3,'Revenue Automotive'!L23,'Revenue Automotive'!L31,'Revenue Automotive'!L39)</f>
        <v>1.02</v>
      </c>
      <c r="M16" s="50">
        <f>CHOOSE(Drivers!$C$3,'Revenue Automotive'!M23,'Revenue Automotive'!M31,'Revenue Automotive'!M39)</f>
        <v>1.02</v>
      </c>
      <c r="N16" s="50">
        <f>CHOOSE(Drivers!$C$3,'Revenue Automotive'!N23,'Revenue Automotive'!N31,'Revenue Automotive'!N39)</f>
        <v>1.02</v>
      </c>
      <c r="O16" s="50">
        <f>CHOOSE(Drivers!$C$3,'Revenue Automotive'!O23,'Revenue Automotive'!O31,'Revenue Automotive'!O39)</f>
        <v>1.02</v>
      </c>
      <c r="P16" s="50">
        <f>CHOOSE(Drivers!$C$3,'Revenue Automotive'!P23,'Revenue Automotive'!P31,'Revenue Automotive'!P39)</f>
        <v>1.02</v>
      </c>
      <c r="Q16" s="50">
        <f>CHOOSE(Drivers!$C$3,'Revenue Automotive'!Q23,'Revenue Automotive'!Q31,'Revenue Automotive'!Q39)</f>
        <v>1.02</v>
      </c>
      <c r="R16" s="50">
        <f>CHOOSE(Drivers!$C$3,'Revenue Automotive'!R23,'Revenue Automotive'!R31,'Revenue Automotive'!R39)</f>
        <v>1.02</v>
      </c>
      <c r="S16" s="50">
        <f>CHOOSE(Drivers!$C$3,'Revenue Automotive'!S23,'Revenue Automotive'!S31,'Revenue Automotive'!S39)</f>
        <v>1.02</v>
      </c>
      <c r="T16" s="50">
        <f>CHOOSE(Drivers!$C$3,'Revenue Automotive'!T23,'Revenue Automotive'!T31,'Revenue Automotive'!T39)</f>
        <v>1.02</v>
      </c>
      <c r="U16" s="50">
        <f>CHOOSE(Drivers!$C$3,'Revenue Automotive'!U23,'Revenue Automotive'!U31,'Revenue Automotive'!U39)</f>
        <v>1.02</v>
      </c>
      <c r="V16" s="74"/>
    </row>
    <row r="17" spans="2:22" x14ac:dyDescent="0.35">
      <c r="B17" s="48" t="s">
        <v>131</v>
      </c>
      <c r="C17" s="90"/>
      <c r="D17" s="90"/>
      <c r="E17" s="90"/>
      <c r="F17" s="90"/>
      <c r="G17" s="91"/>
      <c r="H17" s="91"/>
      <c r="I17" s="91"/>
      <c r="J17" s="50">
        <f>CHOOSE(Drivers!$C$3,'Revenue Automotive'!J24,'Revenue Automotive'!J32,'Revenue Automotive'!J40)</f>
        <v>1.02</v>
      </c>
      <c r="K17" s="50">
        <f>CHOOSE(Drivers!$C$3,'Revenue Automotive'!K24,'Revenue Automotive'!K32,'Revenue Automotive'!K40)</f>
        <v>1.02</v>
      </c>
      <c r="L17" s="50">
        <f>CHOOSE(Drivers!$C$3,'Revenue Automotive'!L24,'Revenue Automotive'!L32,'Revenue Automotive'!L40)</f>
        <v>1.02</v>
      </c>
      <c r="M17" s="50">
        <f>CHOOSE(Drivers!$C$3,'Revenue Automotive'!M24,'Revenue Automotive'!M32,'Revenue Automotive'!M40)</f>
        <v>1.02</v>
      </c>
      <c r="N17" s="50">
        <f>CHOOSE(Drivers!$C$3,'Revenue Automotive'!N24,'Revenue Automotive'!N32,'Revenue Automotive'!N40)</f>
        <v>1.02</v>
      </c>
      <c r="O17" s="50">
        <f>CHOOSE(Drivers!$C$3,'Revenue Automotive'!O24,'Revenue Automotive'!O32,'Revenue Automotive'!O40)</f>
        <v>1.02</v>
      </c>
      <c r="P17" s="50">
        <f>CHOOSE(Drivers!$C$3,'Revenue Automotive'!P24,'Revenue Automotive'!P32,'Revenue Automotive'!P40)</f>
        <v>1.02</v>
      </c>
      <c r="Q17" s="50">
        <f>CHOOSE(Drivers!$C$3,'Revenue Automotive'!Q24,'Revenue Automotive'!Q32,'Revenue Automotive'!Q40)</f>
        <v>1.02</v>
      </c>
      <c r="R17" s="50">
        <f>CHOOSE(Drivers!$C$3,'Revenue Automotive'!R24,'Revenue Automotive'!R32,'Revenue Automotive'!R40)</f>
        <v>1.02</v>
      </c>
      <c r="S17" s="50">
        <f>CHOOSE(Drivers!$C$3,'Revenue Automotive'!S24,'Revenue Automotive'!S32,'Revenue Automotive'!S40)</f>
        <v>1.02</v>
      </c>
      <c r="T17" s="50">
        <f>CHOOSE(Drivers!$C$3,'Revenue Automotive'!T24,'Revenue Automotive'!T32,'Revenue Automotive'!T40)</f>
        <v>1.02</v>
      </c>
      <c r="U17" s="50">
        <f>CHOOSE(Drivers!$C$3,'Revenue Automotive'!U24,'Revenue Automotive'!U32,'Revenue Automotive'!U40)</f>
        <v>1.02</v>
      </c>
      <c r="V17" s="75"/>
    </row>
    <row r="18" spans="2:22" x14ac:dyDescent="0.35">
      <c r="B18" s="48" t="s">
        <v>144</v>
      </c>
      <c r="C18" s="90"/>
      <c r="D18" s="90"/>
      <c r="E18" s="90"/>
      <c r="F18" s="90"/>
      <c r="G18" s="91"/>
      <c r="H18" s="91"/>
      <c r="I18" s="91"/>
      <c r="J18" s="50">
        <f>CHOOSE(Drivers!$C$3,'Revenue Automotive'!J25,'Revenue Automotive'!J33,'Revenue Automotive'!J41)</f>
        <v>1.02</v>
      </c>
      <c r="K18" s="50">
        <f>CHOOSE(Drivers!$C$3,'Revenue Automotive'!K25,'Revenue Automotive'!K33,'Revenue Automotive'!K41)</f>
        <v>1.02</v>
      </c>
      <c r="L18" s="50">
        <f>CHOOSE(Drivers!$C$3,'Revenue Automotive'!L25,'Revenue Automotive'!L33,'Revenue Automotive'!L41)</f>
        <v>1.02</v>
      </c>
      <c r="M18" s="50">
        <f>CHOOSE(Drivers!$C$3,'Revenue Automotive'!M25,'Revenue Automotive'!M33,'Revenue Automotive'!M41)</f>
        <v>1.02</v>
      </c>
      <c r="N18" s="50">
        <f>CHOOSE(Drivers!$C$3,'Revenue Automotive'!N25,'Revenue Automotive'!N33,'Revenue Automotive'!N41)</f>
        <v>1.02</v>
      </c>
      <c r="O18" s="50">
        <f>CHOOSE(Drivers!$C$3,'Revenue Automotive'!O25,'Revenue Automotive'!O33,'Revenue Automotive'!O41)</f>
        <v>1.02</v>
      </c>
      <c r="P18" s="50">
        <f>CHOOSE(Drivers!$C$3,'Revenue Automotive'!P25,'Revenue Automotive'!P33,'Revenue Automotive'!P41)</f>
        <v>1.02</v>
      </c>
      <c r="Q18" s="50">
        <f>CHOOSE(Drivers!$C$3,'Revenue Automotive'!Q25,'Revenue Automotive'!Q33,'Revenue Automotive'!Q41)</f>
        <v>1.02</v>
      </c>
      <c r="R18" s="50">
        <f>CHOOSE(Drivers!$C$3,'Revenue Automotive'!R25,'Revenue Automotive'!R33,'Revenue Automotive'!R41)</f>
        <v>1.02</v>
      </c>
      <c r="S18" s="50">
        <f>CHOOSE(Drivers!$C$3,'Revenue Automotive'!S25,'Revenue Automotive'!S33,'Revenue Automotive'!S41)</f>
        <v>1.02</v>
      </c>
      <c r="T18" s="50">
        <f>CHOOSE(Drivers!$C$3,'Revenue Automotive'!T25,'Revenue Automotive'!T33,'Revenue Automotive'!T41)</f>
        <v>1.02</v>
      </c>
      <c r="U18" s="50">
        <f>CHOOSE(Drivers!$C$3,'Revenue Automotive'!U25,'Revenue Automotive'!U33,'Revenue Automotive'!U41)</f>
        <v>1.02</v>
      </c>
      <c r="V18" s="74"/>
    </row>
    <row r="19" spans="2:22" x14ac:dyDescent="0.35">
      <c r="B19" s="48" t="s">
        <v>133</v>
      </c>
      <c r="C19" s="90"/>
      <c r="D19" s="90"/>
      <c r="E19" s="90"/>
      <c r="F19" s="90"/>
      <c r="G19" s="91"/>
      <c r="H19" s="91"/>
      <c r="I19" s="91"/>
      <c r="J19" s="50">
        <f>CHOOSE(Drivers!$C$3,'Revenue Automotive'!J26,'Revenue Automotive'!J34,'Revenue Automotive'!J42)</f>
        <v>1.02</v>
      </c>
      <c r="K19" s="50">
        <f>CHOOSE(Drivers!$C$3,'Revenue Automotive'!K26,'Revenue Automotive'!K34,'Revenue Automotive'!K42)</f>
        <v>1.02</v>
      </c>
      <c r="L19" s="50">
        <f>CHOOSE(Drivers!$C$3,'Revenue Automotive'!L26,'Revenue Automotive'!L34,'Revenue Automotive'!L42)</f>
        <v>1.02</v>
      </c>
      <c r="M19" s="50">
        <f>CHOOSE(Drivers!$C$3,'Revenue Automotive'!M26,'Revenue Automotive'!M34,'Revenue Automotive'!M42)</f>
        <v>1.02</v>
      </c>
      <c r="N19" s="50">
        <f>CHOOSE(Drivers!$C$3,'Revenue Automotive'!N26,'Revenue Automotive'!N34,'Revenue Automotive'!N42)</f>
        <v>1.02</v>
      </c>
      <c r="O19" s="50">
        <f>CHOOSE(Drivers!$C$3,'Revenue Automotive'!O26,'Revenue Automotive'!O34,'Revenue Automotive'!O42)</f>
        <v>1.02</v>
      </c>
      <c r="P19" s="50">
        <f>CHOOSE(Drivers!$C$3,'Revenue Automotive'!P26,'Revenue Automotive'!P34,'Revenue Automotive'!P42)</f>
        <v>1.02</v>
      </c>
      <c r="Q19" s="50">
        <f>CHOOSE(Drivers!$C$3,'Revenue Automotive'!Q26,'Revenue Automotive'!Q34,'Revenue Automotive'!Q42)</f>
        <v>1.02</v>
      </c>
      <c r="R19" s="50">
        <f>CHOOSE(Drivers!$C$3,'Revenue Automotive'!R26,'Revenue Automotive'!R34,'Revenue Automotive'!R42)</f>
        <v>1.02</v>
      </c>
      <c r="S19" s="50">
        <f>CHOOSE(Drivers!$C$3,'Revenue Automotive'!S26,'Revenue Automotive'!S34,'Revenue Automotive'!S42)</f>
        <v>1.02</v>
      </c>
      <c r="T19" s="50">
        <f>CHOOSE(Drivers!$C$3,'Revenue Automotive'!T26,'Revenue Automotive'!T34,'Revenue Automotive'!T42)</f>
        <v>1.02</v>
      </c>
      <c r="U19" s="50">
        <f>CHOOSE(Drivers!$C$3,'Revenue Automotive'!U26,'Revenue Automotive'!U34,'Revenue Automotive'!U42)</f>
        <v>1.02</v>
      </c>
      <c r="V19" s="74"/>
    </row>
    <row r="20" spans="2:22" x14ac:dyDescent="0.35">
      <c r="B20" s="48"/>
      <c r="C20" s="90"/>
      <c r="D20" s="90"/>
      <c r="E20" s="90"/>
      <c r="F20" s="90"/>
      <c r="G20" s="90"/>
      <c r="H20" s="90"/>
      <c r="I20" s="93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74"/>
    </row>
    <row r="21" spans="2:22" x14ac:dyDescent="0.35">
      <c r="B21" s="47" t="s">
        <v>180</v>
      </c>
      <c r="C21" s="94"/>
      <c r="D21" s="94"/>
      <c r="E21" s="94"/>
      <c r="F21" s="94"/>
      <c r="G21" s="94"/>
      <c r="H21" s="94"/>
      <c r="I21" s="94"/>
      <c r="J21" s="39">
        <v>1.02</v>
      </c>
      <c r="K21" s="39">
        <v>1.02</v>
      </c>
      <c r="L21" s="39">
        <v>1.02</v>
      </c>
      <c r="M21" s="39">
        <v>1.02</v>
      </c>
      <c r="N21" s="39">
        <v>1.02</v>
      </c>
      <c r="O21" s="39">
        <v>1.02</v>
      </c>
      <c r="P21" s="39">
        <v>1.02</v>
      </c>
      <c r="Q21" s="39">
        <v>1.02</v>
      </c>
      <c r="R21" s="39">
        <v>1.02</v>
      </c>
      <c r="S21" s="39">
        <v>1.02</v>
      </c>
      <c r="T21" s="39">
        <v>1.02</v>
      </c>
      <c r="U21" s="39">
        <v>1.02</v>
      </c>
      <c r="V21" s="74"/>
    </row>
    <row r="22" spans="2:22" x14ac:dyDescent="0.35">
      <c r="B22" s="48" t="s">
        <v>128</v>
      </c>
      <c r="C22" s="90"/>
      <c r="D22" s="90"/>
      <c r="E22" s="90"/>
      <c r="F22" s="90"/>
      <c r="G22" s="91"/>
      <c r="H22" s="91"/>
      <c r="I22" s="91"/>
      <c r="J22" s="39">
        <v>1.02</v>
      </c>
      <c r="K22" s="39">
        <v>1.02</v>
      </c>
      <c r="L22" s="39">
        <v>1.02</v>
      </c>
      <c r="M22" s="39">
        <v>1.02</v>
      </c>
      <c r="N22" s="39">
        <v>1.02</v>
      </c>
      <c r="O22" s="39">
        <v>1.02</v>
      </c>
      <c r="P22" s="39">
        <v>1.02</v>
      </c>
      <c r="Q22" s="39">
        <v>1.02</v>
      </c>
      <c r="R22" s="39">
        <v>1.02</v>
      </c>
      <c r="S22" s="39">
        <v>1.02</v>
      </c>
      <c r="T22" s="39">
        <v>1.02</v>
      </c>
      <c r="U22" s="39">
        <v>1.02</v>
      </c>
      <c r="V22" s="74"/>
    </row>
    <row r="23" spans="2:22" x14ac:dyDescent="0.35">
      <c r="B23" s="48" t="s">
        <v>129</v>
      </c>
      <c r="C23" s="90"/>
      <c r="D23" s="92"/>
      <c r="E23" s="92"/>
      <c r="F23" s="92"/>
      <c r="G23" s="91"/>
      <c r="H23" s="91"/>
      <c r="I23" s="91"/>
      <c r="J23" s="39">
        <v>1.02</v>
      </c>
      <c r="K23" s="39">
        <v>1.02</v>
      </c>
      <c r="L23" s="39">
        <v>1.02</v>
      </c>
      <c r="M23" s="39">
        <v>1.02</v>
      </c>
      <c r="N23" s="39">
        <v>1.02</v>
      </c>
      <c r="O23" s="39">
        <v>1.02</v>
      </c>
      <c r="P23" s="39">
        <v>1.02</v>
      </c>
      <c r="Q23" s="39">
        <v>1.02</v>
      </c>
      <c r="R23" s="39">
        <v>1.02</v>
      </c>
      <c r="S23" s="39">
        <v>1.02</v>
      </c>
      <c r="T23" s="39">
        <v>1.02</v>
      </c>
      <c r="U23" s="39">
        <v>1.02</v>
      </c>
      <c r="V23" s="74"/>
    </row>
    <row r="24" spans="2:22" x14ac:dyDescent="0.35">
      <c r="B24" s="48" t="s">
        <v>130</v>
      </c>
      <c r="C24" s="90"/>
      <c r="D24" s="90"/>
      <c r="E24" s="90"/>
      <c r="F24" s="90"/>
      <c r="G24" s="91"/>
      <c r="H24" s="91"/>
      <c r="I24" s="91"/>
      <c r="J24" s="39">
        <v>1.02</v>
      </c>
      <c r="K24" s="39">
        <v>1.02</v>
      </c>
      <c r="L24" s="39">
        <v>1.02</v>
      </c>
      <c r="M24" s="39">
        <v>1.02</v>
      </c>
      <c r="N24" s="39">
        <v>1.02</v>
      </c>
      <c r="O24" s="39">
        <v>1.02</v>
      </c>
      <c r="P24" s="39">
        <v>1.02</v>
      </c>
      <c r="Q24" s="39">
        <v>1.02</v>
      </c>
      <c r="R24" s="39">
        <v>1.02</v>
      </c>
      <c r="S24" s="39">
        <v>1.02</v>
      </c>
      <c r="T24" s="39">
        <v>1.02</v>
      </c>
      <c r="U24" s="39">
        <v>1.02</v>
      </c>
      <c r="V24" s="74"/>
    </row>
    <row r="25" spans="2:22" x14ac:dyDescent="0.35">
      <c r="B25" s="48" t="s">
        <v>131</v>
      </c>
      <c r="C25" s="90"/>
      <c r="D25" s="90"/>
      <c r="E25" s="90"/>
      <c r="F25" s="90"/>
      <c r="G25" s="91"/>
      <c r="H25" s="91"/>
      <c r="I25" s="91"/>
      <c r="J25" s="39">
        <v>1.02</v>
      </c>
      <c r="K25" s="39">
        <v>1.02</v>
      </c>
      <c r="L25" s="39">
        <v>1.02</v>
      </c>
      <c r="M25" s="39">
        <v>1.02</v>
      </c>
      <c r="N25" s="39">
        <v>1.02</v>
      </c>
      <c r="O25" s="39">
        <v>1.02</v>
      </c>
      <c r="P25" s="39">
        <v>1.02</v>
      </c>
      <c r="Q25" s="39">
        <v>1.02</v>
      </c>
      <c r="R25" s="39">
        <v>1.02</v>
      </c>
      <c r="S25" s="39">
        <v>1.02</v>
      </c>
      <c r="T25" s="39">
        <v>1.02</v>
      </c>
      <c r="U25" s="39">
        <v>1.02</v>
      </c>
      <c r="V25" s="74"/>
    </row>
    <row r="26" spans="2:22" x14ac:dyDescent="0.35">
      <c r="B26" s="48" t="s">
        <v>144</v>
      </c>
      <c r="C26" s="90"/>
      <c r="D26" s="90"/>
      <c r="E26" s="90"/>
      <c r="F26" s="90"/>
      <c r="G26" s="91"/>
      <c r="H26" s="91"/>
      <c r="I26" s="91"/>
      <c r="J26" s="39">
        <v>1.02</v>
      </c>
      <c r="K26" s="39">
        <v>1.02</v>
      </c>
      <c r="L26" s="39">
        <v>1.02</v>
      </c>
      <c r="M26" s="39">
        <v>1.02</v>
      </c>
      <c r="N26" s="39">
        <v>1.02</v>
      </c>
      <c r="O26" s="39">
        <v>1.02</v>
      </c>
      <c r="P26" s="39">
        <v>1.02</v>
      </c>
      <c r="Q26" s="39">
        <v>1.02</v>
      </c>
      <c r="R26" s="39">
        <v>1.02</v>
      </c>
      <c r="S26" s="39">
        <v>1.02</v>
      </c>
      <c r="T26" s="39">
        <v>1.02</v>
      </c>
      <c r="U26" s="39">
        <v>1.02</v>
      </c>
      <c r="V26" s="74"/>
    </row>
    <row r="27" spans="2:22" x14ac:dyDescent="0.35">
      <c r="B27" s="48" t="s">
        <v>133</v>
      </c>
      <c r="C27" s="90"/>
      <c r="D27" s="90"/>
      <c r="E27" s="90"/>
      <c r="F27" s="90"/>
      <c r="G27" s="91"/>
      <c r="H27" s="91"/>
      <c r="I27" s="91"/>
      <c r="J27" s="39">
        <v>1.02</v>
      </c>
      <c r="K27" s="39">
        <v>1.02</v>
      </c>
      <c r="L27" s="39">
        <v>1.02</v>
      </c>
      <c r="M27" s="39">
        <v>1.02</v>
      </c>
      <c r="N27" s="39">
        <v>1.02</v>
      </c>
      <c r="O27" s="39">
        <v>1.02</v>
      </c>
      <c r="P27" s="39">
        <v>1.02</v>
      </c>
      <c r="Q27" s="39">
        <v>1.02</v>
      </c>
      <c r="R27" s="39">
        <v>1.02</v>
      </c>
      <c r="S27" s="39">
        <v>1.02</v>
      </c>
      <c r="T27" s="39">
        <v>1.02</v>
      </c>
      <c r="U27" s="39">
        <v>1.02</v>
      </c>
      <c r="V27" s="74"/>
    </row>
    <row r="28" spans="2:22" x14ac:dyDescent="0.35">
      <c r="B28" s="48"/>
      <c r="C28" s="90"/>
      <c r="D28" s="90"/>
      <c r="E28" s="90"/>
      <c r="F28" s="90"/>
      <c r="G28" s="90"/>
      <c r="H28" s="90"/>
      <c r="I28" s="93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74"/>
    </row>
    <row r="29" spans="2:22" x14ac:dyDescent="0.35">
      <c r="B29" s="47" t="s">
        <v>181</v>
      </c>
      <c r="C29" s="94"/>
      <c r="D29" s="94"/>
      <c r="E29" s="94"/>
      <c r="F29" s="94"/>
      <c r="G29" s="94"/>
      <c r="H29" s="94"/>
      <c r="I29" s="94"/>
      <c r="J29" s="39">
        <v>1</v>
      </c>
      <c r="K29" s="39">
        <v>1</v>
      </c>
      <c r="L29" s="39">
        <v>1</v>
      </c>
      <c r="M29" s="39">
        <v>1</v>
      </c>
      <c r="N29" s="39">
        <v>1</v>
      </c>
      <c r="O29" s="39">
        <v>1</v>
      </c>
      <c r="P29" s="39">
        <v>1</v>
      </c>
      <c r="Q29" s="39">
        <v>1</v>
      </c>
      <c r="R29" s="39">
        <v>1</v>
      </c>
      <c r="S29" s="39">
        <v>1</v>
      </c>
      <c r="T29" s="39">
        <v>1</v>
      </c>
      <c r="U29" s="39">
        <v>1</v>
      </c>
      <c r="V29" s="74"/>
    </row>
    <row r="30" spans="2:22" x14ac:dyDescent="0.35">
      <c r="B30" s="48" t="s">
        <v>128</v>
      </c>
      <c r="C30" s="90"/>
      <c r="D30" s="90"/>
      <c r="E30" s="90"/>
      <c r="F30" s="90"/>
      <c r="G30" s="91"/>
      <c r="H30" s="91"/>
      <c r="I30" s="91"/>
      <c r="J30" s="39">
        <v>1</v>
      </c>
      <c r="K30" s="39">
        <v>1</v>
      </c>
      <c r="L30" s="39">
        <v>1</v>
      </c>
      <c r="M30" s="39">
        <v>1</v>
      </c>
      <c r="N30" s="39">
        <v>1</v>
      </c>
      <c r="O30" s="39">
        <v>1</v>
      </c>
      <c r="P30" s="39">
        <v>1</v>
      </c>
      <c r="Q30" s="39">
        <v>1</v>
      </c>
      <c r="R30" s="39">
        <v>1</v>
      </c>
      <c r="S30" s="39">
        <v>1</v>
      </c>
      <c r="T30" s="39">
        <v>1</v>
      </c>
      <c r="U30" s="39">
        <v>1</v>
      </c>
      <c r="V30" s="74"/>
    </row>
    <row r="31" spans="2:22" x14ac:dyDescent="0.35">
      <c r="B31" s="48" t="s">
        <v>129</v>
      </c>
      <c r="C31" s="90"/>
      <c r="D31" s="92"/>
      <c r="E31" s="92"/>
      <c r="F31" s="92"/>
      <c r="G31" s="91"/>
      <c r="H31" s="91"/>
      <c r="I31" s="91"/>
      <c r="J31" s="39">
        <v>1</v>
      </c>
      <c r="K31" s="39">
        <v>1</v>
      </c>
      <c r="L31" s="39">
        <v>1</v>
      </c>
      <c r="M31" s="39">
        <v>1</v>
      </c>
      <c r="N31" s="39">
        <v>1</v>
      </c>
      <c r="O31" s="39">
        <v>1</v>
      </c>
      <c r="P31" s="39">
        <v>1</v>
      </c>
      <c r="Q31" s="39">
        <v>1</v>
      </c>
      <c r="R31" s="39">
        <v>1</v>
      </c>
      <c r="S31" s="39">
        <v>1</v>
      </c>
      <c r="T31" s="39">
        <v>1</v>
      </c>
      <c r="U31" s="39">
        <v>1</v>
      </c>
      <c r="V31" s="74"/>
    </row>
    <row r="32" spans="2:22" x14ac:dyDescent="0.35">
      <c r="B32" s="48" t="s">
        <v>130</v>
      </c>
      <c r="C32" s="90"/>
      <c r="D32" s="90"/>
      <c r="E32" s="90"/>
      <c r="F32" s="90"/>
      <c r="G32" s="91"/>
      <c r="H32" s="91"/>
      <c r="I32" s="91"/>
      <c r="J32" s="39">
        <v>1</v>
      </c>
      <c r="K32" s="39">
        <v>1</v>
      </c>
      <c r="L32" s="39">
        <v>1</v>
      </c>
      <c r="M32" s="39">
        <v>1</v>
      </c>
      <c r="N32" s="39">
        <v>1</v>
      </c>
      <c r="O32" s="39">
        <v>1</v>
      </c>
      <c r="P32" s="39">
        <v>1</v>
      </c>
      <c r="Q32" s="39">
        <v>1</v>
      </c>
      <c r="R32" s="39">
        <v>1</v>
      </c>
      <c r="S32" s="39">
        <v>1</v>
      </c>
      <c r="T32" s="39">
        <v>1</v>
      </c>
      <c r="U32" s="39">
        <v>1</v>
      </c>
      <c r="V32" s="74"/>
    </row>
    <row r="33" spans="2:22" x14ac:dyDescent="0.35">
      <c r="B33" s="48" t="s">
        <v>131</v>
      </c>
      <c r="C33" s="90"/>
      <c r="D33" s="90"/>
      <c r="E33" s="90"/>
      <c r="F33" s="90"/>
      <c r="G33" s="91"/>
      <c r="H33" s="91"/>
      <c r="I33" s="91"/>
      <c r="J33" s="39">
        <v>1</v>
      </c>
      <c r="K33" s="39">
        <v>1</v>
      </c>
      <c r="L33" s="39">
        <v>1</v>
      </c>
      <c r="M33" s="39">
        <v>1</v>
      </c>
      <c r="N33" s="39">
        <v>1</v>
      </c>
      <c r="O33" s="39">
        <v>1</v>
      </c>
      <c r="P33" s="39">
        <v>1</v>
      </c>
      <c r="Q33" s="39">
        <v>1</v>
      </c>
      <c r="R33" s="39">
        <v>1</v>
      </c>
      <c r="S33" s="39">
        <v>1</v>
      </c>
      <c r="T33" s="39">
        <v>1</v>
      </c>
      <c r="U33" s="39">
        <v>1</v>
      </c>
      <c r="V33" s="74"/>
    </row>
    <row r="34" spans="2:22" x14ac:dyDescent="0.35">
      <c r="B34" s="48" t="s">
        <v>144</v>
      </c>
      <c r="C34" s="90"/>
      <c r="D34" s="90"/>
      <c r="E34" s="90"/>
      <c r="F34" s="90"/>
      <c r="G34" s="91"/>
      <c r="H34" s="91"/>
      <c r="I34" s="91"/>
      <c r="J34" s="39">
        <v>1</v>
      </c>
      <c r="K34" s="39">
        <v>1</v>
      </c>
      <c r="L34" s="39">
        <v>1</v>
      </c>
      <c r="M34" s="39">
        <v>1</v>
      </c>
      <c r="N34" s="39">
        <v>1</v>
      </c>
      <c r="O34" s="39">
        <v>1</v>
      </c>
      <c r="P34" s="39">
        <v>1</v>
      </c>
      <c r="Q34" s="39">
        <v>1</v>
      </c>
      <c r="R34" s="39">
        <v>1</v>
      </c>
      <c r="S34" s="39">
        <v>1</v>
      </c>
      <c r="T34" s="39">
        <v>1</v>
      </c>
      <c r="U34" s="39">
        <v>1</v>
      </c>
      <c r="V34" s="74"/>
    </row>
    <row r="35" spans="2:22" x14ac:dyDescent="0.35">
      <c r="B35" s="48" t="s">
        <v>133</v>
      </c>
      <c r="C35" s="90"/>
      <c r="D35" s="90"/>
      <c r="E35" s="90"/>
      <c r="F35" s="90"/>
      <c r="G35" s="91"/>
      <c r="H35" s="91"/>
      <c r="I35" s="91"/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39">
        <v>1</v>
      </c>
      <c r="P35" s="39">
        <v>1</v>
      </c>
      <c r="Q35" s="39">
        <v>1</v>
      </c>
      <c r="R35" s="39">
        <v>1</v>
      </c>
      <c r="S35" s="39">
        <v>1</v>
      </c>
      <c r="T35" s="39">
        <v>1</v>
      </c>
      <c r="U35" s="39">
        <v>1</v>
      </c>
      <c r="V35" s="74"/>
    </row>
    <row r="36" spans="2:22" x14ac:dyDescent="0.35">
      <c r="B36" s="48"/>
      <c r="C36" s="90"/>
      <c r="D36" s="90"/>
      <c r="E36" s="90"/>
      <c r="F36" s="90"/>
      <c r="G36" s="90"/>
      <c r="H36" s="90"/>
      <c r="I36" s="93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74"/>
    </row>
    <row r="37" spans="2:22" x14ac:dyDescent="0.35">
      <c r="B37" s="47" t="s">
        <v>182</v>
      </c>
      <c r="C37" s="94"/>
      <c r="D37" s="94"/>
      <c r="E37" s="94"/>
      <c r="F37" s="94"/>
      <c r="G37" s="94"/>
      <c r="H37" s="94"/>
      <c r="I37" s="94"/>
      <c r="J37" s="39">
        <v>0.98</v>
      </c>
      <c r="K37" s="39">
        <v>0.98</v>
      </c>
      <c r="L37" s="39">
        <v>0.98</v>
      </c>
      <c r="M37" s="39">
        <v>0.98</v>
      </c>
      <c r="N37" s="39">
        <v>0.98</v>
      </c>
      <c r="O37" s="39">
        <v>0.98</v>
      </c>
      <c r="P37" s="39">
        <v>0.98</v>
      </c>
      <c r="Q37" s="39">
        <v>0.98</v>
      </c>
      <c r="R37" s="39">
        <v>0.98</v>
      </c>
      <c r="S37" s="39">
        <v>0.98</v>
      </c>
      <c r="T37" s="39">
        <v>0.98</v>
      </c>
      <c r="U37" s="39">
        <v>0.98</v>
      </c>
      <c r="V37" s="74"/>
    </row>
    <row r="38" spans="2:22" x14ac:dyDescent="0.35">
      <c r="B38" s="48" t="s">
        <v>128</v>
      </c>
      <c r="C38" s="90"/>
      <c r="D38" s="90"/>
      <c r="E38" s="90"/>
      <c r="F38" s="90"/>
      <c r="G38" s="91"/>
      <c r="H38" s="91"/>
      <c r="I38" s="91"/>
      <c r="J38" s="39">
        <v>0.98</v>
      </c>
      <c r="K38" s="39">
        <v>0.98</v>
      </c>
      <c r="L38" s="39">
        <v>0.98</v>
      </c>
      <c r="M38" s="39">
        <v>0.98</v>
      </c>
      <c r="N38" s="39">
        <v>0.98</v>
      </c>
      <c r="O38" s="39">
        <v>0.98</v>
      </c>
      <c r="P38" s="39">
        <v>0.98</v>
      </c>
      <c r="Q38" s="39">
        <v>0.98</v>
      </c>
      <c r="R38" s="39">
        <v>0.98</v>
      </c>
      <c r="S38" s="39">
        <v>0.98</v>
      </c>
      <c r="T38" s="39">
        <v>0.98</v>
      </c>
      <c r="U38" s="39">
        <v>0.98</v>
      </c>
      <c r="V38" s="74"/>
    </row>
    <row r="39" spans="2:22" x14ac:dyDescent="0.35">
      <c r="B39" s="48" t="s">
        <v>129</v>
      </c>
      <c r="C39" s="90"/>
      <c r="D39" s="92"/>
      <c r="E39" s="92"/>
      <c r="F39" s="92"/>
      <c r="G39" s="91"/>
      <c r="H39" s="91"/>
      <c r="I39" s="91"/>
      <c r="J39" s="39">
        <v>0.98</v>
      </c>
      <c r="K39" s="39">
        <v>0.98</v>
      </c>
      <c r="L39" s="39">
        <v>0.98</v>
      </c>
      <c r="M39" s="39">
        <v>0.98</v>
      </c>
      <c r="N39" s="39">
        <v>0.98</v>
      </c>
      <c r="O39" s="39">
        <v>0.98</v>
      </c>
      <c r="P39" s="39">
        <v>0.98</v>
      </c>
      <c r="Q39" s="39">
        <v>0.98</v>
      </c>
      <c r="R39" s="39">
        <v>0.98</v>
      </c>
      <c r="S39" s="39">
        <v>0.98</v>
      </c>
      <c r="T39" s="39">
        <v>0.98</v>
      </c>
      <c r="U39" s="39">
        <v>0.98</v>
      </c>
      <c r="V39" s="74"/>
    </row>
    <row r="40" spans="2:22" x14ac:dyDescent="0.35">
      <c r="B40" s="48" t="s">
        <v>130</v>
      </c>
      <c r="C40" s="90"/>
      <c r="D40" s="90"/>
      <c r="E40" s="90"/>
      <c r="F40" s="90"/>
      <c r="G40" s="91"/>
      <c r="H40" s="91"/>
      <c r="I40" s="91"/>
      <c r="J40" s="39">
        <v>0.98</v>
      </c>
      <c r="K40" s="39">
        <v>0.98</v>
      </c>
      <c r="L40" s="39">
        <v>0.98</v>
      </c>
      <c r="M40" s="39">
        <v>0.98</v>
      </c>
      <c r="N40" s="39">
        <v>0.98</v>
      </c>
      <c r="O40" s="39">
        <v>0.98</v>
      </c>
      <c r="P40" s="39">
        <v>0.98</v>
      </c>
      <c r="Q40" s="39">
        <v>0.98</v>
      </c>
      <c r="R40" s="39">
        <v>0.98</v>
      </c>
      <c r="S40" s="39">
        <v>0.98</v>
      </c>
      <c r="T40" s="39">
        <v>0.98</v>
      </c>
      <c r="U40" s="39">
        <v>0.98</v>
      </c>
      <c r="V40" s="74"/>
    </row>
    <row r="41" spans="2:22" x14ac:dyDescent="0.35">
      <c r="B41" s="48" t="s">
        <v>131</v>
      </c>
      <c r="C41" s="90"/>
      <c r="D41" s="90"/>
      <c r="E41" s="90"/>
      <c r="F41" s="90"/>
      <c r="G41" s="91"/>
      <c r="H41" s="91"/>
      <c r="I41" s="91"/>
      <c r="J41" s="39">
        <v>0.98</v>
      </c>
      <c r="K41" s="39">
        <v>0.98</v>
      </c>
      <c r="L41" s="39">
        <v>0.98</v>
      </c>
      <c r="M41" s="39">
        <v>0.98</v>
      </c>
      <c r="N41" s="39">
        <v>0.98</v>
      </c>
      <c r="O41" s="39">
        <v>0.98</v>
      </c>
      <c r="P41" s="39">
        <v>0.98</v>
      </c>
      <c r="Q41" s="39">
        <v>0.98</v>
      </c>
      <c r="R41" s="39">
        <v>0.98</v>
      </c>
      <c r="S41" s="39">
        <v>0.98</v>
      </c>
      <c r="T41" s="39">
        <v>0.98</v>
      </c>
      <c r="U41" s="39">
        <v>0.98</v>
      </c>
      <c r="V41" s="74"/>
    </row>
    <row r="42" spans="2:22" x14ac:dyDescent="0.35">
      <c r="B42" s="48" t="s">
        <v>144</v>
      </c>
      <c r="C42" s="90"/>
      <c r="D42" s="90"/>
      <c r="E42" s="90"/>
      <c r="F42" s="90"/>
      <c r="G42" s="91"/>
      <c r="H42" s="91"/>
      <c r="I42" s="91"/>
      <c r="J42" s="39">
        <v>0.98</v>
      </c>
      <c r="K42" s="39">
        <v>0.98</v>
      </c>
      <c r="L42" s="39">
        <v>0.98</v>
      </c>
      <c r="M42" s="39">
        <v>0.98</v>
      </c>
      <c r="N42" s="39">
        <v>0.98</v>
      </c>
      <c r="O42" s="39">
        <v>0.98</v>
      </c>
      <c r="P42" s="39">
        <v>0.98</v>
      </c>
      <c r="Q42" s="39">
        <v>0.98</v>
      </c>
      <c r="R42" s="39">
        <v>0.98</v>
      </c>
      <c r="S42" s="39">
        <v>0.98</v>
      </c>
      <c r="T42" s="39">
        <v>0.98</v>
      </c>
      <c r="U42" s="39">
        <v>0.98</v>
      </c>
      <c r="V42" s="74"/>
    </row>
    <row r="43" spans="2:22" x14ac:dyDescent="0.35">
      <c r="B43" s="48" t="s">
        <v>133</v>
      </c>
      <c r="C43" s="90"/>
      <c r="D43" s="90"/>
      <c r="E43" s="90"/>
      <c r="F43" s="90"/>
      <c r="G43" s="91"/>
      <c r="H43" s="91"/>
      <c r="I43" s="91"/>
      <c r="J43" s="39">
        <v>0.98</v>
      </c>
      <c r="K43" s="39">
        <v>0.98</v>
      </c>
      <c r="L43" s="39">
        <v>0.98</v>
      </c>
      <c r="M43" s="39">
        <v>0.98</v>
      </c>
      <c r="N43" s="39">
        <v>0.98</v>
      </c>
      <c r="O43" s="39">
        <v>0.98</v>
      </c>
      <c r="P43" s="39">
        <v>0.98</v>
      </c>
      <c r="Q43" s="39">
        <v>0.98</v>
      </c>
      <c r="R43" s="39">
        <v>0.98</v>
      </c>
      <c r="S43" s="39">
        <v>0.98</v>
      </c>
      <c r="T43" s="39">
        <v>0.98</v>
      </c>
      <c r="U43" s="39">
        <v>0.98</v>
      </c>
      <c r="V43" s="74"/>
    </row>
    <row r="44" spans="2:22" x14ac:dyDescent="0.35">
      <c r="B44" s="48"/>
      <c r="C44" s="49"/>
      <c r="D44" s="49"/>
      <c r="E44" s="49"/>
      <c r="F44" s="49"/>
      <c r="G44" s="49"/>
      <c r="H44" s="49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74"/>
    </row>
  </sheetData>
  <mergeCells count="1">
    <mergeCell ref="C3:Q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5F72-3394-41E1-B915-8B8B6213D76F}">
  <dimension ref="A1:J26"/>
  <sheetViews>
    <sheetView workbookViewId="0">
      <selection activeCell="E19" sqref="E19"/>
    </sheetView>
  </sheetViews>
  <sheetFormatPr defaultColWidth="9.1328125" defaultRowHeight="11.65" x14ac:dyDescent="0.35"/>
  <cols>
    <col min="1" max="1" width="2" style="4" customWidth="1"/>
    <col min="2" max="2" width="17.796875" style="4" customWidth="1"/>
    <col min="3" max="3" width="33.33203125" style="4" customWidth="1"/>
    <col min="4" max="6" width="9.1328125" style="4"/>
    <col min="7" max="7" width="2" style="4" customWidth="1"/>
    <col min="8" max="16384" width="9.1328125" style="4"/>
  </cols>
  <sheetData>
    <row r="1" spans="1:10" ht="15" x14ac:dyDescent="0.35">
      <c r="A1" s="1"/>
      <c r="B1" s="2" t="s">
        <v>210</v>
      </c>
    </row>
    <row r="2" spans="1:10" ht="15" x14ac:dyDescent="0.35">
      <c r="A2" s="1"/>
      <c r="B2" s="2"/>
    </row>
    <row r="3" spans="1:10" ht="12.75" x14ac:dyDescent="0.35">
      <c r="A3" s="1"/>
      <c r="B3" s="95" t="s">
        <v>157</v>
      </c>
    </row>
    <row r="5" spans="1:10" ht="23.25" x14ac:dyDescent="0.35">
      <c r="B5" s="44" t="s">
        <v>117</v>
      </c>
      <c r="C5" s="44" t="s">
        <v>211</v>
      </c>
      <c r="D5" s="15" t="s">
        <v>212</v>
      </c>
      <c r="E5" s="15" t="s">
        <v>213</v>
      </c>
      <c r="F5" s="15" t="s">
        <v>214</v>
      </c>
      <c r="G5" s="10"/>
      <c r="H5" s="15" t="s">
        <v>159</v>
      </c>
    </row>
    <row r="6" spans="1:10" x14ac:dyDescent="0.35">
      <c r="B6" s="4" t="s">
        <v>128</v>
      </c>
      <c r="C6" s="4" t="s">
        <v>215</v>
      </c>
      <c r="D6" s="96">
        <v>0.187</v>
      </c>
      <c r="E6" s="96">
        <v>0.14299999999999999</v>
      </c>
      <c r="F6" s="96">
        <v>0.13900000000000001</v>
      </c>
      <c r="G6" s="10"/>
      <c r="H6" s="99">
        <v>0.223</v>
      </c>
      <c r="I6" s="4" t="s">
        <v>221</v>
      </c>
      <c r="J6" s="4" t="s">
        <v>222</v>
      </c>
    </row>
    <row r="7" spans="1:10" x14ac:dyDescent="0.35">
      <c r="B7" s="4" t="s">
        <v>129</v>
      </c>
      <c r="C7" s="4" t="s">
        <v>220</v>
      </c>
      <c r="D7" s="98">
        <v>0.155</v>
      </c>
      <c r="E7" s="98">
        <v>0.183</v>
      </c>
      <c r="F7" s="98">
        <v>0.17199999999999999</v>
      </c>
      <c r="G7" s="10"/>
      <c r="H7" s="99">
        <v>0.223</v>
      </c>
      <c r="I7" s="4" t="s">
        <v>219</v>
      </c>
      <c r="J7" s="4" t="s">
        <v>222</v>
      </c>
    </row>
    <row r="8" spans="1:10" x14ac:dyDescent="0.35">
      <c r="B8" s="4" t="s">
        <v>130</v>
      </c>
      <c r="C8" s="4" t="s">
        <v>220</v>
      </c>
      <c r="D8" s="98">
        <v>0.187</v>
      </c>
      <c r="E8" s="98">
        <v>0.14299999999999999</v>
      </c>
      <c r="F8" s="98">
        <v>0.13900000000000001</v>
      </c>
      <c r="G8" s="10"/>
      <c r="H8" s="97">
        <f t="shared" ref="H8:H11" si="0">AVERAGE(D8:F8)</f>
        <v>0.15633333333333332</v>
      </c>
      <c r="I8" s="4" t="s">
        <v>157</v>
      </c>
    </row>
    <row r="9" spans="1:10" x14ac:dyDescent="0.35">
      <c r="B9" s="4" t="s">
        <v>131</v>
      </c>
      <c r="C9" s="4" t="s">
        <v>216</v>
      </c>
      <c r="D9" s="98">
        <v>0.36</v>
      </c>
      <c r="E9" s="98">
        <v>0.44</v>
      </c>
      <c r="F9" s="98">
        <v>0.52300000000000002</v>
      </c>
      <c r="G9" s="10"/>
      <c r="H9" s="97">
        <f t="shared" si="0"/>
        <v>0.441</v>
      </c>
      <c r="I9" s="4" t="s">
        <v>157</v>
      </c>
    </row>
    <row r="10" spans="1:10" x14ac:dyDescent="0.35">
      <c r="B10" s="4" t="s">
        <v>132</v>
      </c>
      <c r="C10" s="4" t="s">
        <v>215</v>
      </c>
      <c r="D10" s="96">
        <v>0.187</v>
      </c>
      <c r="E10" s="96">
        <v>0.14299999999999999</v>
      </c>
      <c r="F10" s="96">
        <v>0.13900000000000001</v>
      </c>
      <c r="G10" s="10"/>
      <c r="H10" s="97">
        <f t="shared" si="0"/>
        <v>0.15633333333333332</v>
      </c>
      <c r="I10" s="4" t="s">
        <v>157</v>
      </c>
    </row>
    <row r="11" spans="1:10" x14ac:dyDescent="0.35">
      <c r="B11" s="4" t="s">
        <v>133</v>
      </c>
      <c r="C11" s="4" t="s">
        <v>217</v>
      </c>
      <c r="D11" s="96">
        <v>0.23</v>
      </c>
      <c r="E11" s="96">
        <v>0.23</v>
      </c>
      <c r="F11" s="96">
        <v>0.14599999999999999</v>
      </c>
      <c r="G11" s="10"/>
      <c r="H11" s="97">
        <f t="shared" si="0"/>
        <v>0.20199999999999999</v>
      </c>
      <c r="I11" s="4" t="s">
        <v>157</v>
      </c>
    </row>
    <row r="14" spans="1:10" x14ac:dyDescent="0.35">
      <c r="F14" s="4" t="s">
        <v>158</v>
      </c>
    </row>
    <row r="15" spans="1:10" x14ac:dyDescent="0.35">
      <c r="B15" s="44" t="s">
        <v>117</v>
      </c>
      <c r="C15" s="15" t="s">
        <v>159</v>
      </c>
    </row>
    <row r="16" spans="1:10" x14ac:dyDescent="0.35">
      <c r="B16" s="4" t="s">
        <v>128</v>
      </c>
      <c r="C16" s="98">
        <f>H6</f>
        <v>0.223</v>
      </c>
    </row>
    <row r="17" spans="2:3" x14ac:dyDescent="0.35">
      <c r="B17" s="4" t="s">
        <v>129</v>
      </c>
      <c r="C17" s="98">
        <f>H7</f>
        <v>0.223</v>
      </c>
    </row>
    <row r="18" spans="2:3" x14ac:dyDescent="0.35">
      <c r="B18" s="4" t="s">
        <v>130</v>
      </c>
      <c r="C18" s="98">
        <f t="shared" ref="C18:C21" si="1">H8</f>
        <v>0.15633333333333332</v>
      </c>
    </row>
    <row r="19" spans="2:3" x14ac:dyDescent="0.35">
      <c r="B19" s="4" t="s">
        <v>131</v>
      </c>
      <c r="C19" s="98">
        <f t="shared" si="1"/>
        <v>0.441</v>
      </c>
    </row>
    <row r="20" spans="2:3" x14ac:dyDescent="0.35">
      <c r="B20" s="4" t="s">
        <v>132</v>
      </c>
      <c r="C20" s="98">
        <f t="shared" si="1"/>
        <v>0.15633333333333332</v>
      </c>
    </row>
    <row r="21" spans="2:3" x14ac:dyDescent="0.35">
      <c r="B21" s="4" t="s">
        <v>133</v>
      </c>
      <c r="C21" s="98">
        <f t="shared" si="1"/>
        <v>0.20199999999999999</v>
      </c>
    </row>
    <row r="25" spans="2:3" x14ac:dyDescent="0.35">
      <c r="B25" s="54" t="s">
        <v>148</v>
      </c>
    </row>
    <row r="26" spans="2:3" x14ac:dyDescent="0.35">
      <c r="B26" s="4" t="s">
        <v>218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5240-BC3D-4742-8E71-67BC1200BDDF}">
  <dimension ref="A1:U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X10" sqref="X10"/>
    </sheetView>
  </sheetViews>
  <sheetFormatPr defaultColWidth="9.1328125" defaultRowHeight="11.65" x14ac:dyDescent="0.35"/>
  <cols>
    <col min="1" max="1" width="2" style="4" customWidth="1"/>
    <col min="2" max="2" width="15.1328125" style="4" customWidth="1"/>
    <col min="3" max="4" width="11.33203125" style="4" bestFit="1" customWidth="1"/>
    <col min="5" max="5" width="9.1328125" style="4"/>
    <col min="6" max="6" width="11.46484375" style="4" bestFit="1" customWidth="1"/>
    <col min="7" max="8" width="10.33203125" style="4" bestFit="1" customWidth="1"/>
    <col min="9" max="12" width="10.46484375" style="4" bestFit="1" customWidth="1"/>
    <col min="13" max="16384" width="9.1328125" style="4"/>
  </cols>
  <sheetData>
    <row r="1" spans="1:21" ht="15" x14ac:dyDescent="0.35">
      <c r="A1" s="1"/>
      <c r="B1" s="2" t="s">
        <v>223</v>
      </c>
    </row>
    <row r="2" spans="1:21" ht="15" x14ac:dyDescent="0.35">
      <c r="A2" s="1"/>
      <c r="B2" s="2"/>
    </row>
    <row r="3" spans="1:21" x14ac:dyDescent="0.35">
      <c r="C3" s="242" t="s">
        <v>224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1:21" ht="23.25" x14ac:dyDescent="0.35">
      <c r="B4" s="44" t="s">
        <v>117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1:21" x14ac:dyDescent="0.35">
      <c r="B5" s="4" t="s">
        <v>128</v>
      </c>
      <c r="C5" s="22" t="s">
        <v>136</v>
      </c>
      <c r="D5" s="22" t="s">
        <v>136</v>
      </c>
      <c r="E5" s="22" t="s">
        <v>136</v>
      </c>
      <c r="F5" s="22" t="s">
        <v>136</v>
      </c>
      <c r="G5" s="22" t="s">
        <v>136</v>
      </c>
      <c r="H5" s="22" t="s">
        <v>136</v>
      </c>
      <c r="I5" s="22" t="s">
        <v>136</v>
      </c>
      <c r="J5" s="72">
        <f>'Revenue Automotive'!J5*G14</f>
        <v>7900.1187264846003</v>
      </c>
      <c r="K5" s="72">
        <f>'Revenue Automotive'!K5*H14</f>
        <v>9085.1365354572899</v>
      </c>
      <c r="L5" s="72">
        <f>'Revenue Automotive'!L5*I14</f>
        <v>10447.907015775882</v>
      </c>
      <c r="M5" s="72">
        <f>'Revenue Automotive'!M5*J14</f>
        <v>11283.739577037953</v>
      </c>
      <c r="N5" s="72">
        <f>'Revenue Automotive'!N5*K14</f>
        <v>12186.438743200992</v>
      </c>
      <c r="O5" s="72">
        <f>'Revenue Automotive'!O5*L14</f>
        <v>12552.03190549702</v>
      </c>
      <c r="P5" s="72">
        <f>'Revenue Automotive'!P5*M14</f>
        <v>12928.592862661932</v>
      </c>
      <c r="Q5" s="72">
        <f>'Revenue Automotive'!Q5*N14</f>
        <v>13316.45064854179</v>
      </c>
      <c r="R5" s="72">
        <f>'Revenue Automotive'!R5*O14</f>
        <v>13715.944167998043</v>
      </c>
      <c r="S5" s="72">
        <f>'Revenue Automotive'!S5*P14</f>
        <v>14127.422493037984</v>
      </c>
      <c r="T5" s="72">
        <f>'Revenue Automotive'!T5*Q14</f>
        <v>14551.245167829124</v>
      </c>
      <c r="U5" s="72">
        <f>'Revenue Automotive'!U5*R14</f>
        <v>14987.782522863999</v>
      </c>
    </row>
    <row r="6" spans="1:21" x14ac:dyDescent="0.35">
      <c r="B6" s="4" t="s">
        <v>129</v>
      </c>
      <c r="C6" s="22" t="s">
        <v>136</v>
      </c>
      <c r="D6" s="22" t="s">
        <v>136</v>
      </c>
      <c r="E6" s="22" t="s">
        <v>136</v>
      </c>
      <c r="F6" s="22" t="s">
        <v>136</v>
      </c>
      <c r="G6" s="22" t="s">
        <v>136</v>
      </c>
      <c r="H6" s="22" t="s">
        <v>136</v>
      </c>
      <c r="I6" s="22" t="s">
        <v>136</v>
      </c>
      <c r="J6" s="72">
        <f>'Revenue Automotive'!J6*G15</f>
        <v>1486.0698432920506</v>
      </c>
      <c r="K6" s="72">
        <f>'Revenue Automotive'!K6*H15</f>
        <v>1530.6519385908121</v>
      </c>
      <c r="L6" s="72">
        <f>'Revenue Automotive'!L6*I15</f>
        <v>1576.5714967485364</v>
      </c>
      <c r="M6" s="72">
        <f>'Revenue Automotive'!M6*J15</f>
        <v>1623.8686416509925</v>
      </c>
      <c r="N6" s="72">
        <f>'Revenue Automotive'!N6*K15</f>
        <v>1672.5847009005224</v>
      </c>
      <c r="O6" s="72">
        <f>'Revenue Automotive'!O6*L15</f>
        <v>1722.7622419275383</v>
      </c>
      <c r="P6" s="72">
        <f>'Revenue Automotive'!P6*M15</f>
        <v>1774.4451091853643</v>
      </c>
      <c r="Q6" s="72">
        <f>'Revenue Automotive'!Q6*N15</f>
        <v>1827.6784624609252</v>
      </c>
      <c r="R6" s="72">
        <f>'Revenue Automotive'!R6*O15</f>
        <v>1882.5088163347532</v>
      </c>
      <c r="S6" s="72">
        <f>'Revenue Automotive'!S6*P15</f>
        <v>1938.9840808247959</v>
      </c>
      <c r="T6" s="72">
        <f>'Revenue Automotive'!T6*Q15</f>
        <v>1997.1536032495401</v>
      </c>
      <c r="U6" s="72">
        <f>'Revenue Automotive'!U6*R15</f>
        <v>2057.0682113470261</v>
      </c>
    </row>
    <row r="7" spans="1:21" x14ac:dyDescent="0.35">
      <c r="B7" s="4" t="s">
        <v>130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72">
        <f>'Revenue Automotive'!J7*G16</f>
        <v>291.29226299999999</v>
      </c>
      <c r="K7" s="72">
        <f>'Revenue Automotive'!K7*H16</f>
        <v>599.94578819174274</v>
      </c>
      <c r="L7" s="72">
        <f>'Revenue Automotive'!L7*I16</f>
        <v>838.41633618332116</v>
      </c>
      <c r="M7" s="72">
        <f>'Revenue Automotive'!M7*J16</f>
        <v>1173.7828706566497</v>
      </c>
      <c r="N7" s="72">
        <f>'Revenue Automotive'!N7*K16</f>
        <v>1349.8503012551471</v>
      </c>
      <c r="O7" s="72">
        <f>'Revenue Automotive'!O7*L16</f>
        <v>1457.8383253555587</v>
      </c>
      <c r="P7" s="72">
        <f>'Revenue Automotive'!P7*M16</f>
        <v>1574.4653913840036</v>
      </c>
      <c r="Q7" s="72">
        <f>'Revenue Automotive'!Q7*N16</f>
        <v>1621.6993531255239</v>
      </c>
      <c r="R7" s="72">
        <f>'Revenue Automotive'!R7*O16</f>
        <v>1670.3503337192894</v>
      </c>
      <c r="S7" s="72">
        <f>'Revenue Automotive'!S7*P16</f>
        <v>1720.460843730868</v>
      </c>
      <c r="T7" s="72">
        <f>'Revenue Automotive'!T7*Q16</f>
        <v>1772.0746690427941</v>
      </c>
      <c r="U7" s="72">
        <f>'Revenue Automotive'!U7*R16</f>
        <v>1825.2369091140779</v>
      </c>
    </row>
    <row r="8" spans="1:21" x14ac:dyDescent="0.35">
      <c r="B8" s="4" t="s">
        <v>131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72">
        <f>'Revenue Automotive'!J8*G17</f>
        <v>0</v>
      </c>
      <c r="K8" s="72">
        <f>'Revenue Automotive'!K8*H17</f>
        <v>528.99750000000006</v>
      </c>
      <c r="L8" s="72">
        <f>'Revenue Automotive'!L8*I17</f>
        <v>1057.9950000000001</v>
      </c>
      <c r="M8" s="72">
        <f>'Revenue Automotive'!M8*J17</f>
        <v>1586.9925000000001</v>
      </c>
      <c r="N8" s="72">
        <f>'Revenue Automotive'!N8*K17</f>
        <v>2380.48875</v>
      </c>
      <c r="O8" s="72">
        <f>'Revenue Automotive'!O8*L17</f>
        <v>2737.5620624999997</v>
      </c>
      <c r="P8" s="72">
        <f>'Revenue Automotive'!P8*M17</f>
        <v>3148.1963718749994</v>
      </c>
      <c r="Q8" s="72">
        <f>'Revenue Automotive'!Q8*N17</f>
        <v>3400.0520816249991</v>
      </c>
      <c r="R8" s="72">
        <f>'Revenue Automotive'!R8*O17</f>
        <v>3672.0562481549996</v>
      </c>
      <c r="S8" s="72">
        <f>'Revenue Automotive'!S8*P17</f>
        <v>3782.21793559965</v>
      </c>
      <c r="T8" s="72">
        <f>'Revenue Automotive'!T8*Q17</f>
        <v>3895.6844736676394</v>
      </c>
      <c r="U8" s="72">
        <f>'Revenue Automotive'!U8*R17</f>
        <v>4012.5550078776687</v>
      </c>
    </row>
    <row r="9" spans="1:21" x14ac:dyDescent="0.35">
      <c r="B9" s="4" t="s">
        <v>132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72">
        <f>'Revenue Automotive'!J9*G18</f>
        <v>0</v>
      </c>
      <c r="K9" s="72">
        <f>'Revenue Automotive'!K9*H18</f>
        <v>157.55735999999999</v>
      </c>
      <c r="L9" s="72">
        <f>'Revenue Automotive'!L9*I18</f>
        <v>945.34415999999987</v>
      </c>
      <c r="M9" s="72">
        <f>'Revenue Automotive'!M9*J18</f>
        <v>1418.0162399999999</v>
      </c>
      <c r="N9" s="72">
        <f>'Revenue Automotive'!N9*K18</f>
        <v>2127.0243599999999</v>
      </c>
      <c r="O9" s="72">
        <f>'Revenue Automotive'!O9*L18</f>
        <v>2446.0780139999993</v>
      </c>
      <c r="P9" s="72">
        <f>'Revenue Automotive'!P9*M18</f>
        <v>2812.989716099999</v>
      </c>
      <c r="Q9" s="72">
        <f>'Revenue Automotive'!Q9*N18</f>
        <v>3038.0288933879988</v>
      </c>
      <c r="R9" s="72">
        <f>'Revenue Automotive'!R9*O18</f>
        <v>3281.0712048590385</v>
      </c>
      <c r="S9" s="72">
        <f>'Revenue Automotive'!S9*P18</f>
        <v>3379.5033410048104</v>
      </c>
      <c r="T9" s="72">
        <f>'Revenue Automotive'!T9*Q18</f>
        <v>3480.8884412349548</v>
      </c>
      <c r="U9" s="72">
        <f>'Revenue Automotive'!U9*R18</f>
        <v>3585.3150944720037</v>
      </c>
    </row>
    <row r="10" spans="1:21" x14ac:dyDescent="0.35">
      <c r="B10" s="4" t="s">
        <v>133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72">
        <f>'Revenue Automotive'!J10*G19</f>
        <v>0</v>
      </c>
      <c r="K10" s="72">
        <f>'Revenue Automotive'!K10*H19</f>
        <v>39.626999999999995</v>
      </c>
      <c r="L10" s="72">
        <f>'Revenue Automotive'!L10*I19</f>
        <v>1984.52016</v>
      </c>
      <c r="M10" s="72">
        <f>'Revenue Automotive'!M10*J19</f>
        <v>4087.3193792092015</v>
      </c>
      <c r="N10" s="72">
        <f>'Revenue Automotive'!N10*K19</f>
        <v>5711.9749920345075</v>
      </c>
      <c r="O10" s="72">
        <f>'Revenue Automotive'!O10*L19</f>
        <v>7996.7649888483083</v>
      </c>
      <c r="P10" s="72">
        <f>'Revenue Automotive'!P10*M19</f>
        <v>9196.2797371755551</v>
      </c>
      <c r="Q10" s="72">
        <f>'Revenue Automotive'!Q10*N19</f>
        <v>10575.721697751886</v>
      </c>
      <c r="R10" s="72">
        <f>'Revenue Automotive'!R10*O19</f>
        <v>11421.779433572037</v>
      </c>
      <c r="S10" s="72">
        <f>'Revenue Automotive'!S10*P19</f>
        <v>12335.521788257804</v>
      </c>
      <c r="T10" s="72">
        <f>'Revenue Automotive'!T10*Q19</f>
        <v>12705.587441905538</v>
      </c>
      <c r="U10" s="72">
        <f>'Revenue Automotive'!U10*R19</f>
        <v>13086.755065162704</v>
      </c>
    </row>
    <row r="11" spans="1:21" ht="12" thickBot="1" x14ac:dyDescent="0.4">
      <c r="B11" s="45" t="s">
        <v>134</v>
      </c>
      <c r="C11" s="46">
        <f>('P&amp;L Input'!C4+'P&amp;L Input'!C8)/1000</f>
        <v>861.26300000000003</v>
      </c>
      <c r="D11" s="46">
        <f>('P&amp;L Input'!D4+'P&amp;L Input'!D8)/1000</f>
        <v>917.67100000000005</v>
      </c>
      <c r="E11" s="46">
        <f>('P&amp;L Input'!E4+'P&amp;L Input'!E8)/1000</f>
        <v>1600.6849999999999</v>
      </c>
      <c r="F11" s="46">
        <f>('P&amp;L Input'!F4+'P&amp;L Input'!F8)/1000</f>
        <v>2208.596</v>
      </c>
      <c r="G11" s="46">
        <f>('P&amp;L Input'!G4+'P&amp;L Input'!G8)/1000</f>
        <v>4340.9859999999999</v>
      </c>
      <c r="H11" s="46">
        <f>('P&amp;L Input'!H4+'P&amp;L Input'!H8)/1000</f>
        <v>4423</v>
      </c>
      <c r="I11" s="46">
        <f>('P&amp;L Input'!I4+'P&amp;L Input'!I8)/1000</f>
        <v>6977</v>
      </c>
      <c r="J11" s="46">
        <f t="shared" ref="J11:L11" si="0">SUM(J5:J10)</f>
        <v>9677.4808327766495</v>
      </c>
      <c r="K11" s="46">
        <f t="shared" si="0"/>
        <v>11941.916122239845</v>
      </c>
      <c r="L11" s="46">
        <f t="shared" si="0"/>
        <v>16850.754168707739</v>
      </c>
      <c r="M11" s="46">
        <f t="shared" ref="M11:Q11" si="1">SUM(M5:M10)</f>
        <v>21173.719208554798</v>
      </c>
      <c r="N11" s="46">
        <f t="shared" si="1"/>
        <v>25428.36184739117</v>
      </c>
      <c r="O11" s="46">
        <f t="shared" si="1"/>
        <v>28913.037538128425</v>
      </c>
      <c r="P11" s="46">
        <f t="shared" si="1"/>
        <v>31434.969188381849</v>
      </c>
      <c r="Q11" s="46">
        <f t="shared" si="1"/>
        <v>33779.63113689312</v>
      </c>
      <c r="R11" s="46">
        <f t="shared" ref="R11:U11" si="2">SUM(R5:R10)</f>
        <v>35643.710204638162</v>
      </c>
      <c r="S11" s="46">
        <f t="shared" si="2"/>
        <v>37284.110482455908</v>
      </c>
      <c r="T11" s="46">
        <f t="shared" si="2"/>
        <v>38402.633796929593</v>
      </c>
      <c r="U11" s="46">
        <f t="shared" si="2"/>
        <v>39554.712810837482</v>
      </c>
    </row>
    <row r="13" spans="1:21" x14ac:dyDescent="0.35">
      <c r="B13" s="47" t="s">
        <v>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35">
      <c r="B14" s="48" t="s">
        <v>128</v>
      </c>
      <c r="C14" s="49"/>
      <c r="D14" s="49"/>
      <c r="E14" s="49"/>
      <c r="F14" s="49"/>
      <c r="G14" s="50">
        <f>CHOOSE(Drivers!$C$3,'GP Automotive'!G22,'GP Automotive'!G30,'GP Automotive'!G38)</f>
        <v>0.24299999999999999</v>
      </c>
      <c r="H14" s="50">
        <f>CHOOSE(Drivers!$C$3,'GP Automotive'!H22,'GP Automotive'!H30,'GP Automotive'!H38)</f>
        <v>0.24299999999999999</v>
      </c>
      <c r="I14" s="50">
        <f>CHOOSE(Drivers!$C$3,'GP Automotive'!I22,'GP Automotive'!I30,'GP Automotive'!I38)</f>
        <v>0.24299999999999999</v>
      </c>
      <c r="J14" s="50">
        <f>CHOOSE(Drivers!$C$3,'GP Automotive'!J22,'GP Automotive'!J30,'GP Automotive'!J38)</f>
        <v>0.24299999999999999</v>
      </c>
      <c r="K14" s="50">
        <f>CHOOSE(Drivers!$C$3,'GP Automotive'!K22,'GP Automotive'!K30,'GP Automotive'!K38)</f>
        <v>0.24299999999999999</v>
      </c>
      <c r="L14" s="50">
        <f>CHOOSE(Drivers!$C$3,'GP Automotive'!L22,'GP Automotive'!L30,'GP Automotive'!L38)</f>
        <v>0.24299999999999999</v>
      </c>
      <c r="M14" s="50">
        <f>CHOOSE(Drivers!$C$3,'GP Automotive'!M22,'GP Automotive'!M30,'GP Automotive'!M38)</f>
        <v>0.24299999999999999</v>
      </c>
      <c r="N14" s="50">
        <f>CHOOSE(Drivers!$C$3,'GP Automotive'!N22,'GP Automotive'!N30,'GP Automotive'!N38)</f>
        <v>0.24299999999999999</v>
      </c>
      <c r="O14" s="50">
        <f>CHOOSE(Drivers!$C$3,'GP Automotive'!O22,'GP Automotive'!O30,'GP Automotive'!O38)</f>
        <v>0.24299999999999999</v>
      </c>
      <c r="P14" s="50">
        <f>CHOOSE(Drivers!$C$3,'GP Automotive'!P22,'GP Automotive'!P30,'GP Automotive'!P38)</f>
        <v>0.24299999999999999</v>
      </c>
      <c r="Q14" s="50">
        <f>CHOOSE(Drivers!$C$3,'GP Automotive'!Q22,'GP Automotive'!Q30,'GP Automotive'!Q38)</f>
        <v>0.24299999999999999</v>
      </c>
      <c r="R14" s="50">
        <f>CHOOSE(Drivers!$C$3,'GP Automotive'!R22,'GP Automotive'!R30,'GP Automotive'!R38)</f>
        <v>0.24299999999999999</v>
      </c>
      <c r="S14" s="50">
        <f>CHOOSE(Drivers!$C$3,'GP Automotive'!S22,'GP Automotive'!S30,'GP Automotive'!S38)</f>
        <v>0.24299999999999999</v>
      </c>
      <c r="T14" s="50">
        <f>CHOOSE(Drivers!$C$3,'GP Automotive'!T22,'GP Automotive'!T30,'GP Automotive'!T38)</f>
        <v>0.24299999999999999</v>
      </c>
      <c r="U14" s="50">
        <f>CHOOSE(Drivers!$C$3,'GP Automotive'!U22,'GP Automotive'!U30,'GP Automotive'!U38)</f>
        <v>0.24299999999999999</v>
      </c>
    </row>
    <row r="15" spans="1:21" x14ac:dyDescent="0.35">
      <c r="B15" s="48" t="s">
        <v>129</v>
      </c>
      <c r="C15" s="49"/>
      <c r="D15" s="39"/>
      <c r="E15" s="39"/>
      <c r="F15" s="39"/>
      <c r="G15" s="50">
        <f>CHOOSE(Drivers!$C$3,'GP Automotive'!G23,'GP Automotive'!G31,'GP Automotive'!G39)</f>
        <v>0.24299999999999999</v>
      </c>
      <c r="H15" s="50">
        <f>CHOOSE(Drivers!$C$3,'GP Automotive'!H23,'GP Automotive'!H31,'GP Automotive'!H39)</f>
        <v>0.24299999999999999</v>
      </c>
      <c r="I15" s="50">
        <f>CHOOSE(Drivers!$C$3,'GP Automotive'!I23,'GP Automotive'!I31,'GP Automotive'!I39)</f>
        <v>0.24299999999999999</v>
      </c>
      <c r="J15" s="50">
        <f>CHOOSE(Drivers!$C$3,'GP Automotive'!J23,'GP Automotive'!J31,'GP Automotive'!J39)</f>
        <v>0.24299999999999999</v>
      </c>
      <c r="K15" s="50">
        <f>CHOOSE(Drivers!$C$3,'GP Automotive'!K23,'GP Automotive'!K31,'GP Automotive'!K39)</f>
        <v>0.24299999999999999</v>
      </c>
      <c r="L15" s="50">
        <f>CHOOSE(Drivers!$C$3,'GP Automotive'!L23,'GP Automotive'!L31,'GP Automotive'!L39)</f>
        <v>0.24299999999999999</v>
      </c>
      <c r="M15" s="50">
        <f>CHOOSE(Drivers!$C$3,'GP Automotive'!M23,'GP Automotive'!M31,'GP Automotive'!M39)</f>
        <v>0.24299999999999999</v>
      </c>
      <c r="N15" s="50">
        <f>CHOOSE(Drivers!$C$3,'GP Automotive'!N23,'GP Automotive'!N31,'GP Automotive'!N39)</f>
        <v>0.24299999999999999</v>
      </c>
      <c r="O15" s="50">
        <f>CHOOSE(Drivers!$C$3,'GP Automotive'!O23,'GP Automotive'!O31,'GP Automotive'!O39)</f>
        <v>0.24299999999999999</v>
      </c>
      <c r="P15" s="50">
        <f>CHOOSE(Drivers!$C$3,'GP Automotive'!P23,'GP Automotive'!P31,'GP Automotive'!P39)</f>
        <v>0.24299999999999999</v>
      </c>
      <c r="Q15" s="50">
        <f>CHOOSE(Drivers!$C$3,'GP Automotive'!Q23,'GP Automotive'!Q31,'GP Automotive'!Q39)</f>
        <v>0.24299999999999999</v>
      </c>
      <c r="R15" s="50">
        <f>CHOOSE(Drivers!$C$3,'GP Automotive'!R23,'GP Automotive'!R31,'GP Automotive'!R39)</f>
        <v>0.24299999999999999</v>
      </c>
      <c r="S15" s="50">
        <f>CHOOSE(Drivers!$C$3,'GP Automotive'!S23,'GP Automotive'!S31,'GP Automotive'!S39)</f>
        <v>0.24299999999999999</v>
      </c>
      <c r="T15" s="50">
        <f>CHOOSE(Drivers!$C$3,'GP Automotive'!T23,'GP Automotive'!T31,'GP Automotive'!T39)</f>
        <v>0.24299999999999999</v>
      </c>
      <c r="U15" s="50">
        <f>CHOOSE(Drivers!$C$3,'GP Automotive'!U23,'GP Automotive'!U31,'GP Automotive'!U39)</f>
        <v>0.24299999999999999</v>
      </c>
    </row>
    <row r="16" spans="1:21" x14ac:dyDescent="0.35">
      <c r="B16" s="48" t="s">
        <v>130</v>
      </c>
      <c r="C16" s="49"/>
      <c r="D16" s="49"/>
      <c r="E16" s="49"/>
      <c r="F16" s="49"/>
      <c r="G16" s="50">
        <f>CHOOSE(Drivers!$C$3,'GP Automotive'!G24,'GP Automotive'!G32,'GP Automotive'!G40)</f>
        <v>0.17633333333333331</v>
      </c>
      <c r="H16" s="50">
        <f>CHOOSE(Drivers!$C$3,'GP Automotive'!H24,'GP Automotive'!H32,'GP Automotive'!H40)</f>
        <v>0.17633333333333331</v>
      </c>
      <c r="I16" s="50">
        <f>CHOOSE(Drivers!$C$3,'GP Automotive'!I24,'GP Automotive'!I32,'GP Automotive'!I40)</f>
        <v>0.17633333333333331</v>
      </c>
      <c r="J16" s="50">
        <f>CHOOSE(Drivers!$C$3,'GP Automotive'!J24,'GP Automotive'!J32,'GP Automotive'!J40)</f>
        <v>0.17633333333333331</v>
      </c>
      <c r="K16" s="50">
        <f>CHOOSE(Drivers!$C$3,'GP Automotive'!K24,'GP Automotive'!K32,'GP Automotive'!K40)</f>
        <v>0.17633333333333331</v>
      </c>
      <c r="L16" s="50">
        <f>CHOOSE(Drivers!$C$3,'GP Automotive'!L24,'GP Automotive'!L32,'GP Automotive'!L40)</f>
        <v>0.17633333333333331</v>
      </c>
      <c r="M16" s="50">
        <f>CHOOSE(Drivers!$C$3,'GP Automotive'!M24,'GP Automotive'!M32,'GP Automotive'!M40)</f>
        <v>0.17633333333333331</v>
      </c>
      <c r="N16" s="50">
        <f>CHOOSE(Drivers!$C$3,'GP Automotive'!N24,'GP Automotive'!N32,'GP Automotive'!N40)</f>
        <v>0.17633333333333331</v>
      </c>
      <c r="O16" s="50">
        <f>CHOOSE(Drivers!$C$3,'GP Automotive'!O24,'GP Automotive'!O32,'GP Automotive'!O40)</f>
        <v>0.17633333333333331</v>
      </c>
      <c r="P16" s="50">
        <f>CHOOSE(Drivers!$C$3,'GP Automotive'!P24,'GP Automotive'!P32,'GP Automotive'!P40)</f>
        <v>0.17633333333333331</v>
      </c>
      <c r="Q16" s="50">
        <f>CHOOSE(Drivers!$C$3,'GP Automotive'!Q24,'GP Automotive'!Q32,'GP Automotive'!Q40)</f>
        <v>0.17633333333333331</v>
      </c>
      <c r="R16" s="50">
        <f>CHOOSE(Drivers!$C$3,'GP Automotive'!R24,'GP Automotive'!R32,'GP Automotive'!R40)</f>
        <v>0.17633333333333331</v>
      </c>
      <c r="S16" s="50">
        <f>CHOOSE(Drivers!$C$3,'GP Automotive'!S24,'GP Automotive'!S32,'GP Automotive'!S40)</f>
        <v>0.17633333333333331</v>
      </c>
      <c r="T16" s="50">
        <f>CHOOSE(Drivers!$C$3,'GP Automotive'!T24,'GP Automotive'!T32,'GP Automotive'!T40)</f>
        <v>0.17633333333333331</v>
      </c>
      <c r="U16" s="50">
        <f>CHOOSE(Drivers!$C$3,'GP Automotive'!U24,'GP Automotive'!U32,'GP Automotive'!U40)</f>
        <v>0.17633333333333331</v>
      </c>
    </row>
    <row r="17" spans="2:21" x14ac:dyDescent="0.35">
      <c r="B17" s="48" t="s">
        <v>131</v>
      </c>
      <c r="C17" s="49"/>
      <c r="D17" s="49"/>
      <c r="E17" s="49"/>
      <c r="F17" s="49"/>
      <c r="G17" s="50">
        <f>CHOOSE(Drivers!$C$3,'GP Automotive'!G25,'GP Automotive'!G33,'GP Automotive'!G41)</f>
        <v>0.46100000000000002</v>
      </c>
      <c r="H17" s="50">
        <f>CHOOSE(Drivers!$C$3,'GP Automotive'!H25,'GP Automotive'!H33,'GP Automotive'!H41)</f>
        <v>0.46100000000000002</v>
      </c>
      <c r="I17" s="50">
        <f>CHOOSE(Drivers!$C$3,'GP Automotive'!I25,'GP Automotive'!I33,'GP Automotive'!I41)</f>
        <v>0.46100000000000002</v>
      </c>
      <c r="J17" s="50">
        <f>CHOOSE(Drivers!$C$3,'GP Automotive'!J25,'GP Automotive'!J33,'GP Automotive'!J41)</f>
        <v>0.46100000000000002</v>
      </c>
      <c r="K17" s="50">
        <f>CHOOSE(Drivers!$C$3,'GP Automotive'!K25,'GP Automotive'!K33,'GP Automotive'!K41)</f>
        <v>0.46100000000000002</v>
      </c>
      <c r="L17" s="50">
        <f>CHOOSE(Drivers!$C$3,'GP Automotive'!L25,'GP Automotive'!L33,'GP Automotive'!L41)</f>
        <v>0.46100000000000002</v>
      </c>
      <c r="M17" s="50">
        <f>CHOOSE(Drivers!$C$3,'GP Automotive'!M25,'GP Automotive'!M33,'GP Automotive'!M41)</f>
        <v>0.46100000000000002</v>
      </c>
      <c r="N17" s="50">
        <f>CHOOSE(Drivers!$C$3,'GP Automotive'!N25,'GP Automotive'!N33,'GP Automotive'!N41)</f>
        <v>0.46100000000000002</v>
      </c>
      <c r="O17" s="50">
        <f>CHOOSE(Drivers!$C$3,'GP Automotive'!O25,'GP Automotive'!O33,'GP Automotive'!O41)</f>
        <v>0.46100000000000002</v>
      </c>
      <c r="P17" s="50">
        <f>CHOOSE(Drivers!$C$3,'GP Automotive'!P25,'GP Automotive'!P33,'GP Automotive'!P41)</f>
        <v>0.46100000000000002</v>
      </c>
      <c r="Q17" s="50">
        <f>CHOOSE(Drivers!$C$3,'GP Automotive'!Q25,'GP Automotive'!Q33,'GP Automotive'!Q41)</f>
        <v>0.46100000000000002</v>
      </c>
      <c r="R17" s="50">
        <f>CHOOSE(Drivers!$C$3,'GP Automotive'!R25,'GP Automotive'!R33,'GP Automotive'!R41)</f>
        <v>0.46100000000000002</v>
      </c>
      <c r="S17" s="50">
        <f>CHOOSE(Drivers!$C$3,'GP Automotive'!S25,'GP Automotive'!S33,'GP Automotive'!S41)</f>
        <v>0.46100000000000002</v>
      </c>
      <c r="T17" s="50">
        <f>CHOOSE(Drivers!$C$3,'GP Automotive'!T25,'GP Automotive'!T33,'GP Automotive'!T41)</f>
        <v>0.46100000000000002</v>
      </c>
      <c r="U17" s="50">
        <f>CHOOSE(Drivers!$C$3,'GP Automotive'!U25,'GP Automotive'!U33,'GP Automotive'!U41)</f>
        <v>0.46100000000000002</v>
      </c>
    </row>
    <row r="18" spans="2:21" x14ac:dyDescent="0.35">
      <c r="B18" s="48" t="s">
        <v>132</v>
      </c>
      <c r="C18" s="49"/>
      <c r="D18" s="49"/>
      <c r="E18" s="49"/>
      <c r="F18" s="49"/>
      <c r="G18" s="50">
        <f>CHOOSE(Drivers!$C$3,'GP Automotive'!G26,'GP Automotive'!G34,'GP Automotive'!G42)</f>
        <v>0.17633333333333331</v>
      </c>
      <c r="H18" s="50">
        <f>CHOOSE(Drivers!$C$3,'GP Automotive'!H26,'GP Automotive'!H34,'GP Automotive'!H42)</f>
        <v>0.17633333333333331</v>
      </c>
      <c r="I18" s="50">
        <f>CHOOSE(Drivers!$C$3,'GP Automotive'!I26,'GP Automotive'!I34,'GP Automotive'!I42)</f>
        <v>0.17633333333333331</v>
      </c>
      <c r="J18" s="50">
        <f>CHOOSE(Drivers!$C$3,'GP Automotive'!J26,'GP Automotive'!J34,'GP Automotive'!J42)</f>
        <v>0.17633333333333331</v>
      </c>
      <c r="K18" s="50">
        <f>CHOOSE(Drivers!$C$3,'GP Automotive'!K26,'GP Automotive'!K34,'GP Automotive'!K42)</f>
        <v>0.17633333333333331</v>
      </c>
      <c r="L18" s="50">
        <f>CHOOSE(Drivers!$C$3,'GP Automotive'!L26,'GP Automotive'!L34,'GP Automotive'!L42)</f>
        <v>0.17633333333333331</v>
      </c>
      <c r="M18" s="50">
        <f>CHOOSE(Drivers!$C$3,'GP Automotive'!M26,'GP Automotive'!M34,'GP Automotive'!M42)</f>
        <v>0.17633333333333331</v>
      </c>
      <c r="N18" s="50">
        <f>CHOOSE(Drivers!$C$3,'GP Automotive'!N26,'GP Automotive'!N34,'GP Automotive'!N42)</f>
        <v>0.17633333333333331</v>
      </c>
      <c r="O18" s="50">
        <f>CHOOSE(Drivers!$C$3,'GP Automotive'!O26,'GP Automotive'!O34,'GP Automotive'!O42)</f>
        <v>0.17633333333333331</v>
      </c>
      <c r="P18" s="50">
        <f>CHOOSE(Drivers!$C$3,'GP Automotive'!P26,'GP Automotive'!P34,'GP Automotive'!P42)</f>
        <v>0.17633333333333331</v>
      </c>
      <c r="Q18" s="50">
        <f>CHOOSE(Drivers!$C$3,'GP Automotive'!Q26,'GP Automotive'!Q34,'GP Automotive'!Q42)</f>
        <v>0.17633333333333331</v>
      </c>
      <c r="R18" s="50">
        <f>CHOOSE(Drivers!$C$3,'GP Automotive'!R26,'GP Automotive'!R34,'GP Automotive'!R42)</f>
        <v>0.17633333333333331</v>
      </c>
      <c r="S18" s="50">
        <f>CHOOSE(Drivers!$C$3,'GP Automotive'!S26,'GP Automotive'!S34,'GP Automotive'!S42)</f>
        <v>0.17633333333333331</v>
      </c>
      <c r="T18" s="50">
        <f>CHOOSE(Drivers!$C$3,'GP Automotive'!T26,'GP Automotive'!T34,'GP Automotive'!T42)</f>
        <v>0.17633333333333331</v>
      </c>
      <c r="U18" s="50">
        <f>CHOOSE(Drivers!$C$3,'GP Automotive'!U26,'GP Automotive'!U34,'GP Automotive'!U42)</f>
        <v>0.17633333333333331</v>
      </c>
    </row>
    <row r="19" spans="2:21" x14ac:dyDescent="0.35">
      <c r="B19" s="48" t="s">
        <v>133</v>
      </c>
      <c r="C19" s="49"/>
      <c r="D19" s="49"/>
      <c r="E19" s="49"/>
      <c r="F19" s="49"/>
      <c r="G19" s="50">
        <f>CHOOSE(Drivers!$C$3,'GP Automotive'!G27,'GP Automotive'!G35,'GP Automotive'!G43)</f>
        <v>0.22199999999999998</v>
      </c>
      <c r="H19" s="50">
        <f>CHOOSE(Drivers!$C$3,'GP Automotive'!H27,'GP Automotive'!H35,'GP Automotive'!H43)</f>
        <v>0.22199999999999998</v>
      </c>
      <c r="I19" s="50">
        <f>CHOOSE(Drivers!$C$3,'GP Automotive'!I27,'GP Automotive'!I35,'GP Automotive'!I43)</f>
        <v>0.22199999999999998</v>
      </c>
      <c r="J19" s="50">
        <f>CHOOSE(Drivers!$C$3,'GP Automotive'!J27,'GP Automotive'!J35,'GP Automotive'!J43)</f>
        <v>0.22199999999999998</v>
      </c>
      <c r="K19" s="50">
        <f>CHOOSE(Drivers!$C$3,'GP Automotive'!K27,'GP Automotive'!K35,'GP Automotive'!K43)</f>
        <v>0.22199999999999998</v>
      </c>
      <c r="L19" s="50">
        <f>CHOOSE(Drivers!$C$3,'GP Automotive'!L27,'GP Automotive'!L35,'GP Automotive'!L43)</f>
        <v>0.22199999999999998</v>
      </c>
      <c r="M19" s="50">
        <f>CHOOSE(Drivers!$C$3,'GP Automotive'!M27,'GP Automotive'!M35,'GP Automotive'!M43)</f>
        <v>0.22199999999999998</v>
      </c>
      <c r="N19" s="50">
        <f>CHOOSE(Drivers!$C$3,'GP Automotive'!N27,'GP Automotive'!N35,'GP Automotive'!N43)</f>
        <v>0.22199999999999998</v>
      </c>
      <c r="O19" s="50">
        <f>CHOOSE(Drivers!$C$3,'GP Automotive'!O27,'GP Automotive'!O35,'GP Automotive'!O43)</f>
        <v>0.22199999999999998</v>
      </c>
      <c r="P19" s="50">
        <f>CHOOSE(Drivers!$C$3,'GP Automotive'!P27,'GP Automotive'!P35,'GP Automotive'!P43)</f>
        <v>0.22199999999999998</v>
      </c>
      <c r="Q19" s="50">
        <f>CHOOSE(Drivers!$C$3,'GP Automotive'!Q27,'GP Automotive'!Q35,'GP Automotive'!Q43)</f>
        <v>0.22199999999999998</v>
      </c>
      <c r="R19" s="50">
        <f>CHOOSE(Drivers!$C$3,'GP Automotive'!R27,'GP Automotive'!R35,'GP Automotive'!R43)</f>
        <v>0.22199999999999998</v>
      </c>
      <c r="S19" s="50">
        <f>CHOOSE(Drivers!$C$3,'GP Automotive'!S27,'GP Automotive'!S35,'GP Automotive'!S43)</f>
        <v>0.22199999999999998</v>
      </c>
      <c r="T19" s="50">
        <f>CHOOSE(Drivers!$C$3,'GP Automotive'!T27,'GP Automotive'!T35,'GP Automotive'!T43)</f>
        <v>0.22199999999999998</v>
      </c>
      <c r="U19" s="50">
        <f>CHOOSE(Drivers!$C$3,'GP Automotive'!U27,'GP Automotive'!U35,'GP Automotive'!U43)</f>
        <v>0.22199999999999998</v>
      </c>
    </row>
    <row r="20" spans="2:21" x14ac:dyDescent="0.35">
      <c r="B20" s="48"/>
      <c r="C20" s="49"/>
      <c r="D20" s="49"/>
      <c r="E20" s="49"/>
      <c r="F20" s="49"/>
      <c r="G20" s="49"/>
      <c r="H20" s="4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</row>
    <row r="21" spans="2:21" x14ac:dyDescent="0.35">
      <c r="B21" s="47" t="s">
        <v>180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35">
      <c r="B22" s="48" t="s">
        <v>128</v>
      </c>
      <c r="C22" s="49"/>
      <c r="D22" s="49"/>
      <c r="E22" s="49"/>
      <c r="F22" s="49"/>
      <c r="G22" s="50">
        <f>G30+2%</f>
        <v>0.24299999999999999</v>
      </c>
      <c r="H22" s="50">
        <f t="shared" ref="H22:Q22" si="3">H30+2%</f>
        <v>0.24299999999999999</v>
      </c>
      <c r="I22" s="50">
        <f t="shared" si="3"/>
        <v>0.24299999999999999</v>
      </c>
      <c r="J22" s="50">
        <f t="shared" si="3"/>
        <v>0.24299999999999999</v>
      </c>
      <c r="K22" s="50">
        <f t="shared" si="3"/>
        <v>0.24299999999999999</v>
      </c>
      <c r="L22" s="50">
        <f t="shared" si="3"/>
        <v>0.24299999999999999</v>
      </c>
      <c r="M22" s="50">
        <f t="shared" si="3"/>
        <v>0.24299999999999999</v>
      </c>
      <c r="N22" s="50">
        <f t="shared" si="3"/>
        <v>0.24299999999999999</v>
      </c>
      <c r="O22" s="50">
        <f t="shared" si="3"/>
        <v>0.24299999999999999</v>
      </c>
      <c r="P22" s="50">
        <f t="shared" si="3"/>
        <v>0.24299999999999999</v>
      </c>
      <c r="Q22" s="50">
        <f t="shared" si="3"/>
        <v>0.24299999999999999</v>
      </c>
      <c r="R22" s="50">
        <f t="shared" ref="R22:U22" si="4">R30+2%</f>
        <v>0.24299999999999999</v>
      </c>
      <c r="S22" s="50">
        <f t="shared" si="4"/>
        <v>0.24299999999999999</v>
      </c>
      <c r="T22" s="50">
        <f t="shared" si="4"/>
        <v>0.24299999999999999</v>
      </c>
      <c r="U22" s="50">
        <f t="shared" si="4"/>
        <v>0.24299999999999999</v>
      </c>
    </row>
    <row r="23" spans="2:21" x14ac:dyDescent="0.35">
      <c r="B23" s="48" t="s">
        <v>129</v>
      </c>
      <c r="C23" s="49"/>
      <c r="D23" s="39"/>
      <c r="E23" s="39"/>
      <c r="F23" s="39"/>
      <c r="G23" s="50">
        <f t="shared" ref="G23:Q27" si="5">G31+2%</f>
        <v>0.24299999999999999</v>
      </c>
      <c r="H23" s="50">
        <f t="shared" si="5"/>
        <v>0.24299999999999999</v>
      </c>
      <c r="I23" s="50">
        <f t="shared" si="5"/>
        <v>0.24299999999999999</v>
      </c>
      <c r="J23" s="50">
        <f t="shared" si="5"/>
        <v>0.24299999999999999</v>
      </c>
      <c r="K23" s="50">
        <f t="shared" si="5"/>
        <v>0.24299999999999999</v>
      </c>
      <c r="L23" s="50">
        <f t="shared" si="5"/>
        <v>0.24299999999999999</v>
      </c>
      <c r="M23" s="50">
        <f t="shared" si="5"/>
        <v>0.24299999999999999</v>
      </c>
      <c r="N23" s="50">
        <f t="shared" si="5"/>
        <v>0.24299999999999999</v>
      </c>
      <c r="O23" s="50">
        <f t="shared" si="5"/>
        <v>0.24299999999999999</v>
      </c>
      <c r="P23" s="50">
        <f t="shared" si="5"/>
        <v>0.24299999999999999</v>
      </c>
      <c r="Q23" s="50">
        <f t="shared" si="5"/>
        <v>0.24299999999999999</v>
      </c>
      <c r="R23" s="50">
        <f t="shared" ref="R23:U23" si="6">R31+2%</f>
        <v>0.24299999999999999</v>
      </c>
      <c r="S23" s="50">
        <f t="shared" si="6"/>
        <v>0.24299999999999999</v>
      </c>
      <c r="T23" s="50">
        <f t="shared" si="6"/>
        <v>0.24299999999999999</v>
      </c>
      <c r="U23" s="50">
        <f t="shared" si="6"/>
        <v>0.24299999999999999</v>
      </c>
    </row>
    <row r="24" spans="2:21" x14ac:dyDescent="0.35">
      <c r="B24" s="48" t="s">
        <v>130</v>
      </c>
      <c r="C24" s="49"/>
      <c r="D24" s="49"/>
      <c r="E24" s="49"/>
      <c r="F24" s="49"/>
      <c r="G24" s="50">
        <f t="shared" si="5"/>
        <v>0.17633333333333331</v>
      </c>
      <c r="H24" s="50">
        <f t="shared" si="5"/>
        <v>0.17633333333333331</v>
      </c>
      <c r="I24" s="50">
        <f t="shared" si="5"/>
        <v>0.17633333333333331</v>
      </c>
      <c r="J24" s="50">
        <f t="shared" si="5"/>
        <v>0.17633333333333331</v>
      </c>
      <c r="K24" s="50">
        <f t="shared" si="5"/>
        <v>0.17633333333333331</v>
      </c>
      <c r="L24" s="50">
        <f t="shared" si="5"/>
        <v>0.17633333333333331</v>
      </c>
      <c r="M24" s="50">
        <f t="shared" si="5"/>
        <v>0.17633333333333331</v>
      </c>
      <c r="N24" s="50">
        <f t="shared" si="5"/>
        <v>0.17633333333333331</v>
      </c>
      <c r="O24" s="50">
        <f t="shared" si="5"/>
        <v>0.17633333333333331</v>
      </c>
      <c r="P24" s="50">
        <f t="shared" si="5"/>
        <v>0.17633333333333331</v>
      </c>
      <c r="Q24" s="50">
        <f t="shared" si="5"/>
        <v>0.17633333333333331</v>
      </c>
      <c r="R24" s="50">
        <f t="shared" ref="R24:U24" si="7">R32+2%</f>
        <v>0.17633333333333331</v>
      </c>
      <c r="S24" s="50">
        <f t="shared" si="7"/>
        <v>0.17633333333333331</v>
      </c>
      <c r="T24" s="50">
        <f t="shared" si="7"/>
        <v>0.17633333333333331</v>
      </c>
      <c r="U24" s="50">
        <f t="shared" si="7"/>
        <v>0.17633333333333331</v>
      </c>
    </row>
    <row r="25" spans="2:21" x14ac:dyDescent="0.35">
      <c r="B25" s="48" t="s">
        <v>131</v>
      </c>
      <c r="C25" s="49"/>
      <c r="D25" s="49"/>
      <c r="E25" s="49"/>
      <c r="F25" s="49"/>
      <c r="G25" s="50">
        <f t="shared" si="5"/>
        <v>0.46100000000000002</v>
      </c>
      <c r="H25" s="50">
        <f t="shared" si="5"/>
        <v>0.46100000000000002</v>
      </c>
      <c r="I25" s="50">
        <f t="shared" si="5"/>
        <v>0.46100000000000002</v>
      </c>
      <c r="J25" s="50">
        <f t="shared" si="5"/>
        <v>0.46100000000000002</v>
      </c>
      <c r="K25" s="50">
        <f t="shared" si="5"/>
        <v>0.46100000000000002</v>
      </c>
      <c r="L25" s="50">
        <f t="shared" si="5"/>
        <v>0.46100000000000002</v>
      </c>
      <c r="M25" s="50">
        <f t="shared" si="5"/>
        <v>0.46100000000000002</v>
      </c>
      <c r="N25" s="50">
        <f t="shared" si="5"/>
        <v>0.46100000000000002</v>
      </c>
      <c r="O25" s="50">
        <f t="shared" si="5"/>
        <v>0.46100000000000002</v>
      </c>
      <c r="P25" s="50">
        <f t="shared" si="5"/>
        <v>0.46100000000000002</v>
      </c>
      <c r="Q25" s="50">
        <f t="shared" si="5"/>
        <v>0.46100000000000002</v>
      </c>
      <c r="R25" s="50">
        <f t="shared" ref="R25:U25" si="8">R33+2%</f>
        <v>0.46100000000000002</v>
      </c>
      <c r="S25" s="50">
        <f t="shared" si="8"/>
        <v>0.46100000000000002</v>
      </c>
      <c r="T25" s="50">
        <f t="shared" si="8"/>
        <v>0.46100000000000002</v>
      </c>
      <c r="U25" s="50">
        <f t="shared" si="8"/>
        <v>0.46100000000000002</v>
      </c>
    </row>
    <row r="26" spans="2:21" x14ac:dyDescent="0.35">
      <c r="B26" s="48" t="s">
        <v>132</v>
      </c>
      <c r="C26" s="49"/>
      <c r="D26" s="49"/>
      <c r="E26" s="49"/>
      <c r="F26" s="49"/>
      <c r="G26" s="50">
        <f t="shared" si="5"/>
        <v>0.17633333333333331</v>
      </c>
      <c r="H26" s="50">
        <f t="shared" si="5"/>
        <v>0.17633333333333331</v>
      </c>
      <c r="I26" s="50">
        <f t="shared" si="5"/>
        <v>0.17633333333333331</v>
      </c>
      <c r="J26" s="50">
        <f t="shared" si="5"/>
        <v>0.17633333333333331</v>
      </c>
      <c r="K26" s="50">
        <f t="shared" si="5"/>
        <v>0.17633333333333331</v>
      </c>
      <c r="L26" s="50">
        <f t="shared" si="5"/>
        <v>0.17633333333333331</v>
      </c>
      <c r="M26" s="50">
        <f t="shared" si="5"/>
        <v>0.17633333333333331</v>
      </c>
      <c r="N26" s="50">
        <f t="shared" si="5"/>
        <v>0.17633333333333331</v>
      </c>
      <c r="O26" s="50">
        <f t="shared" si="5"/>
        <v>0.17633333333333331</v>
      </c>
      <c r="P26" s="50">
        <f t="shared" si="5"/>
        <v>0.17633333333333331</v>
      </c>
      <c r="Q26" s="50">
        <f t="shared" si="5"/>
        <v>0.17633333333333331</v>
      </c>
      <c r="R26" s="50">
        <f t="shared" ref="R26:U26" si="9">R34+2%</f>
        <v>0.17633333333333331</v>
      </c>
      <c r="S26" s="50">
        <f t="shared" si="9"/>
        <v>0.17633333333333331</v>
      </c>
      <c r="T26" s="50">
        <f t="shared" si="9"/>
        <v>0.17633333333333331</v>
      </c>
      <c r="U26" s="50">
        <f t="shared" si="9"/>
        <v>0.17633333333333331</v>
      </c>
    </row>
    <row r="27" spans="2:21" x14ac:dyDescent="0.35">
      <c r="B27" s="48" t="s">
        <v>133</v>
      </c>
      <c r="C27" s="49"/>
      <c r="D27" s="49"/>
      <c r="E27" s="49"/>
      <c r="F27" s="49"/>
      <c r="G27" s="50">
        <f t="shared" si="5"/>
        <v>0.22199999999999998</v>
      </c>
      <c r="H27" s="50">
        <f t="shared" si="5"/>
        <v>0.22199999999999998</v>
      </c>
      <c r="I27" s="50">
        <f t="shared" si="5"/>
        <v>0.22199999999999998</v>
      </c>
      <c r="J27" s="50">
        <f t="shared" si="5"/>
        <v>0.22199999999999998</v>
      </c>
      <c r="K27" s="50">
        <f t="shared" si="5"/>
        <v>0.22199999999999998</v>
      </c>
      <c r="L27" s="50">
        <f t="shared" si="5"/>
        <v>0.22199999999999998</v>
      </c>
      <c r="M27" s="50">
        <f t="shared" si="5"/>
        <v>0.22199999999999998</v>
      </c>
      <c r="N27" s="50">
        <f t="shared" si="5"/>
        <v>0.22199999999999998</v>
      </c>
      <c r="O27" s="50">
        <f t="shared" si="5"/>
        <v>0.22199999999999998</v>
      </c>
      <c r="P27" s="50">
        <f t="shared" si="5"/>
        <v>0.22199999999999998</v>
      </c>
      <c r="Q27" s="50">
        <f t="shared" si="5"/>
        <v>0.22199999999999998</v>
      </c>
      <c r="R27" s="50">
        <f t="shared" ref="R27:U27" si="10">R35+2%</f>
        <v>0.22199999999999998</v>
      </c>
      <c r="S27" s="50">
        <f t="shared" si="10"/>
        <v>0.22199999999999998</v>
      </c>
      <c r="T27" s="50">
        <f t="shared" si="10"/>
        <v>0.22199999999999998</v>
      </c>
      <c r="U27" s="50">
        <f t="shared" si="10"/>
        <v>0.22199999999999998</v>
      </c>
    </row>
    <row r="28" spans="2:21" x14ac:dyDescent="0.35">
      <c r="B28" s="48"/>
      <c r="C28" s="49"/>
      <c r="D28" s="49"/>
      <c r="E28" s="49"/>
      <c r="F28" s="49"/>
      <c r="G28" s="49"/>
      <c r="H28" s="4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2:21" x14ac:dyDescent="0.35">
      <c r="B29" s="47" t="s">
        <v>181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35">
      <c r="B30" s="48" t="s">
        <v>128</v>
      </c>
      <c r="C30" s="49"/>
      <c r="D30" s="49"/>
      <c r="E30" s="49"/>
      <c r="F30" s="49"/>
      <c r="G30" s="50">
        <f>'GP% Automotive'!$C$16</f>
        <v>0.223</v>
      </c>
      <c r="H30" s="50">
        <f>'GP% Automotive'!$C$16</f>
        <v>0.223</v>
      </c>
      <c r="I30" s="50">
        <f>'GP% Automotive'!$C$16</f>
        <v>0.223</v>
      </c>
      <c r="J30" s="50">
        <f>'GP% Automotive'!$C$16</f>
        <v>0.223</v>
      </c>
      <c r="K30" s="50">
        <f>'GP% Automotive'!$C$16</f>
        <v>0.223</v>
      </c>
      <c r="L30" s="50">
        <f>'GP% Automotive'!$C$16</f>
        <v>0.223</v>
      </c>
      <c r="M30" s="50">
        <f>'GP% Automotive'!$C$16</f>
        <v>0.223</v>
      </c>
      <c r="N30" s="50">
        <f>'GP% Automotive'!$C$16</f>
        <v>0.223</v>
      </c>
      <c r="O30" s="50">
        <f>'GP% Automotive'!$C$16</f>
        <v>0.223</v>
      </c>
      <c r="P30" s="50">
        <f>'GP% Automotive'!$C$16</f>
        <v>0.223</v>
      </c>
      <c r="Q30" s="50">
        <f>'GP% Automotive'!$C$16</f>
        <v>0.223</v>
      </c>
      <c r="R30" s="50">
        <f>'GP% Automotive'!$C$16</f>
        <v>0.223</v>
      </c>
      <c r="S30" s="50">
        <f>'GP% Automotive'!$C$16</f>
        <v>0.223</v>
      </c>
      <c r="T30" s="50">
        <f>'GP% Automotive'!$C$16</f>
        <v>0.223</v>
      </c>
      <c r="U30" s="50">
        <f>'GP% Automotive'!$C$16</f>
        <v>0.223</v>
      </c>
    </row>
    <row r="31" spans="2:21" x14ac:dyDescent="0.35">
      <c r="B31" s="48" t="s">
        <v>129</v>
      </c>
      <c r="C31" s="49"/>
      <c r="D31" s="39"/>
      <c r="E31" s="39"/>
      <c r="F31" s="39"/>
      <c r="G31" s="50">
        <f>'GP% Automotive'!$C17</f>
        <v>0.223</v>
      </c>
      <c r="H31" s="50">
        <f>'GP% Automotive'!$C17</f>
        <v>0.223</v>
      </c>
      <c r="I31" s="50">
        <f>'GP% Automotive'!$C17</f>
        <v>0.223</v>
      </c>
      <c r="J31" s="50">
        <f>'GP% Automotive'!$C17</f>
        <v>0.223</v>
      </c>
      <c r="K31" s="50">
        <f>'GP% Automotive'!$C17</f>
        <v>0.223</v>
      </c>
      <c r="L31" s="50">
        <f>'GP% Automotive'!$C17</f>
        <v>0.223</v>
      </c>
      <c r="M31" s="50">
        <f>'GP% Automotive'!$C17</f>
        <v>0.223</v>
      </c>
      <c r="N31" s="50">
        <f>'GP% Automotive'!$C17</f>
        <v>0.223</v>
      </c>
      <c r="O31" s="50">
        <f>'GP% Automotive'!$C17</f>
        <v>0.223</v>
      </c>
      <c r="P31" s="50">
        <f>'GP% Automotive'!$C17</f>
        <v>0.223</v>
      </c>
      <c r="Q31" s="50">
        <f>'GP% Automotive'!$C17</f>
        <v>0.223</v>
      </c>
      <c r="R31" s="50">
        <f>'GP% Automotive'!$C17</f>
        <v>0.223</v>
      </c>
      <c r="S31" s="50">
        <f>'GP% Automotive'!$C17</f>
        <v>0.223</v>
      </c>
      <c r="T31" s="50">
        <f>'GP% Automotive'!$C17</f>
        <v>0.223</v>
      </c>
      <c r="U31" s="50">
        <f>'GP% Automotive'!$C17</f>
        <v>0.223</v>
      </c>
    </row>
    <row r="32" spans="2:21" x14ac:dyDescent="0.35">
      <c r="B32" s="48" t="s">
        <v>130</v>
      </c>
      <c r="C32" s="49"/>
      <c r="D32" s="49"/>
      <c r="E32" s="49"/>
      <c r="F32" s="49"/>
      <c r="G32" s="50">
        <f>'GP% Automotive'!$C$18</f>
        <v>0.15633333333333332</v>
      </c>
      <c r="H32" s="50">
        <f>'GP% Automotive'!$C$18</f>
        <v>0.15633333333333332</v>
      </c>
      <c r="I32" s="50">
        <f>'GP% Automotive'!$C$18</f>
        <v>0.15633333333333332</v>
      </c>
      <c r="J32" s="50">
        <f>'GP% Automotive'!$C$18</f>
        <v>0.15633333333333332</v>
      </c>
      <c r="K32" s="50">
        <f>'GP% Automotive'!$C$18</f>
        <v>0.15633333333333332</v>
      </c>
      <c r="L32" s="50">
        <f>'GP% Automotive'!$C$18</f>
        <v>0.15633333333333332</v>
      </c>
      <c r="M32" s="50">
        <f>'GP% Automotive'!$C$18</f>
        <v>0.15633333333333332</v>
      </c>
      <c r="N32" s="50">
        <f>'GP% Automotive'!$C$18</f>
        <v>0.15633333333333332</v>
      </c>
      <c r="O32" s="50">
        <f>'GP% Automotive'!$C$18</f>
        <v>0.15633333333333332</v>
      </c>
      <c r="P32" s="50">
        <f>'GP% Automotive'!$C$18</f>
        <v>0.15633333333333332</v>
      </c>
      <c r="Q32" s="50">
        <f>'GP% Automotive'!$C$18</f>
        <v>0.15633333333333332</v>
      </c>
      <c r="R32" s="50">
        <f>'GP% Automotive'!$C$18</f>
        <v>0.15633333333333332</v>
      </c>
      <c r="S32" s="50">
        <f>'GP% Automotive'!$C$18</f>
        <v>0.15633333333333332</v>
      </c>
      <c r="T32" s="50">
        <f>'GP% Automotive'!$C$18</f>
        <v>0.15633333333333332</v>
      </c>
      <c r="U32" s="50">
        <f>'GP% Automotive'!$C$18</f>
        <v>0.15633333333333332</v>
      </c>
    </row>
    <row r="33" spans="2:21" x14ac:dyDescent="0.35">
      <c r="B33" s="48" t="s">
        <v>131</v>
      </c>
      <c r="C33" s="49"/>
      <c r="D33" s="49"/>
      <c r="E33" s="49"/>
      <c r="F33" s="49"/>
      <c r="G33" s="50">
        <f>'GP% Automotive'!$C$19</f>
        <v>0.441</v>
      </c>
      <c r="H33" s="50">
        <f>'GP% Automotive'!$C$19</f>
        <v>0.441</v>
      </c>
      <c r="I33" s="50">
        <f>'GP% Automotive'!$C$19</f>
        <v>0.441</v>
      </c>
      <c r="J33" s="50">
        <f>'GP% Automotive'!$C$19</f>
        <v>0.441</v>
      </c>
      <c r="K33" s="50">
        <f>'GP% Automotive'!$C$19</f>
        <v>0.441</v>
      </c>
      <c r="L33" s="50">
        <f>'GP% Automotive'!$C$19</f>
        <v>0.441</v>
      </c>
      <c r="M33" s="50">
        <f>'GP% Automotive'!$C$19</f>
        <v>0.441</v>
      </c>
      <c r="N33" s="50">
        <f>'GP% Automotive'!$C$19</f>
        <v>0.441</v>
      </c>
      <c r="O33" s="50">
        <f>'GP% Automotive'!$C$19</f>
        <v>0.441</v>
      </c>
      <c r="P33" s="50">
        <f>'GP% Automotive'!$C$19</f>
        <v>0.441</v>
      </c>
      <c r="Q33" s="50">
        <f>'GP% Automotive'!$C$19</f>
        <v>0.441</v>
      </c>
      <c r="R33" s="50">
        <f>'GP% Automotive'!$C$19</f>
        <v>0.441</v>
      </c>
      <c r="S33" s="50">
        <f>'GP% Automotive'!$C$19</f>
        <v>0.441</v>
      </c>
      <c r="T33" s="50">
        <f>'GP% Automotive'!$C$19</f>
        <v>0.441</v>
      </c>
      <c r="U33" s="50">
        <f>'GP% Automotive'!$C$19</f>
        <v>0.441</v>
      </c>
    </row>
    <row r="34" spans="2:21" x14ac:dyDescent="0.35">
      <c r="B34" s="48" t="s">
        <v>132</v>
      </c>
      <c r="C34" s="49"/>
      <c r="D34" s="49"/>
      <c r="E34" s="49"/>
      <c r="F34" s="49"/>
      <c r="G34" s="50">
        <f>'GP% Automotive'!$C$20</f>
        <v>0.15633333333333332</v>
      </c>
      <c r="H34" s="50">
        <f>'GP% Automotive'!$C$20</f>
        <v>0.15633333333333332</v>
      </c>
      <c r="I34" s="50">
        <f>'GP% Automotive'!$C$20</f>
        <v>0.15633333333333332</v>
      </c>
      <c r="J34" s="50">
        <f>'GP% Automotive'!$C$20</f>
        <v>0.15633333333333332</v>
      </c>
      <c r="K34" s="50">
        <f>'GP% Automotive'!$C$20</f>
        <v>0.15633333333333332</v>
      </c>
      <c r="L34" s="50">
        <f>'GP% Automotive'!$C$20</f>
        <v>0.15633333333333332</v>
      </c>
      <c r="M34" s="50">
        <f>'GP% Automotive'!$C$20</f>
        <v>0.15633333333333332</v>
      </c>
      <c r="N34" s="50">
        <f>'GP% Automotive'!$C$20</f>
        <v>0.15633333333333332</v>
      </c>
      <c r="O34" s="50">
        <f>'GP% Automotive'!$C$20</f>
        <v>0.15633333333333332</v>
      </c>
      <c r="P34" s="50">
        <f>'GP% Automotive'!$C$20</f>
        <v>0.15633333333333332</v>
      </c>
      <c r="Q34" s="50">
        <f>'GP% Automotive'!$C$20</f>
        <v>0.15633333333333332</v>
      </c>
      <c r="R34" s="50">
        <f>'GP% Automotive'!$C$20</f>
        <v>0.15633333333333332</v>
      </c>
      <c r="S34" s="50">
        <f>'GP% Automotive'!$C$20</f>
        <v>0.15633333333333332</v>
      </c>
      <c r="T34" s="50">
        <f>'GP% Automotive'!$C$20</f>
        <v>0.15633333333333332</v>
      </c>
      <c r="U34" s="50">
        <f>'GP% Automotive'!$C$20</f>
        <v>0.15633333333333332</v>
      </c>
    </row>
    <row r="35" spans="2:21" x14ac:dyDescent="0.35">
      <c r="B35" s="48" t="s">
        <v>133</v>
      </c>
      <c r="C35" s="49"/>
      <c r="D35" s="49"/>
      <c r="E35" s="49"/>
      <c r="F35" s="49"/>
      <c r="G35" s="50">
        <f>'GP% Automotive'!$C$21</f>
        <v>0.20199999999999999</v>
      </c>
      <c r="H35" s="50">
        <f>'GP% Automotive'!$C$21</f>
        <v>0.20199999999999999</v>
      </c>
      <c r="I35" s="50">
        <f>'GP% Automotive'!$C$21</f>
        <v>0.20199999999999999</v>
      </c>
      <c r="J35" s="50">
        <f>'GP% Automotive'!$C$21</f>
        <v>0.20199999999999999</v>
      </c>
      <c r="K35" s="50">
        <f>'GP% Automotive'!$C$21</f>
        <v>0.20199999999999999</v>
      </c>
      <c r="L35" s="50">
        <f>'GP% Automotive'!$C$21</f>
        <v>0.20199999999999999</v>
      </c>
      <c r="M35" s="50">
        <f>'GP% Automotive'!$C$21</f>
        <v>0.20199999999999999</v>
      </c>
      <c r="N35" s="50">
        <f>'GP% Automotive'!$C$21</f>
        <v>0.20199999999999999</v>
      </c>
      <c r="O35" s="50">
        <f>'GP% Automotive'!$C$21</f>
        <v>0.20199999999999999</v>
      </c>
      <c r="P35" s="50">
        <f>'GP% Automotive'!$C$21</f>
        <v>0.20199999999999999</v>
      </c>
      <c r="Q35" s="50">
        <f>'GP% Automotive'!$C$21</f>
        <v>0.20199999999999999</v>
      </c>
      <c r="R35" s="50">
        <f>'GP% Automotive'!$C$21</f>
        <v>0.20199999999999999</v>
      </c>
      <c r="S35" s="50">
        <f>'GP% Automotive'!$C$21</f>
        <v>0.20199999999999999</v>
      </c>
      <c r="T35" s="50">
        <f>'GP% Automotive'!$C$21</f>
        <v>0.20199999999999999</v>
      </c>
      <c r="U35" s="50">
        <f>'GP% Automotive'!$C$21</f>
        <v>0.20199999999999999</v>
      </c>
    </row>
    <row r="36" spans="2:21" x14ac:dyDescent="0.35">
      <c r="B36" s="48"/>
      <c r="C36" s="49"/>
      <c r="D36" s="49"/>
      <c r="E36" s="49"/>
      <c r="F36" s="49"/>
      <c r="G36" s="49"/>
      <c r="H36" s="49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</row>
    <row r="37" spans="2:21" x14ac:dyDescent="0.35">
      <c r="B37" s="47" t="s">
        <v>182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35">
      <c r="B38" s="48" t="s">
        <v>128</v>
      </c>
      <c r="C38" s="49"/>
      <c r="D38" s="49"/>
      <c r="E38" s="49"/>
      <c r="F38" s="49"/>
      <c r="G38" s="50">
        <f>G30-2%</f>
        <v>0.20300000000000001</v>
      </c>
      <c r="H38" s="50">
        <f t="shared" ref="H38:Q38" si="11">H30-2%</f>
        <v>0.20300000000000001</v>
      </c>
      <c r="I38" s="50">
        <f t="shared" si="11"/>
        <v>0.20300000000000001</v>
      </c>
      <c r="J38" s="50">
        <f t="shared" si="11"/>
        <v>0.20300000000000001</v>
      </c>
      <c r="K38" s="50">
        <f t="shared" si="11"/>
        <v>0.20300000000000001</v>
      </c>
      <c r="L38" s="50">
        <f t="shared" si="11"/>
        <v>0.20300000000000001</v>
      </c>
      <c r="M38" s="50">
        <f t="shared" si="11"/>
        <v>0.20300000000000001</v>
      </c>
      <c r="N38" s="50">
        <f t="shared" si="11"/>
        <v>0.20300000000000001</v>
      </c>
      <c r="O38" s="50">
        <f t="shared" si="11"/>
        <v>0.20300000000000001</v>
      </c>
      <c r="P38" s="50">
        <f t="shared" si="11"/>
        <v>0.20300000000000001</v>
      </c>
      <c r="Q38" s="50">
        <f t="shared" si="11"/>
        <v>0.20300000000000001</v>
      </c>
      <c r="R38" s="50">
        <f t="shared" ref="R38:U38" si="12">R30-2%</f>
        <v>0.20300000000000001</v>
      </c>
      <c r="S38" s="50">
        <f t="shared" si="12"/>
        <v>0.20300000000000001</v>
      </c>
      <c r="T38" s="50">
        <f t="shared" si="12"/>
        <v>0.20300000000000001</v>
      </c>
      <c r="U38" s="50">
        <f t="shared" si="12"/>
        <v>0.20300000000000001</v>
      </c>
    </row>
    <row r="39" spans="2:21" x14ac:dyDescent="0.35">
      <c r="B39" s="48" t="s">
        <v>129</v>
      </c>
      <c r="C39" s="49"/>
      <c r="D39" s="39"/>
      <c r="E39" s="39"/>
      <c r="F39" s="39"/>
      <c r="G39" s="50">
        <f t="shared" ref="G39:Q43" si="13">G31-2%</f>
        <v>0.20300000000000001</v>
      </c>
      <c r="H39" s="50">
        <f t="shared" si="13"/>
        <v>0.20300000000000001</v>
      </c>
      <c r="I39" s="50">
        <f t="shared" si="13"/>
        <v>0.20300000000000001</v>
      </c>
      <c r="J39" s="50">
        <f t="shared" si="13"/>
        <v>0.20300000000000001</v>
      </c>
      <c r="K39" s="50">
        <f t="shared" si="13"/>
        <v>0.20300000000000001</v>
      </c>
      <c r="L39" s="50">
        <f t="shared" si="13"/>
        <v>0.20300000000000001</v>
      </c>
      <c r="M39" s="50">
        <f t="shared" si="13"/>
        <v>0.20300000000000001</v>
      </c>
      <c r="N39" s="50">
        <f t="shared" si="13"/>
        <v>0.20300000000000001</v>
      </c>
      <c r="O39" s="50">
        <f t="shared" si="13"/>
        <v>0.20300000000000001</v>
      </c>
      <c r="P39" s="50">
        <f t="shared" si="13"/>
        <v>0.20300000000000001</v>
      </c>
      <c r="Q39" s="50">
        <f t="shared" si="13"/>
        <v>0.20300000000000001</v>
      </c>
      <c r="R39" s="50">
        <f t="shared" ref="R39:U39" si="14">R31-2%</f>
        <v>0.20300000000000001</v>
      </c>
      <c r="S39" s="50">
        <f t="shared" si="14"/>
        <v>0.20300000000000001</v>
      </c>
      <c r="T39" s="50">
        <f t="shared" si="14"/>
        <v>0.20300000000000001</v>
      </c>
      <c r="U39" s="50">
        <f t="shared" si="14"/>
        <v>0.20300000000000001</v>
      </c>
    </row>
    <row r="40" spans="2:21" x14ac:dyDescent="0.35">
      <c r="B40" s="48" t="s">
        <v>130</v>
      </c>
      <c r="C40" s="49"/>
      <c r="D40" s="49"/>
      <c r="E40" s="49"/>
      <c r="F40" s="49"/>
      <c r="G40" s="50">
        <f t="shared" si="13"/>
        <v>0.13633333333333333</v>
      </c>
      <c r="H40" s="50">
        <f t="shared" si="13"/>
        <v>0.13633333333333333</v>
      </c>
      <c r="I40" s="50">
        <f t="shared" si="13"/>
        <v>0.13633333333333333</v>
      </c>
      <c r="J40" s="50">
        <f t="shared" si="13"/>
        <v>0.13633333333333333</v>
      </c>
      <c r="K40" s="50">
        <f t="shared" si="13"/>
        <v>0.13633333333333333</v>
      </c>
      <c r="L40" s="50">
        <f t="shared" si="13"/>
        <v>0.13633333333333333</v>
      </c>
      <c r="M40" s="50">
        <f t="shared" si="13"/>
        <v>0.13633333333333333</v>
      </c>
      <c r="N40" s="50">
        <f t="shared" si="13"/>
        <v>0.13633333333333333</v>
      </c>
      <c r="O40" s="50">
        <f t="shared" si="13"/>
        <v>0.13633333333333333</v>
      </c>
      <c r="P40" s="50">
        <f t="shared" si="13"/>
        <v>0.13633333333333333</v>
      </c>
      <c r="Q40" s="50">
        <f t="shared" si="13"/>
        <v>0.13633333333333333</v>
      </c>
      <c r="R40" s="50">
        <f t="shared" ref="R40:U40" si="15">R32-2%</f>
        <v>0.13633333333333333</v>
      </c>
      <c r="S40" s="50">
        <f t="shared" si="15"/>
        <v>0.13633333333333333</v>
      </c>
      <c r="T40" s="50">
        <f t="shared" si="15"/>
        <v>0.13633333333333333</v>
      </c>
      <c r="U40" s="50">
        <f t="shared" si="15"/>
        <v>0.13633333333333333</v>
      </c>
    </row>
    <row r="41" spans="2:21" x14ac:dyDescent="0.35">
      <c r="B41" s="48" t="s">
        <v>131</v>
      </c>
      <c r="C41" s="49"/>
      <c r="D41" s="49"/>
      <c r="E41" s="49"/>
      <c r="F41" s="49"/>
      <c r="G41" s="50">
        <f t="shared" si="13"/>
        <v>0.42099999999999999</v>
      </c>
      <c r="H41" s="50">
        <f t="shared" si="13"/>
        <v>0.42099999999999999</v>
      </c>
      <c r="I41" s="50">
        <f t="shared" si="13"/>
        <v>0.42099999999999999</v>
      </c>
      <c r="J41" s="50">
        <f t="shared" si="13"/>
        <v>0.42099999999999999</v>
      </c>
      <c r="K41" s="50">
        <f t="shared" si="13"/>
        <v>0.42099999999999999</v>
      </c>
      <c r="L41" s="50">
        <f t="shared" si="13"/>
        <v>0.42099999999999999</v>
      </c>
      <c r="M41" s="50">
        <f t="shared" si="13"/>
        <v>0.42099999999999999</v>
      </c>
      <c r="N41" s="50">
        <f t="shared" si="13"/>
        <v>0.42099999999999999</v>
      </c>
      <c r="O41" s="50">
        <f t="shared" si="13"/>
        <v>0.42099999999999999</v>
      </c>
      <c r="P41" s="50">
        <f t="shared" si="13"/>
        <v>0.42099999999999999</v>
      </c>
      <c r="Q41" s="50">
        <f t="shared" si="13"/>
        <v>0.42099999999999999</v>
      </c>
      <c r="R41" s="50">
        <f t="shared" ref="R41:U41" si="16">R33-2%</f>
        <v>0.42099999999999999</v>
      </c>
      <c r="S41" s="50">
        <f t="shared" si="16"/>
        <v>0.42099999999999999</v>
      </c>
      <c r="T41" s="50">
        <f t="shared" si="16"/>
        <v>0.42099999999999999</v>
      </c>
      <c r="U41" s="50">
        <f t="shared" si="16"/>
        <v>0.42099999999999999</v>
      </c>
    </row>
    <row r="42" spans="2:21" x14ac:dyDescent="0.35">
      <c r="B42" s="48" t="s">
        <v>132</v>
      </c>
      <c r="C42" s="49"/>
      <c r="D42" s="49"/>
      <c r="E42" s="49"/>
      <c r="F42" s="49"/>
      <c r="G42" s="50">
        <f t="shared" si="13"/>
        <v>0.13633333333333333</v>
      </c>
      <c r="H42" s="50">
        <f t="shared" si="13"/>
        <v>0.13633333333333333</v>
      </c>
      <c r="I42" s="50">
        <f t="shared" si="13"/>
        <v>0.13633333333333333</v>
      </c>
      <c r="J42" s="50">
        <f t="shared" si="13"/>
        <v>0.13633333333333333</v>
      </c>
      <c r="K42" s="50">
        <f t="shared" si="13"/>
        <v>0.13633333333333333</v>
      </c>
      <c r="L42" s="50">
        <f t="shared" si="13"/>
        <v>0.13633333333333333</v>
      </c>
      <c r="M42" s="50">
        <f t="shared" si="13"/>
        <v>0.13633333333333333</v>
      </c>
      <c r="N42" s="50">
        <f t="shared" si="13"/>
        <v>0.13633333333333333</v>
      </c>
      <c r="O42" s="50">
        <f t="shared" si="13"/>
        <v>0.13633333333333333</v>
      </c>
      <c r="P42" s="50">
        <f t="shared" si="13"/>
        <v>0.13633333333333333</v>
      </c>
      <c r="Q42" s="50">
        <f t="shared" si="13"/>
        <v>0.13633333333333333</v>
      </c>
      <c r="R42" s="50">
        <f t="shared" ref="R42:U42" si="17">R34-2%</f>
        <v>0.13633333333333333</v>
      </c>
      <c r="S42" s="50">
        <f t="shared" si="17"/>
        <v>0.13633333333333333</v>
      </c>
      <c r="T42" s="50">
        <f t="shared" si="17"/>
        <v>0.13633333333333333</v>
      </c>
      <c r="U42" s="50">
        <f t="shared" si="17"/>
        <v>0.13633333333333333</v>
      </c>
    </row>
    <row r="43" spans="2:21" x14ac:dyDescent="0.35">
      <c r="B43" s="48" t="s">
        <v>133</v>
      </c>
      <c r="C43" s="49"/>
      <c r="D43" s="49"/>
      <c r="E43" s="49"/>
      <c r="F43" s="49"/>
      <c r="G43" s="50">
        <f t="shared" si="13"/>
        <v>0.182</v>
      </c>
      <c r="H43" s="50">
        <f t="shared" si="13"/>
        <v>0.182</v>
      </c>
      <c r="I43" s="50">
        <f t="shared" si="13"/>
        <v>0.182</v>
      </c>
      <c r="J43" s="50">
        <f t="shared" si="13"/>
        <v>0.182</v>
      </c>
      <c r="K43" s="50">
        <f t="shared" si="13"/>
        <v>0.182</v>
      </c>
      <c r="L43" s="50">
        <f t="shared" si="13"/>
        <v>0.182</v>
      </c>
      <c r="M43" s="50">
        <f t="shared" si="13"/>
        <v>0.182</v>
      </c>
      <c r="N43" s="50">
        <f t="shared" si="13"/>
        <v>0.182</v>
      </c>
      <c r="O43" s="50">
        <f t="shared" si="13"/>
        <v>0.182</v>
      </c>
      <c r="P43" s="50">
        <f t="shared" si="13"/>
        <v>0.182</v>
      </c>
      <c r="Q43" s="50">
        <f t="shared" si="13"/>
        <v>0.182</v>
      </c>
      <c r="R43" s="50">
        <f t="shared" ref="R43:U43" si="18">R35-2%</f>
        <v>0.182</v>
      </c>
      <c r="S43" s="50">
        <f t="shared" si="18"/>
        <v>0.182</v>
      </c>
      <c r="T43" s="50">
        <f t="shared" si="18"/>
        <v>0.182</v>
      </c>
      <c r="U43" s="50">
        <f t="shared" si="18"/>
        <v>0.182</v>
      </c>
    </row>
    <row r="44" spans="2:21" x14ac:dyDescent="0.35">
      <c r="B44" s="48"/>
      <c r="C44" s="49"/>
      <c r="D44" s="49"/>
      <c r="E44" s="49"/>
      <c r="F44" s="49"/>
      <c r="G44" s="49"/>
      <c r="H44" s="49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</row>
  </sheetData>
  <mergeCells count="1">
    <mergeCell ref="C3:Q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714D-1F4E-40E8-8543-63A969555BC3}">
  <dimension ref="A1:U11"/>
  <sheetViews>
    <sheetView workbookViewId="0">
      <selection activeCell="J11" sqref="J11"/>
    </sheetView>
  </sheetViews>
  <sheetFormatPr defaultColWidth="9.1328125" defaultRowHeight="11.65" x14ac:dyDescent="0.35"/>
  <cols>
    <col min="1" max="1" width="2" style="4" customWidth="1"/>
    <col min="2" max="2" width="15.1328125" style="4" customWidth="1"/>
    <col min="3" max="4" width="11.33203125" style="4" bestFit="1" customWidth="1"/>
    <col min="5" max="5" width="9.1328125" style="4"/>
    <col min="6" max="6" width="11.46484375" style="4" bestFit="1" customWidth="1"/>
    <col min="7" max="8" width="10.33203125" style="4" bestFit="1" customWidth="1"/>
    <col min="9" max="12" width="10.46484375" style="4" bestFit="1" customWidth="1"/>
    <col min="13" max="16384" width="9.1328125" style="4"/>
  </cols>
  <sheetData>
    <row r="1" spans="1:21" ht="15" x14ac:dyDescent="0.35">
      <c r="A1" s="1"/>
      <c r="B1" s="2" t="s">
        <v>225</v>
      </c>
    </row>
    <row r="2" spans="1:21" ht="15" x14ac:dyDescent="0.35">
      <c r="A2" s="1"/>
      <c r="B2" s="2"/>
    </row>
    <row r="3" spans="1:21" x14ac:dyDescent="0.35">
      <c r="C3" s="242" t="s">
        <v>226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ht="23.25" x14ac:dyDescent="0.35">
      <c r="B4" s="44" t="s">
        <v>117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1:21" x14ac:dyDescent="0.35">
      <c r="B5" s="4" t="s">
        <v>128</v>
      </c>
      <c r="C5" s="22" t="s">
        <v>136</v>
      </c>
      <c r="D5" s="22" t="s">
        <v>136</v>
      </c>
      <c r="E5" s="22" t="s">
        <v>136</v>
      </c>
      <c r="F5" s="22" t="s">
        <v>136</v>
      </c>
      <c r="G5" s="22" t="s">
        <v>136</v>
      </c>
      <c r="H5" s="22" t="s">
        <v>136</v>
      </c>
      <c r="I5" s="22" t="s">
        <v>136</v>
      </c>
      <c r="J5" s="72">
        <f>-('Revenue Automotive'!J5-'GP Automotive'!J5)</f>
        <v>-24610.657925715401</v>
      </c>
      <c r="K5" s="72">
        <f>-('Revenue Automotive'!K5-'GP Automotive'!K5)</f>
        <v>-28302.256614572711</v>
      </c>
      <c r="L5" s="72">
        <f>-('Revenue Automotive'!L5-'GP Automotive'!L5)</f>
        <v>-32547.595106758607</v>
      </c>
      <c r="M5" s="72">
        <f>-('Revenue Automotive'!M5-'GP Automotive'!M5)</f>
        <v>-35151.402715299308</v>
      </c>
      <c r="N5" s="72">
        <f>-('Revenue Automotive'!N5-'GP Automotive'!N5)</f>
        <v>-37963.514932523256</v>
      </c>
      <c r="O5" s="72">
        <f>-('Revenue Automotive'!O5-'GP Automotive'!O5)</f>
        <v>-39102.420380498952</v>
      </c>
      <c r="P5" s="72">
        <f>-('Revenue Automotive'!P5-'GP Automotive'!P5)</f>
        <v>-40275.492991913925</v>
      </c>
      <c r="Q5" s="72">
        <f>-('Revenue Automotive'!Q5-'GP Automotive'!Q5)</f>
        <v>-41483.757781671338</v>
      </c>
      <c r="R5" s="72">
        <f>-('Revenue Automotive'!R5-'GP Automotive'!R5)</f>
        <v>-42728.270515121476</v>
      </c>
      <c r="S5" s="72">
        <f>-('Revenue Automotive'!S5-'GP Automotive'!S5)</f>
        <v>-44010.118630575118</v>
      </c>
      <c r="T5" s="72">
        <f>-('Revenue Automotive'!T5-'GP Automotive'!T5)</f>
        <v>-45330.422189492376</v>
      </c>
      <c r="U5" s="72">
        <f>-('Revenue Automotive'!U5-'GP Automotive'!U5)</f>
        <v>-46690.334855177149</v>
      </c>
    </row>
    <row r="6" spans="1:21" x14ac:dyDescent="0.35">
      <c r="B6" s="4" t="s">
        <v>129</v>
      </c>
      <c r="C6" s="22" t="s">
        <v>136</v>
      </c>
      <c r="D6" s="22" t="s">
        <v>136</v>
      </c>
      <c r="E6" s="22" t="s">
        <v>136</v>
      </c>
      <c r="F6" s="22" t="s">
        <v>136</v>
      </c>
      <c r="G6" s="22" t="s">
        <v>136</v>
      </c>
      <c r="H6" s="22" t="s">
        <v>136</v>
      </c>
      <c r="I6" s="22" t="s">
        <v>136</v>
      </c>
      <c r="J6" s="72">
        <f>-('Revenue Automotive'!J6-'GP Automotive'!J6)</f>
        <v>-4629.4439151114493</v>
      </c>
      <c r="K6" s="72">
        <f>-('Revenue Automotive'!K6-'GP Automotive'!K6)</f>
        <v>-4768.3272325647931</v>
      </c>
      <c r="L6" s="72">
        <f>-('Revenue Automotive'!L6-'GP Automotive'!L6)</f>
        <v>-4911.3770495417375</v>
      </c>
      <c r="M6" s="72">
        <f>-('Revenue Automotive'!M6-'GP Automotive'!M6)</f>
        <v>-5058.718361027989</v>
      </c>
      <c r="N6" s="72">
        <f>-('Revenue Automotive'!N6-'GP Automotive'!N6)</f>
        <v>-5210.4799118588289</v>
      </c>
      <c r="O6" s="72">
        <f>-('Revenue Automotive'!O6-'GP Automotive'!O6)</f>
        <v>-5366.7943092145943</v>
      </c>
      <c r="P6" s="72">
        <f>-('Revenue Automotive'!P6-'GP Automotive'!P6)</f>
        <v>-5527.7981384910327</v>
      </c>
      <c r="Q6" s="72">
        <f>-('Revenue Automotive'!Q6-'GP Automotive'!Q6)</f>
        <v>-5693.6320826457631</v>
      </c>
      <c r="R6" s="72">
        <f>-('Revenue Automotive'!R6-'GP Automotive'!R6)</f>
        <v>-5864.441045125137</v>
      </c>
      <c r="S6" s="72">
        <f>-('Revenue Automotive'!S6-'GP Automotive'!S6)</f>
        <v>-6040.3742764788913</v>
      </c>
      <c r="T6" s="72">
        <f>-('Revenue Automotive'!T6-'GP Automotive'!T6)</f>
        <v>-6221.5855047732584</v>
      </c>
      <c r="U6" s="72">
        <f>-('Revenue Automotive'!U6-'GP Automotive'!U6)</f>
        <v>-6408.2330699164559</v>
      </c>
    </row>
    <row r="7" spans="1:21" x14ac:dyDescent="0.35">
      <c r="B7" s="4" t="s">
        <v>130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72">
        <f>-('Revenue Automotive'!J7-'GP Automotive'!J7)</f>
        <v>-1360.648737</v>
      </c>
      <c r="K7" s="72">
        <f>-('Revenue Automotive'!K7-'GP Automotive'!K7)</f>
        <v>-2802.3932752774981</v>
      </c>
      <c r="L7" s="72">
        <f>-('Revenue Automotive'!L7-'GP Automotive'!L7)</f>
        <v>-3916.3076875406182</v>
      </c>
      <c r="M7" s="72">
        <f>-('Revenue Automotive'!M7-'GP Automotive'!M7)</f>
        <v>-5482.8307625568659</v>
      </c>
      <c r="N7" s="72">
        <f>-('Revenue Automotive'!N7-'GP Automotive'!N7)</f>
        <v>-6305.2553769403949</v>
      </c>
      <c r="O7" s="72">
        <f>-('Revenue Automotive'!O7-'GP Automotive'!O7)</f>
        <v>-6809.6758070956257</v>
      </c>
      <c r="P7" s="72">
        <f>-('Revenue Automotive'!P7-'GP Automotive'!P7)</f>
        <v>-7354.4498716632761</v>
      </c>
      <c r="Q7" s="72">
        <f>-('Revenue Automotive'!Q7-'GP Automotive'!Q7)</f>
        <v>-7575.0833678131758</v>
      </c>
      <c r="R7" s="72">
        <f>-('Revenue Automotive'!R7-'GP Automotive'!R7)</f>
        <v>-7802.3358688475701</v>
      </c>
      <c r="S7" s="72">
        <f>-('Revenue Automotive'!S7-'GP Automotive'!S7)</f>
        <v>-8036.4059449129973</v>
      </c>
      <c r="T7" s="72">
        <f>-('Revenue Automotive'!T7-'GP Automotive'!T7)</f>
        <v>-8277.4981232603859</v>
      </c>
      <c r="U7" s="72">
        <f>-('Revenue Automotive'!U7-'GP Automotive'!U7)</f>
        <v>-8525.823066958199</v>
      </c>
    </row>
    <row r="8" spans="1:21" x14ac:dyDescent="0.35">
      <c r="B8" s="4" t="s">
        <v>131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72">
        <f>-('Revenue Automotive'!J8-'GP Automotive'!J8)</f>
        <v>0</v>
      </c>
      <c r="K8" s="72">
        <f>-('Revenue Automotive'!K8-'GP Automotive'!K8)</f>
        <v>-618.50249999999994</v>
      </c>
      <c r="L8" s="72">
        <f>-('Revenue Automotive'!L8-'GP Automotive'!L8)</f>
        <v>-1237.0049999999999</v>
      </c>
      <c r="M8" s="72">
        <f>-('Revenue Automotive'!M8-'GP Automotive'!M8)</f>
        <v>-1855.5074999999999</v>
      </c>
      <c r="N8" s="72">
        <f>-('Revenue Automotive'!N8-'GP Automotive'!N8)</f>
        <v>-2783.26125</v>
      </c>
      <c r="O8" s="72">
        <f>-('Revenue Automotive'!O8-'GP Automotive'!O8)</f>
        <v>-3200.7504374999994</v>
      </c>
      <c r="P8" s="72">
        <f>-('Revenue Automotive'!P8-'GP Automotive'!P8)</f>
        <v>-3680.8630031249986</v>
      </c>
      <c r="Q8" s="72">
        <f>-('Revenue Automotive'!Q8-'GP Automotive'!Q8)</f>
        <v>-3975.3320433749986</v>
      </c>
      <c r="R8" s="72">
        <f>-('Revenue Automotive'!R8-'GP Automotive'!R8)</f>
        <v>-4293.3586068449995</v>
      </c>
      <c r="S8" s="72">
        <f>-('Revenue Automotive'!S8-'GP Automotive'!S8)</f>
        <v>-4422.1593650503492</v>
      </c>
      <c r="T8" s="72">
        <f>-('Revenue Automotive'!T8-'GP Automotive'!T8)</f>
        <v>-4554.8241460018598</v>
      </c>
      <c r="U8" s="72">
        <f>-('Revenue Automotive'!U8-'GP Automotive'!U8)</f>
        <v>-4691.4688703819156</v>
      </c>
    </row>
    <row r="9" spans="1:21" x14ac:dyDescent="0.35">
      <c r="B9" s="4" t="s">
        <v>132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72">
        <f>-('Revenue Automotive'!J9-'GP Automotive'!J9)</f>
        <v>0</v>
      </c>
      <c r="K9" s="72">
        <f>-('Revenue Automotive'!K9-'GP Automotive'!K9)</f>
        <v>-735.96263999999996</v>
      </c>
      <c r="L9" s="72">
        <f>-('Revenue Automotive'!L9-'GP Automotive'!L9)</f>
        <v>-4415.7758400000002</v>
      </c>
      <c r="M9" s="72">
        <f>-('Revenue Automotive'!M9-'GP Automotive'!M9)</f>
        <v>-6623.6637600000004</v>
      </c>
      <c r="N9" s="72">
        <f>-('Revenue Automotive'!N9-'GP Automotive'!N9)</f>
        <v>-9935.495640000001</v>
      </c>
      <c r="O9" s="72">
        <f>-('Revenue Automotive'!O9-'GP Automotive'!O9)</f>
        <v>-11425.819985999999</v>
      </c>
      <c r="P9" s="72">
        <f>-('Revenue Automotive'!P9-'GP Automotive'!P9)</f>
        <v>-13139.692983899997</v>
      </c>
      <c r="Q9" s="72">
        <f>-('Revenue Automotive'!Q9-'GP Automotive'!Q9)</f>
        <v>-14190.868422611997</v>
      </c>
      <c r="R9" s="72">
        <f>-('Revenue Automotive'!R9-'GP Automotive'!R9)</f>
        <v>-15326.137896420954</v>
      </c>
      <c r="S9" s="72">
        <f>-('Revenue Automotive'!S9-'GP Automotive'!S9)</f>
        <v>-15785.922033313587</v>
      </c>
      <c r="T9" s="72">
        <f>-('Revenue Automotive'!T9-'GP Automotive'!T9)</f>
        <v>-16259.499694312995</v>
      </c>
      <c r="U9" s="72">
        <f>-('Revenue Automotive'!U9-'GP Automotive'!U9)</f>
        <v>-16747.284685142386</v>
      </c>
    </row>
    <row r="10" spans="1:21" x14ac:dyDescent="0.35">
      <c r="B10" s="4" t="s">
        <v>133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72">
        <f>-('Revenue Automotive'!J10-'GP Automotive'!J10)</f>
        <v>0</v>
      </c>
      <c r="K10" s="72">
        <f>-('Revenue Automotive'!K10-'GP Automotive'!K10)</f>
        <v>-138.87299999999999</v>
      </c>
      <c r="L10" s="72">
        <f>-('Revenue Automotive'!L10-'GP Automotive'!L10)</f>
        <v>-6954.7598400000006</v>
      </c>
      <c r="M10" s="72">
        <f>-('Revenue Automotive'!M10-'GP Automotive'!M10)</f>
        <v>-14324.029175787204</v>
      </c>
      <c r="N10" s="72">
        <f>-('Revenue Automotive'!N10-'GP Automotive'!N10)</f>
        <v>-20017.642089202018</v>
      </c>
      <c r="O10" s="72">
        <f>-('Revenue Automotive'!O10-'GP Automotive'!O10)</f>
        <v>-28024.698924882818</v>
      </c>
      <c r="P10" s="72">
        <f>-('Revenue Automotive'!P10-'GP Automotive'!P10)</f>
        <v>-32228.403763615239</v>
      </c>
      <c r="Q10" s="72">
        <f>-('Revenue Automotive'!Q10-'GP Automotive'!Q10)</f>
        <v>-37062.664328157516</v>
      </c>
      <c r="R10" s="72">
        <f>-('Revenue Automotive'!R10-'GP Automotive'!R10)</f>
        <v>-40027.67747441012</v>
      </c>
      <c r="S10" s="72">
        <f>-('Revenue Automotive'!S10-'GP Automotive'!S10)</f>
        <v>-43229.891672362937</v>
      </c>
      <c r="T10" s="72">
        <f>-('Revenue Automotive'!T10-'GP Automotive'!T10)</f>
        <v>-44526.788422533828</v>
      </c>
      <c r="U10" s="72">
        <f>-('Revenue Automotive'!U10-'GP Automotive'!U10)</f>
        <v>-45862.592075209846</v>
      </c>
    </row>
    <row r="11" spans="1:21" ht="12" thickBot="1" x14ac:dyDescent="0.4">
      <c r="B11" s="45" t="s">
        <v>134</v>
      </c>
      <c r="C11" s="46">
        <f>'P&amp;L Input'!C8/1000</f>
        <v>-2145.7489999999998</v>
      </c>
      <c r="D11" s="46">
        <f>'P&amp;L Input'!D8/1000</f>
        <v>-2823.3020000000001</v>
      </c>
      <c r="E11" s="46">
        <f>'P&amp;L Input'!E8/1000</f>
        <v>-4750.0810000000001</v>
      </c>
      <c r="F11" s="46">
        <f>'P&amp;L Input'!F8/1000</f>
        <v>-7432.7039999999997</v>
      </c>
      <c r="G11" s="46">
        <f>'P&amp;L Input'!G8/1000</f>
        <v>-14173.996999999999</v>
      </c>
      <c r="H11" s="46">
        <f>'P&amp;L Input'!H8/1000</f>
        <v>-16398</v>
      </c>
      <c r="I11" s="46">
        <f>'P&amp;L Input'!I8/1000</f>
        <v>-20259</v>
      </c>
      <c r="J11" s="46">
        <f t="shared" ref="J11:L11" si="0">SUM(J5:J10)</f>
        <v>-30600.75057782685</v>
      </c>
      <c r="K11" s="46">
        <f t="shared" si="0"/>
        <v>-37366.315262415003</v>
      </c>
      <c r="L11" s="46">
        <f t="shared" si="0"/>
        <v>-53982.820523840957</v>
      </c>
      <c r="M11" s="46">
        <f t="shared" ref="M11:U11" si="1">SUM(M5:M10)</f>
        <v>-68496.15227467136</v>
      </c>
      <c r="N11" s="46">
        <f t="shared" si="1"/>
        <v>-82215.649200524495</v>
      </c>
      <c r="O11" s="46">
        <f t="shared" si="1"/>
        <v>-93930.159845191985</v>
      </c>
      <c r="P11" s="46">
        <f t="shared" si="1"/>
        <v>-102206.70075270846</v>
      </c>
      <c r="Q11" s="46">
        <f t="shared" si="1"/>
        <v>-109981.33802627478</v>
      </c>
      <c r="R11" s="46">
        <f t="shared" si="1"/>
        <v>-116042.22140677026</v>
      </c>
      <c r="S11" s="46">
        <f t="shared" si="1"/>
        <v>-121524.87192269388</v>
      </c>
      <c r="T11" s="46">
        <f t="shared" si="1"/>
        <v>-125170.6180803747</v>
      </c>
      <c r="U11" s="46">
        <f t="shared" si="1"/>
        <v>-128925.73662278595</v>
      </c>
    </row>
  </sheetData>
  <mergeCells count="1">
    <mergeCell ref="C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0CDE-D879-485B-89E8-71A9DB678E86}">
  <dimension ref="A1:U9"/>
  <sheetViews>
    <sheetView workbookViewId="0">
      <selection activeCell="F6" sqref="F6"/>
    </sheetView>
  </sheetViews>
  <sheetFormatPr defaultColWidth="9.1328125" defaultRowHeight="11.65" x14ac:dyDescent="0.35"/>
  <cols>
    <col min="1" max="1" width="2" style="4" customWidth="1"/>
    <col min="2" max="2" width="40.19921875" style="4" bestFit="1" customWidth="1"/>
    <col min="3" max="4" width="11.33203125" style="4" bestFit="1" customWidth="1"/>
    <col min="5" max="5" width="9.1328125" style="4"/>
    <col min="6" max="6" width="11.46484375" style="4" bestFit="1" customWidth="1"/>
    <col min="7" max="8" width="10.33203125" style="4" bestFit="1" customWidth="1"/>
    <col min="9" max="12" width="10.46484375" style="4" bestFit="1" customWidth="1"/>
    <col min="13" max="16384" width="9.1328125" style="4"/>
  </cols>
  <sheetData>
    <row r="1" spans="1:21" ht="15" x14ac:dyDescent="0.35">
      <c r="A1" s="1"/>
      <c r="B1" s="2" t="s">
        <v>227</v>
      </c>
    </row>
    <row r="2" spans="1:21" ht="15" x14ac:dyDescent="0.35">
      <c r="A2" s="1"/>
      <c r="B2" s="2"/>
    </row>
    <row r="3" spans="1:21" ht="23.25" x14ac:dyDescent="0.35">
      <c r="A3" s="1"/>
      <c r="B3" s="44" t="s">
        <v>117</v>
      </c>
      <c r="C3" s="31" t="s">
        <v>61</v>
      </c>
      <c r="D3" s="31" t="s">
        <v>62</v>
      </c>
      <c r="E3" s="31" t="s">
        <v>63</v>
      </c>
      <c r="F3" s="31" t="s">
        <v>64</v>
      </c>
      <c r="G3" s="31" t="s">
        <v>109</v>
      </c>
      <c r="H3" s="31" t="s">
        <v>110</v>
      </c>
      <c r="I3" s="31" t="s">
        <v>111</v>
      </c>
      <c r="J3" s="32" t="s">
        <v>120</v>
      </c>
      <c r="K3" s="32" t="s">
        <v>121</v>
      </c>
      <c r="L3" s="32" t="s">
        <v>122</v>
      </c>
      <c r="M3" s="32" t="s">
        <v>123</v>
      </c>
      <c r="N3" s="32" t="s">
        <v>124</v>
      </c>
      <c r="O3" s="32" t="s">
        <v>125</v>
      </c>
      <c r="P3" s="32" t="s">
        <v>126</v>
      </c>
      <c r="Q3" s="32" t="s">
        <v>127</v>
      </c>
      <c r="R3" s="32" t="s">
        <v>140</v>
      </c>
      <c r="S3" s="32" t="s">
        <v>141</v>
      </c>
      <c r="T3" s="32" t="s">
        <v>142</v>
      </c>
      <c r="U3" s="32" t="s">
        <v>143</v>
      </c>
    </row>
    <row r="4" spans="1:21" x14ac:dyDescent="0.35">
      <c r="B4" s="4" t="s">
        <v>228</v>
      </c>
      <c r="C4" s="41">
        <f>'Revenue Automotive'!C11</f>
        <v>3007.0120000000002</v>
      </c>
      <c r="D4" s="41">
        <f>'Revenue Automotive'!D11</f>
        <v>3740.973</v>
      </c>
      <c r="E4" s="41">
        <f>'Revenue Automotive'!E11</f>
        <v>6350.7659999999996</v>
      </c>
      <c r="F4" s="41">
        <f>'Revenue Automotive'!F11</f>
        <v>9641.2999999999993</v>
      </c>
      <c r="G4" s="72">
        <f>'Revenue Automotive'!G11</f>
        <v>18514.983</v>
      </c>
      <c r="H4" s="72">
        <f>'Revenue Automotive'!H11</f>
        <v>20821</v>
      </c>
      <c r="I4" s="72">
        <f>'Revenue Automotive'!I11</f>
        <v>27236</v>
      </c>
      <c r="J4" s="72">
        <f>'Revenue Automotive'!J11</f>
        <v>40278.231410603497</v>
      </c>
      <c r="K4" s="72">
        <f>'Revenue Automotive'!K11</f>
        <v>49308.231384654842</v>
      </c>
      <c r="L4" s="72">
        <f>'Revenue Automotive'!L11</f>
        <v>70833.574692548704</v>
      </c>
      <c r="M4" s="72">
        <f>'Revenue Automotive'!M11</f>
        <v>89669.871483226161</v>
      </c>
      <c r="N4" s="72">
        <f>'Revenue Automotive'!N11</f>
        <v>107644.01104791567</v>
      </c>
      <c r="O4" s="72">
        <f>'Revenue Automotive'!O11</f>
        <v>122843.1973833204</v>
      </c>
      <c r="P4" s="72">
        <f>'Revenue Automotive'!P11</f>
        <v>133641.66994109031</v>
      </c>
      <c r="Q4" s="72">
        <f>'Revenue Automotive'!Q11</f>
        <v>143760.9691631679</v>
      </c>
      <c r="R4" s="72">
        <f>'Revenue Automotive'!R11</f>
        <v>151685.93161140842</v>
      </c>
      <c r="S4" s="72">
        <f>'Revenue Automotive'!S11</f>
        <v>158808.98240514979</v>
      </c>
      <c r="T4" s="72">
        <f>'Revenue Automotive'!T11</f>
        <v>163573.25187730431</v>
      </c>
      <c r="U4" s="72">
        <f>'Revenue Automotive'!U11</f>
        <v>168480.44943362343</v>
      </c>
    </row>
    <row r="5" spans="1:21" x14ac:dyDescent="0.35">
      <c r="B5" s="4" t="s">
        <v>229</v>
      </c>
      <c r="C5" s="41">
        <f>'GP Automotive'!C11</f>
        <v>861.26300000000003</v>
      </c>
      <c r="D5" s="41">
        <f>'GP Automotive'!D11</f>
        <v>917.67100000000005</v>
      </c>
      <c r="E5" s="41">
        <f>'GP Automotive'!E11</f>
        <v>1600.6849999999999</v>
      </c>
      <c r="F5" s="41">
        <f>'GP Automotive'!F11</f>
        <v>2208.596</v>
      </c>
      <c r="G5" s="41">
        <f>'GP Automotive'!G11</f>
        <v>4340.9859999999999</v>
      </c>
      <c r="H5" s="41">
        <f>'GP Automotive'!H11</f>
        <v>4423</v>
      </c>
      <c r="I5" s="41">
        <f>'GP Automotive'!I11</f>
        <v>6977</v>
      </c>
      <c r="J5" s="41">
        <f>'GP Automotive'!J11</f>
        <v>9677.4808327766495</v>
      </c>
      <c r="K5" s="41">
        <f>'GP Automotive'!K11</f>
        <v>11941.916122239845</v>
      </c>
      <c r="L5" s="41">
        <f>'GP Automotive'!L11</f>
        <v>16850.754168707739</v>
      </c>
      <c r="M5" s="41">
        <f>'GP Automotive'!M11</f>
        <v>21173.719208554798</v>
      </c>
      <c r="N5" s="41">
        <f>'GP Automotive'!N11</f>
        <v>25428.36184739117</v>
      </c>
      <c r="O5" s="41">
        <f>'GP Automotive'!O11</f>
        <v>28913.037538128425</v>
      </c>
      <c r="P5" s="41">
        <f>'GP Automotive'!P11</f>
        <v>31434.969188381849</v>
      </c>
      <c r="Q5" s="41">
        <f>'GP Automotive'!Q11</f>
        <v>33779.63113689312</v>
      </c>
      <c r="R5" s="41">
        <f>'GP Automotive'!R11</f>
        <v>35643.710204638162</v>
      </c>
      <c r="S5" s="41">
        <f>'GP Automotive'!S11</f>
        <v>37284.110482455908</v>
      </c>
      <c r="T5" s="41">
        <f>'GP Automotive'!T11</f>
        <v>38402.633796929593</v>
      </c>
      <c r="U5" s="41">
        <f>'GP Automotive'!U11</f>
        <v>39554.712810837482</v>
      </c>
    </row>
    <row r="6" spans="1:21" x14ac:dyDescent="0.35">
      <c r="B6" s="4" t="s">
        <v>230</v>
      </c>
      <c r="C6" s="102">
        <f>C5/C4</f>
        <v>0.28641821183287597</v>
      </c>
      <c r="D6" s="102">
        <f>D5/D4</f>
        <v>0.24530275946926108</v>
      </c>
      <c r="E6" s="102">
        <f>E5/E4</f>
        <v>0.25204597366679865</v>
      </c>
      <c r="F6" s="102">
        <f>F5/F4</f>
        <v>0.2290765768101812</v>
      </c>
      <c r="G6" s="103">
        <f>G5/G4</f>
        <v>0.23445800625363791</v>
      </c>
      <c r="H6" s="103">
        <f t="shared" ref="H6:Q6" si="0">H5/H4</f>
        <v>0.21242975841698286</v>
      </c>
      <c r="I6" s="103">
        <f t="shared" si="0"/>
        <v>0.25616830665295931</v>
      </c>
      <c r="J6" s="103">
        <f t="shared" si="0"/>
        <v>0.24026578362199369</v>
      </c>
      <c r="K6" s="103">
        <f t="shared" si="0"/>
        <v>0.24218909879530329</v>
      </c>
      <c r="L6" s="103">
        <f t="shared" si="0"/>
        <v>0.23789218942920784</v>
      </c>
      <c r="M6" s="103">
        <f t="shared" si="0"/>
        <v>0.23612969282013077</v>
      </c>
      <c r="N6" s="103">
        <f t="shared" si="0"/>
        <v>0.23622644306771717</v>
      </c>
      <c r="O6" s="103">
        <f t="shared" si="0"/>
        <v>0.23536539388427077</v>
      </c>
      <c r="P6" s="103">
        <f t="shared" si="0"/>
        <v>0.23521832076955104</v>
      </c>
      <c r="Q6" s="103">
        <f t="shared" si="0"/>
        <v>0.23497080837395737</v>
      </c>
      <c r="R6" s="103">
        <f t="shared" ref="R6:U6" si="1">R5/R4</f>
        <v>0.23498362587738736</v>
      </c>
      <c r="S6" s="103">
        <f t="shared" si="1"/>
        <v>0.23477331016036329</v>
      </c>
      <c r="T6" s="103">
        <f t="shared" si="1"/>
        <v>0.23477331016036329</v>
      </c>
      <c r="U6" s="103">
        <f t="shared" si="1"/>
        <v>0.23477331016036332</v>
      </c>
    </row>
    <row r="7" spans="1:21" x14ac:dyDescent="0.35">
      <c r="K7" s="9"/>
      <c r="L7" s="9"/>
      <c r="M7" s="9"/>
      <c r="N7" s="9"/>
      <c r="O7" s="9"/>
      <c r="P7" s="9"/>
      <c r="Q7" s="9"/>
    </row>
    <row r="8" spans="1:21" x14ac:dyDescent="0.35">
      <c r="K8" s="9"/>
      <c r="L8" s="9"/>
      <c r="M8" s="9"/>
      <c r="N8" s="9"/>
      <c r="O8" s="9"/>
      <c r="P8" s="9"/>
      <c r="Q8" s="9"/>
    </row>
    <row r="9" spans="1:21" x14ac:dyDescent="0.35">
      <c r="K9" s="9"/>
      <c r="L9" s="9"/>
      <c r="M9" s="9"/>
      <c r="N9" s="9"/>
      <c r="O9" s="9"/>
      <c r="P9" s="9"/>
      <c r="Q9" s="9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3DD7-A857-4DB2-99B0-F7046168C647}">
  <sheetPr>
    <tabColor rgb="FFFFC000"/>
  </sheetPr>
  <dimension ref="B14"/>
  <sheetViews>
    <sheetView workbookViewId="0">
      <selection activeCell="L34" sqref="L34"/>
    </sheetView>
  </sheetViews>
  <sheetFormatPr defaultRowHeight="12.75" x14ac:dyDescent="0.35"/>
  <cols>
    <col min="1" max="1" width="1.86328125" style="1" customWidth="1"/>
    <col min="2" max="16384" width="9.06640625" style="1"/>
  </cols>
  <sheetData>
    <row r="14" spans="2:2" ht="50.25" x14ac:dyDescent="0.35">
      <c r="B14" s="40" t="s">
        <v>231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FA7-B7A3-4D0D-BAA9-C7FB92371D52}">
  <dimension ref="A1:U26"/>
  <sheetViews>
    <sheetView workbookViewId="0">
      <selection sqref="A1:XFD1048576"/>
    </sheetView>
  </sheetViews>
  <sheetFormatPr defaultColWidth="9.1328125" defaultRowHeight="11.65" x14ac:dyDescent="0.35"/>
  <cols>
    <col min="1" max="1" width="2" style="4" customWidth="1"/>
    <col min="2" max="2" width="28" style="4" customWidth="1"/>
    <col min="3" max="12" width="9.796875" style="4" customWidth="1"/>
    <col min="13" max="16384" width="9.1328125" style="4"/>
  </cols>
  <sheetData>
    <row r="1" spans="1:21" ht="15" x14ac:dyDescent="0.35">
      <c r="A1" s="1"/>
      <c r="B1" s="2" t="s">
        <v>239</v>
      </c>
    </row>
    <row r="2" spans="1:21" ht="15" x14ac:dyDescent="0.35">
      <c r="A2" s="1"/>
      <c r="B2" s="2"/>
    </row>
    <row r="3" spans="1:21" x14ac:dyDescent="0.35">
      <c r="C3" s="242" t="s">
        <v>240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1:2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1:21" x14ac:dyDescent="0.35">
      <c r="B5" s="4" t="s">
        <v>66</v>
      </c>
      <c r="C5" s="41">
        <f>'P&amp;L Input'!C5/1000</f>
        <v>4.2080000000000002</v>
      </c>
      <c r="D5" s="41">
        <f>'P&amp;L Input'!D5/1000</f>
        <v>14.477</v>
      </c>
      <c r="E5" s="41">
        <f>'P&amp;L Input'!E5/1000</f>
        <v>181.39400000000001</v>
      </c>
      <c r="F5" s="41">
        <f>'P&amp;L Input'!F5/1000</f>
        <v>1116.2660000000001</v>
      </c>
      <c r="G5" s="41">
        <f>'P&amp;L Input'!G5/1000</f>
        <v>1555.2439999999999</v>
      </c>
      <c r="H5" s="41">
        <f>'P&amp;L Input'!H5/1000</f>
        <v>1531</v>
      </c>
      <c r="I5" s="41">
        <f>'P&amp;L Input'!I5/1000</f>
        <v>1994</v>
      </c>
      <c r="J5" s="23" t="s">
        <v>244</v>
      </c>
      <c r="K5" s="23" t="s">
        <v>244</v>
      </c>
      <c r="L5" s="23" t="s">
        <v>244</v>
      </c>
      <c r="M5" s="23" t="s">
        <v>244</v>
      </c>
      <c r="N5" s="23" t="s">
        <v>244</v>
      </c>
      <c r="O5" s="23" t="s">
        <v>244</v>
      </c>
      <c r="P5" s="23" t="s">
        <v>244</v>
      </c>
      <c r="Q5" s="23" t="s">
        <v>244</v>
      </c>
      <c r="R5" s="23" t="s">
        <v>244</v>
      </c>
      <c r="S5" s="23" t="s">
        <v>244</v>
      </c>
      <c r="T5" s="23" t="s">
        <v>244</v>
      </c>
      <c r="U5" s="23" t="s">
        <v>244</v>
      </c>
    </row>
    <row r="6" spans="1:21" x14ac:dyDescent="0.35">
      <c r="B6" s="4" t="s">
        <v>67</v>
      </c>
      <c r="C6" s="41">
        <f>'P&amp;L Input'!C6/1000</f>
        <v>187.136</v>
      </c>
      <c r="D6" s="41">
        <f>'P&amp;L Input'!D6/1000</f>
        <v>290.57499999999999</v>
      </c>
      <c r="E6" s="41">
        <f>'P&amp;L Input'!E6/1000</f>
        <v>467.97199999999998</v>
      </c>
      <c r="F6" s="41">
        <f>'P&amp;L Input'!F6/1000</f>
        <v>1001.1849999999999</v>
      </c>
      <c r="G6" s="41">
        <f>'P&amp;L Input'!G6/1000</f>
        <v>1391.0409999999999</v>
      </c>
      <c r="H6" s="41">
        <f>'P&amp;L Input'!H6/1000</f>
        <v>2226</v>
      </c>
      <c r="I6" s="41">
        <f>'P&amp;L Input'!I6/1000</f>
        <v>2306</v>
      </c>
      <c r="J6" s="23" t="s">
        <v>244</v>
      </c>
      <c r="K6" s="23" t="s">
        <v>244</v>
      </c>
      <c r="L6" s="23" t="s">
        <v>244</v>
      </c>
      <c r="M6" s="23" t="s">
        <v>244</v>
      </c>
      <c r="N6" s="23" t="s">
        <v>244</v>
      </c>
      <c r="O6" s="23" t="s">
        <v>244</v>
      </c>
      <c r="P6" s="23" t="s">
        <v>244</v>
      </c>
      <c r="Q6" s="23" t="s">
        <v>244</v>
      </c>
      <c r="R6" s="23" t="s">
        <v>244</v>
      </c>
      <c r="S6" s="23" t="s">
        <v>244</v>
      </c>
      <c r="T6" s="23" t="s">
        <v>244</v>
      </c>
      <c r="U6" s="23" t="s">
        <v>244</v>
      </c>
    </row>
    <row r="7" spans="1:21" x14ac:dyDescent="0.35">
      <c r="B7" s="18" t="s">
        <v>242</v>
      </c>
      <c r="C7" s="105">
        <f>SUM(C5:C6)</f>
        <v>191.34399999999999</v>
      </c>
      <c r="D7" s="105">
        <f t="shared" ref="D7:I7" si="0">SUM(D5:D6)</f>
        <v>305.05199999999996</v>
      </c>
      <c r="E7" s="105">
        <f t="shared" si="0"/>
        <v>649.36599999999999</v>
      </c>
      <c r="F7" s="105">
        <f t="shared" si="0"/>
        <v>2117.451</v>
      </c>
      <c r="G7" s="105">
        <f t="shared" si="0"/>
        <v>2946.2849999999999</v>
      </c>
      <c r="H7" s="105">
        <f t="shared" si="0"/>
        <v>3757</v>
      </c>
      <c r="I7" s="105">
        <f t="shared" si="0"/>
        <v>4300</v>
      </c>
      <c r="J7" s="106">
        <f>I7*(1+J10)</f>
        <v>5074</v>
      </c>
      <c r="K7" s="106">
        <f t="shared" ref="K7:U7" si="1">J7*(1+K10)</f>
        <v>5885.8399999999992</v>
      </c>
      <c r="L7" s="106">
        <f t="shared" si="1"/>
        <v>6709.8575999999985</v>
      </c>
      <c r="M7" s="106">
        <f t="shared" si="1"/>
        <v>7380.8433599999989</v>
      </c>
      <c r="N7" s="106">
        <f t="shared" si="1"/>
        <v>7971.3108287999994</v>
      </c>
      <c r="O7" s="106">
        <f t="shared" si="1"/>
        <v>8609.0156951040008</v>
      </c>
      <c r="P7" s="106">
        <f t="shared" si="1"/>
        <v>9297.7369507123221</v>
      </c>
      <c r="Q7" s="106">
        <f t="shared" si="1"/>
        <v>10041.555906769308</v>
      </c>
      <c r="R7" s="106">
        <f t="shared" si="1"/>
        <v>10844.880379310855</v>
      </c>
      <c r="S7" s="106">
        <f t="shared" si="1"/>
        <v>11712.470809655724</v>
      </c>
      <c r="T7" s="106">
        <f t="shared" si="1"/>
        <v>12649.468474428182</v>
      </c>
      <c r="U7" s="106">
        <f t="shared" si="1"/>
        <v>13661.425952382438</v>
      </c>
    </row>
    <row r="9" spans="1:21" x14ac:dyDescent="0.35">
      <c r="B9" s="47" t="s">
        <v>0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 x14ac:dyDescent="0.35">
      <c r="B10" s="48" t="s">
        <v>242</v>
      </c>
      <c r="C10" s="49"/>
      <c r="D10" s="49"/>
      <c r="E10" s="49"/>
      <c r="F10" s="49"/>
      <c r="G10" s="50"/>
      <c r="H10" s="50"/>
      <c r="I10" s="50"/>
      <c r="J10" s="50">
        <f>CHOOSE(Drivers!$C$3,'Revenue Energy &amp; Other'!J14,'Revenue Energy &amp; Other'!J17,'Revenue Energy &amp; Other'!J20)</f>
        <v>0.18</v>
      </c>
      <c r="K10" s="50">
        <f>CHOOSE(Drivers!$C$3,'Revenue Energy &amp; Other'!K14,'Revenue Energy &amp; Other'!K17,'Revenue Energy &amp; Other'!K20)</f>
        <v>0.16</v>
      </c>
      <c r="L10" s="50">
        <f>CHOOSE(Drivers!$C$3,'Revenue Energy &amp; Other'!L14,'Revenue Energy &amp; Other'!L17,'Revenue Energy &amp; Other'!L20)</f>
        <v>0.13999999999999999</v>
      </c>
      <c r="M10" s="50">
        <f>CHOOSE(Drivers!$C$3,'Revenue Energy &amp; Other'!M14,'Revenue Energy &amp; Other'!M17,'Revenue Energy &amp; Other'!M20)</f>
        <v>0.1</v>
      </c>
      <c r="N10" s="50">
        <f>CHOOSE(Drivers!$C$3,'Revenue Energy &amp; Other'!N14,'Revenue Energy &amp; Other'!N17,'Revenue Energy &amp; Other'!N20)</f>
        <v>0.08</v>
      </c>
      <c r="O10" s="50">
        <f>CHOOSE(Drivers!$C$3,'Revenue Energy &amp; Other'!O14,'Revenue Energy &amp; Other'!O17,'Revenue Energy &amp; Other'!O20)</f>
        <v>0.08</v>
      </c>
      <c r="P10" s="50">
        <f>CHOOSE(Drivers!$C$3,'Revenue Energy &amp; Other'!P14,'Revenue Energy &amp; Other'!P17,'Revenue Energy &amp; Other'!P20)</f>
        <v>0.08</v>
      </c>
      <c r="Q10" s="50">
        <f>CHOOSE(Drivers!$C$3,'Revenue Energy &amp; Other'!Q14,'Revenue Energy &amp; Other'!Q17,'Revenue Energy &amp; Other'!Q20)</f>
        <v>0.08</v>
      </c>
      <c r="R10" s="50">
        <f>CHOOSE(Drivers!$C$3,'Revenue Energy &amp; Other'!R14,'Revenue Energy &amp; Other'!R17,'Revenue Energy &amp; Other'!R20)</f>
        <v>0.08</v>
      </c>
      <c r="S10" s="50">
        <f>CHOOSE(Drivers!$C$3,'Revenue Energy &amp; Other'!S14,'Revenue Energy &amp; Other'!S17,'Revenue Energy &amp; Other'!S20)</f>
        <v>0.08</v>
      </c>
      <c r="T10" s="50">
        <f>CHOOSE(Drivers!$C$3,'Revenue Energy &amp; Other'!T14,'Revenue Energy &amp; Other'!T17,'Revenue Energy &amp; Other'!T20)</f>
        <v>0.08</v>
      </c>
      <c r="U10" s="50">
        <f>CHOOSE(Drivers!$C$3,'Revenue Energy &amp; Other'!U14,'Revenue Energy &amp; Other'!U17,'Revenue Energy &amp; Other'!U20)</f>
        <v>0.08</v>
      </c>
    </row>
    <row r="11" spans="1:21" x14ac:dyDescent="0.35">
      <c r="B11" s="48"/>
      <c r="C11" s="49"/>
      <c r="D11" s="49"/>
      <c r="E11" s="49"/>
      <c r="F11" s="49"/>
      <c r="G11" s="49"/>
      <c r="H11" s="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 x14ac:dyDescent="0.35">
      <c r="B12" s="107" t="s">
        <v>243</v>
      </c>
      <c r="C12" s="49"/>
      <c r="D12" s="49"/>
      <c r="E12" s="49"/>
      <c r="F12" s="49"/>
      <c r="G12" s="49"/>
      <c r="H12" s="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 x14ac:dyDescent="0.35">
      <c r="B13" s="47" t="s">
        <v>180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35">
      <c r="B14" s="48" t="s">
        <v>242</v>
      </c>
      <c r="C14" s="49"/>
      <c r="D14" s="39"/>
      <c r="E14" s="39"/>
      <c r="F14" s="39"/>
      <c r="G14" s="39"/>
      <c r="H14" s="39"/>
      <c r="I14" s="39"/>
      <c r="J14" s="39">
        <f t="shared" ref="J14:Q14" si="2">J17+2%</f>
        <v>0.18</v>
      </c>
      <c r="K14" s="39">
        <f t="shared" si="2"/>
        <v>0.16</v>
      </c>
      <c r="L14" s="39">
        <f t="shared" si="2"/>
        <v>0.13999999999999999</v>
      </c>
      <c r="M14" s="39">
        <f t="shared" si="2"/>
        <v>0.1</v>
      </c>
      <c r="N14" s="39">
        <f t="shared" si="2"/>
        <v>0.08</v>
      </c>
      <c r="O14" s="39">
        <f t="shared" si="2"/>
        <v>0.08</v>
      </c>
      <c r="P14" s="39">
        <f t="shared" si="2"/>
        <v>0.08</v>
      </c>
      <c r="Q14" s="39">
        <f t="shared" si="2"/>
        <v>0.08</v>
      </c>
      <c r="R14" s="39">
        <f t="shared" ref="R14:U14" si="3">R17+2%</f>
        <v>0.08</v>
      </c>
      <c r="S14" s="39">
        <f t="shared" si="3"/>
        <v>0.08</v>
      </c>
      <c r="T14" s="39">
        <f t="shared" si="3"/>
        <v>0.08</v>
      </c>
      <c r="U14" s="39">
        <f t="shared" si="3"/>
        <v>0.08</v>
      </c>
    </row>
    <row r="15" spans="1:21" x14ac:dyDescent="0.35">
      <c r="B15" s="48"/>
      <c r="C15" s="49"/>
      <c r="D15" s="49"/>
      <c r="E15" s="49"/>
      <c r="F15" s="49"/>
      <c r="G15" s="49"/>
      <c r="H15" s="4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x14ac:dyDescent="0.35">
      <c r="B16" s="47" t="s">
        <v>181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35">
      <c r="B17" s="48" t="s">
        <v>242</v>
      </c>
      <c r="C17" s="49"/>
      <c r="D17" s="39">
        <f>D7/C7-1</f>
        <v>0.59425955347437065</v>
      </c>
      <c r="E17" s="39">
        <f t="shared" ref="E17:I17" si="4">E7/D7-1</f>
        <v>1.1287059255471199</v>
      </c>
      <c r="F17" s="39">
        <f t="shared" si="4"/>
        <v>2.26079745474817</v>
      </c>
      <c r="G17" s="39">
        <f>G7/F7-1</f>
        <v>0.39143007323428014</v>
      </c>
      <c r="H17" s="39">
        <f t="shared" si="4"/>
        <v>0.27516516562382809</v>
      </c>
      <c r="I17" s="39">
        <f t="shared" si="4"/>
        <v>0.1445302102741548</v>
      </c>
      <c r="J17" s="50">
        <v>0.16</v>
      </c>
      <c r="K17" s="50">
        <v>0.14000000000000001</v>
      </c>
      <c r="L17" s="50">
        <v>0.12</v>
      </c>
      <c r="M17" s="50">
        <v>0.08</v>
      </c>
      <c r="N17" s="50">
        <v>0.06</v>
      </c>
      <c r="O17" s="50">
        <v>0.06</v>
      </c>
      <c r="P17" s="50">
        <v>0.06</v>
      </c>
      <c r="Q17" s="50">
        <v>0.06</v>
      </c>
      <c r="R17" s="50">
        <v>0.06</v>
      </c>
      <c r="S17" s="50">
        <v>0.06</v>
      </c>
      <c r="T17" s="50">
        <v>0.06</v>
      </c>
      <c r="U17" s="50">
        <v>0.06</v>
      </c>
    </row>
    <row r="18" spans="2:21" x14ac:dyDescent="0.35">
      <c r="B18" s="48"/>
      <c r="C18" s="49"/>
      <c r="D18" s="49"/>
      <c r="E18" s="49"/>
      <c r="F18" s="49"/>
      <c r="G18" s="49"/>
      <c r="H18" s="4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2:21" x14ac:dyDescent="0.35">
      <c r="B19" s="47" t="s">
        <v>182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35">
      <c r="B20" s="48" t="s">
        <v>242</v>
      </c>
      <c r="C20" s="49"/>
      <c r="D20" s="39"/>
      <c r="E20" s="39"/>
      <c r="F20" s="39"/>
      <c r="G20" s="39"/>
      <c r="H20" s="39"/>
      <c r="I20" s="39"/>
      <c r="J20" s="39">
        <f t="shared" ref="J20:Q20" si="5">J17-2%</f>
        <v>0.14000000000000001</v>
      </c>
      <c r="K20" s="39">
        <f t="shared" si="5"/>
        <v>0.12000000000000001</v>
      </c>
      <c r="L20" s="39">
        <f t="shared" si="5"/>
        <v>9.9999999999999992E-2</v>
      </c>
      <c r="M20" s="39">
        <f t="shared" si="5"/>
        <v>0.06</v>
      </c>
      <c r="N20" s="39">
        <f t="shared" si="5"/>
        <v>3.9999999999999994E-2</v>
      </c>
      <c r="O20" s="39">
        <f t="shared" si="5"/>
        <v>3.9999999999999994E-2</v>
      </c>
      <c r="P20" s="39">
        <f t="shared" si="5"/>
        <v>3.9999999999999994E-2</v>
      </c>
      <c r="Q20" s="39">
        <f t="shared" si="5"/>
        <v>3.9999999999999994E-2</v>
      </c>
      <c r="R20" s="39">
        <f t="shared" ref="R20:U20" si="6">R17-2%</f>
        <v>3.9999999999999994E-2</v>
      </c>
      <c r="S20" s="39">
        <f t="shared" si="6"/>
        <v>3.9999999999999994E-2</v>
      </c>
      <c r="T20" s="39">
        <f t="shared" si="6"/>
        <v>3.9999999999999994E-2</v>
      </c>
      <c r="U20" s="39">
        <f t="shared" si="6"/>
        <v>3.9999999999999994E-2</v>
      </c>
    </row>
    <row r="25" spans="2:21" x14ac:dyDescent="0.35">
      <c r="B25" s="54" t="s">
        <v>245</v>
      </c>
    </row>
    <row r="26" spans="2:21" x14ac:dyDescent="0.35">
      <c r="B26" s="4" t="s">
        <v>246</v>
      </c>
    </row>
  </sheetData>
  <mergeCells count="1">
    <mergeCell ref="C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11" sqref="C11"/>
    </sheetView>
  </sheetViews>
  <sheetFormatPr defaultColWidth="9.1328125" defaultRowHeight="11.65" x14ac:dyDescent="0.35"/>
  <cols>
    <col min="1" max="1" width="2" style="4" customWidth="1"/>
    <col min="2" max="2" width="27.19921875" style="4" bestFit="1" customWidth="1"/>
    <col min="3" max="6" width="11.33203125" style="4" bestFit="1" customWidth="1"/>
    <col min="7" max="7" width="11.46484375" style="4" bestFit="1" customWidth="1"/>
    <col min="8" max="11" width="10.33203125" style="4" bestFit="1" customWidth="1"/>
    <col min="12" max="16" width="10.46484375" style="4" bestFit="1" customWidth="1"/>
    <col min="17" max="16384" width="9.1328125" style="4"/>
  </cols>
  <sheetData>
    <row r="1" spans="1:6" ht="15" x14ac:dyDescent="0.35">
      <c r="A1" s="1"/>
      <c r="B1" s="2" t="s">
        <v>14</v>
      </c>
    </row>
    <row r="3" spans="1:6" ht="12.75" x14ac:dyDescent="0.35">
      <c r="B3" s="4" t="s">
        <v>0</v>
      </c>
      <c r="C3" s="6">
        <v>1</v>
      </c>
      <c r="E3" s="3"/>
      <c r="F3" s="3"/>
    </row>
    <row r="4" spans="1:6" ht="12.75" x14ac:dyDescent="0.35">
      <c r="B4" s="4" t="s">
        <v>9</v>
      </c>
      <c r="C4" s="13" t="s">
        <v>8</v>
      </c>
      <c r="E4" s="3"/>
      <c r="F4" s="3"/>
    </row>
    <row r="5" spans="1:6" x14ac:dyDescent="0.35">
      <c r="B5" s="4" t="s">
        <v>3</v>
      </c>
      <c r="C5" s="10" t="s">
        <v>4</v>
      </c>
    </row>
    <row r="6" spans="1:6" x14ac:dyDescent="0.35">
      <c r="B6" s="4" t="s">
        <v>5</v>
      </c>
      <c r="C6" s="10" t="s">
        <v>6</v>
      </c>
    </row>
    <row r="7" spans="1:6" x14ac:dyDescent="0.35">
      <c r="B7" s="4" t="s">
        <v>10</v>
      </c>
      <c r="C7" s="11">
        <v>1.5990000000000001E-2</v>
      </c>
    </row>
    <row r="8" spans="1:6" x14ac:dyDescent="0.35">
      <c r="B8" s="4" t="s">
        <v>7</v>
      </c>
      <c r="C8" s="9">
        <v>0.06</v>
      </c>
    </row>
    <row r="9" spans="1:6" x14ac:dyDescent="0.35">
      <c r="B9" s="4" t="s">
        <v>11</v>
      </c>
      <c r="C9" s="4">
        <v>1.98</v>
      </c>
    </row>
    <row r="10" spans="1:6" x14ac:dyDescent="0.35">
      <c r="B10" s="4" t="s">
        <v>12</v>
      </c>
      <c r="C10" s="4">
        <v>630.85</v>
      </c>
    </row>
    <row r="11" spans="1:6" x14ac:dyDescent="0.35">
      <c r="B11" s="7" t="s">
        <v>13</v>
      </c>
      <c r="C11" s="8">
        <v>4.258E-2</v>
      </c>
    </row>
    <row r="12" spans="1:6" x14ac:dyDescent="0.35">
      <c r="B12" s="4" t="s">
        <v>1</v>
      </c>
      <c r="C12" s="9">
        <v>0.22500000000000001</v>
      </c>
    </row>
    <row r="13" spans="1:6" x14ac:dyDescent="0.35">
      <c r="B13" s="4" t="s">
        <v>2</v>
      </c>
      <c r="C13" s="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6620-92DF-4433-9792-CA3131416386}">
  <dimension ref="A1:U26"/>
  <sheetViews>
    <sheetView workbookViewId="0">
      <selection activeCell="C4" sqref="C4"/>
    </sheetView>
  </sheetViews>
  <sheetFormatPr defaultColWidth="9.1328125" defaultRowHeight="11.65" x14ac:dyDescent="0.35"/>
  <cols>
    <col min="1" max="1" width="2" style="4" customWidth="1"/>
    <col min="2" max="2" width="28" style="4" customWidth="1"/>
    <col min="3" max="12" width="9.796875" style="4" customWidth="1"/>
    <col min="13" max="16384" width="9.1328125" style="4"/>
  </cols>
  <sheetData>
    <row r="1" spans="1:21" ht="15" x14ac:dyDescent="0.35">
      <c r="A1" s="1"/>
      <c r="B1" s="2" t="s">
        <v>247</v>
      </c>
    </row>
    <row r="2" spans="1:21" ht="15" x14ac:dyDescent="0.35">
      <c r="A2" s="1"/>
      <c r="B2" s="2"/>
    </row>
    <row r="3" spans="1:21" x14ac:dyDescent="0.35">
      <c r="C3" s="242" t="s">
        <v>248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1:2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1:21" x14ac:dyDescent="0.35">
      <c r="B5" s="4" t="s">
        <v>66</v>
      </c>
      <c r="C5" s="41">
        <f>('P&amp;L Input'!C5+'P&amp;L Input'!C9)/1000</f>
        <v>0.20300000000000001</v>
      </c>
      <c r="D5" s="41">
        <f>('P&amp;L Input'!D5+'P&amp;L Input'!D9)/1000</f>
        <v>2.19</v>
      </c>
      <c r="E5" s="41">
        <f>('P&amp;L Input'!E5+'P&amp;L Input'!E9)/1000</f>
        <v>3.0619999999999998</v>
      </c>
      <c r="F5" s="41">
        <f>('P&amp;L Input'!F5+'P&amp;L Input'!F9)/1000</f>
        <v>241.72800000000001</v>
      </c>
      <c r="G5" s="41">
        <f>('P&amp;L Input'!G5+'P&amp;L Input'!G9)/1000</f>
        <v>190.34800000000001</v>
      </c>
      <c r="H5" s="41">
        <f>('P&amp;L Input'!H5+'P&amp;L Input'!H9)/1000</f>
        <v>190</v>
      </c>
      <c r="I5" s="41">
        <f>('P&amp;L Input'!I5+'P&amp;L Input'!I9)/1000</f>
        <v>18</v>
      </c>
      <c r="J5" s="23" t="s">
        <v>244</v>
      </c>
      <c r="K5" s="23" t="s">
        <v>244</v>
      </c>
      <c r="L5" s="23" t="s">
        <v>244</v>
      </c>
      <c r="M5" s="23" t="s">
        <v>244</v>
      </c>
      <c r="N5" s="23" t="s">
        <v>244</v>
      </c>
      <c r="O5" s="23" t="s">
        <v>244</v>
      </c>
      <c r="P5" s="23" t="s">
        <v>244</v>
      </c>
      <c r="Q5" s="23" t="s">
        <v>244</v>
      </c>
      <c r="R5" s="23" t="s">
        <v>244</v>
      </c>
      <c r="S5" s="23" t="s">
        <v>244</v>
      </c>
      <c r="T5" s="23" t="s">
        <v>244</v>
      </c>
      <c r="U5" s="23" t="s">
        <v>244</v>
      </c>
    </row>
    <row r="6" spans="1:21" x14ac:dyDescent="0.35">
      <c r="B6" s="4" t="s">
        <v>67</v>
      </c>
      <c r="C6" s="41">
        <f>('P&amp;L Input'!C6+'P&amp;L Input'!C10)/1000</f>
        <v>20.204999999999998</v>
      </c>
      <c r="D6" s="41">
        <f>('P&amp;L Input'!D6+'P&amp;L Input'!D10)/1000</f>
        <v>3.6419999999999999</v>
      </c>
      <c r="E6" s="41">
        <f>('P&amp;L Input'!E6+'P&amp;L Input'!E10)/1000</f>
        <v>-4.49</v>
      </c>
      <c r="F6" s="41">
        <f>('P&amp;L Input'!F6+'P&amp;L Input'!F10)/1000</f>
        <v>-227.83699999999999</v>
      </c>
      <c r="G6" s="41">
        <f>('P&amp;L Input'!G6+'P&amp;L Input'!G10)/1000</f>
        <v>-489.31299999999999</v>
      </c>
      <c r="H6" s="41">
        <f>('P&amp;L Input'!H6+'P&amp;L Input'!H10)/1000</f>
        <v>-544</v>
      </c>
      <c r="I6" s="41">
        <f>('P&amp;L Input'!I6+'P&amp;L Input'!I10)/1000</f>
        <v>-365</v>
      </c>
      <c r="J6" s="23" t="s">
        <v>244</v>
      </c>
      <c r="K6" s="23" t="s">
        <v>244</v>
      </c>
      <c r="L6" s="23" t="s">
        <v>244</v>
      </c>
      <c r="M6" s="23" t="s">
        <v>244</v>
      </c>
      <c r="N6" s="23" t="s">
        <v>244</v>
      </c>
      <c r="O6" s="23" t="s">
        <v>244</v>
      </c>
      <c r="P6" s="23" t="s">
        <v>244</v>
      </c>
      <c r="Q6" s="23" t="s">
        <v>244</v>
      </c>
      <c r="R6" s="23" t="s">
        <v>244</v>
      </c>
      <c r="S6" s="23" t="s">
        <v>244</v>
      </c>
      <c r="T6" s="23" t="s">
        <v>244</v>
      </c>
      <c r="U6" s="23" t="s">
        <v>244</v>
      </c>
    </row>
    <row r="7" spans="1:21" x14ac:dyDescent="0.35">
      <c r="B7" s="18" t="s">
        <v>242</v>
      </c>
      <c r="C7" s="105">
        <f>SUM(C5:C6)</f>
        <v>20.407999999999998</v>
      </c>
      <c r="D7" s="105">
        <f t="shared" ref="D7:I7" si="0">SUM(D5:D6)</f>
        <v>5.8319999999999999</v>
      </c>
      <c r="E7" s="105">
        <f t="shared" si="0"/>
        <v>-1.4280000000000004</v>
      </c>
      <c r="F7" s="105">
        <f t="shared" si="0"/>
        <v>13.89100000000002</v>
      </c>
      <c r="G7" s="105">
        <f t="shared" si="0"/>
        <v>-298.96499999999997</v>
      </c>
      <c r="H7" s="105">
        <f t="shared" si="0"/>
        <v>-354</v>
      </c>
      <c r="I7" s="105">
        <f t="shared" si="0"/>
        <v>-347</v>
      </c>
      <c r="J7" s="106">
        <f>I7*(1+J10)</f>
        <v>-353.94</v>
      </c>
      <c r="K7" s="106">
        <f t="shared" ref="K7:U7" si="1">J7*(1+K10)</f>
        <v>-361.0188</v>
      </c>
      <c r="L7" s="106">
        <f t="shared" si="1"/>
        <v>-368.23917599999999</v>
      </c>
      <c r="M7" s="106">
        <f t="shared" si="1"/>
        <v>-375.60395951999999</v>
      </c>
      <c r="N7" s="106">
        <f t="shared" si="1"/>
        <v>-383.11603871040001</v>
      </c>
      <c r="O7" s="106">
        <f t="shared" si="1"/>
        <v>-390.77835948460802</v>
      </c>
      <c r="P7" s="106">
        <f t="shared" si="1"/>
        <v>-398.59392667430018</v>
      </c>
      <c r="Q7" s="106">
        <f t="shared" si="1"/>
        <v>-406.56580520778618</v>
      </c>
      <c r="R7" s="106">
        <f t="shared" si="1"/>
        <v>-414.69712131194194</v>
      </c>
      <c r="S7" s="106">
        <f t="shared" si="1"/>
        <v>-422.9910637381808</v>
      </c>
      <c r="T7" s="106">
        <f t="shared" si="1"/>
        <v>-431.45088501294441</v>
      </c>
      <c r="U7" s="106">
        <f t="shared" si="1"/>
        <v>-440.0799027132033</v>
      </c>
    </row>
    <row r="9" spans="1:21" x14ac:dyDescent="0.35">
      <c r="B9" s="47" t="s">
        <v>0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 x14ac:dyDescent="0.35">
      <c r="B10" s="48" t="s">
        <v>242</v>
      </c>
      <c r="C10" s="49"/>
      <c r="D10" s="49"/>
      <c r="E10" s="49"/>
      <c r="F10" s="49"/>
      <c r="G10" s="50"/>
      <c r="H10" s="50"/>
      <c r="I10" s="50"/>
      <c r="J10" s="50">
        <f>CHOOSE(Drivers!$C$3,J14,J17,J20)</f>
        <v>0.02</v>
      </c>
      <c r="K10" s="50">
        <f>CHOOSE(Drivers!$C$3,K14,K17,K20)</f>
        <v>0.02</v>
      </c>
      <c r="L10" s="50">
        <f>CHOOSE(Drivers!$C$3,L14,L17,L20)</f>
        <v>0.02</v>
      </c>
      <c r="M10" s="50">
        <f>CHOOSE(Drivers!$C$3,M14,M17,M20)</f>
        <v>0.02</v>
      </c>
      <c r="N10" s="50">
        <f>CHOOSE(Drivers!$C$3,N14,N17,N20)</f>
        <v>0.02</v>
      </c>
      <c r="O10" s="50">
        <f>CHOOSE(Drivers!$C$3,O14,O17,O20)</f>
        <v>0.02</v>
      </c>
      <c r="P10" s="50">
        <f>CHOOSE(Drivers!$C$3,P14,P17,P20)</f>
        <v>0.02</v>
      </c>
      <c r="Q10" s="50">
        <f>CHOOSE(Drivers!$C$3,Q14,Q17,Q20)</f>
        <v>0.02</v>
      </c>
      <c r="R10" s="50">
        <f>CHOOSE(Drivers!$C$3,R14,R17,R20)</f>
        <v>0.02</v>
      </c>
      <c r="S10" s="50">
        <f>CHOOSE(Drivers!$C$3,S14,S17,S20)</f>
        <v>0.02</v>
      </c>
      <c r="T10" s="50">
        <f>CHOOSE(Drivers!$C$3,T14,T17,T20)</f>
        <v>0.02</v>
      </c>
      <c r="U10" s="50">
        <f>CHOOSE(Drivers!$C$3,U14,U17,U20)</f>
        <v>0.02</v>
      </c>
    </row>
    <row r="11" spans="1:21" x14ac:dyDescent="0.35">
      <c r="B11" s="48"/>
      <c r="C11" s="49"/>
      <c r="D11" s="49"/>
      <c r="E11" s="49"/>
      <c r="F11" s="49"/>
      <c r="G11" s="49"/>
      <c r="H11" s="4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 x14ac:dyDescent="0.35">
      <c r="B12" s="107" t="s">
        <v>230</v>
      </c>
      <c r="C12" s="49"/>
      <c r="D12" s="49"/>
      <c r="E12" s="49"/>
      <c r="F12" s="49"/>
      <c r="G12" s="49"/>
      <c r="H12" s="4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 x14ac:dyDescent="0.35">
      <c r="B13" s="47" t="s">
        <v>180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35">
      <c r="B14" s="48" t="s">
        <v>242</v>
      </c>
      <c r="C14" s="49"/>
      <c r="D14" s="39"/>
      <c r="E14" s="39"/>
      <c r="F14" s="39"/>
      <c r="G14" s="39"/>
      <c r="H14" s="39"/>
      <c r="I14" s="39"/>
      <c r="J14" s="39">
        <f t="shared" ref="J14:U14" si="2">J17+2%</f>
        <v>0.02</v>
      </c>
      <c r="K14" s="39">
        <f t="shared" si="2"/>
        <v>0.02</v>
      </c>
      <c r="L14" s="39">
        <f t="shared" si="2"/>
        <v>0.02</v>
      </c>
      <c r="M14" s="39">
        <f t="shared" si="2"/>
        <v>0.02</v>
      </c>
      <c r="N14" s="39">
        <f t="shared" si="2"/>
        <v>0.02</v>
      </c>
      <c r="O14" s="39">
        <f t="shared" si="2"/>
        <v>0.02</v>
      </c>
      <c r="P14" s="39">
        <f t="shared" si="2"/>
        <v>0.02</v>
      </c>
      <c r="Q14" s="39">
        <f t="shared" si="2"/>
        <v>0.02</v>
      </c>
      <c r="R14" s="39">
        <f t="shared" si="2"/>
        <v>0.02</v>
      </c>
      <c r="S14" s="39">
        <f t="shared" si="2"/>
        <v>0.02</v>
      </c>
      <c r="T14" s="39">
        <f t="shared" si="2"/>
        <v>0.02</v>
      </c>
      <c r="U14" s="39">
        <f t="shared" si="2"/>
        <v>0.02</v>
      </c>
    </row>
    <row r="15" spans="1:21" x14ac:dyDescent="0.35">
      <c r="B15" s="48"/>
      <c r="C15" s="49"/>
      <c r="D15" s="49"/>
      <c r="E15" s="49"/>
      <c r="F15" s="49"/>
      <c r="G15" s="49"/>
      <c r="H15" s="4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x14ac:dyDescent="0.35">
      <c r="B16" s="47" t="s">
        <v>181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35">
      <c r="B17" s="48" t="s">
        <v>242</v>
      </c>
      <c r="C17" s="50">
        <f>C7/'Revenue Energy &amp; Other'!C7</f>
        <v>0.10665607492265239</v>
      </c>
      <c r="D17" s="50">
        <f>D7/'Revenue Energy &amp; Other'!D7</f>
        <v>1.9118052004248459E-2</v>
      </c>
      <c r="E17" s="50">
        <f>E7/'Revenue Energy &amp; Other'!E7</f>
        <v>-2.1990680140321489E-3</v>
      </c>
      <c r="F17" s="50">
        <f>F7/'Revenue Energy &amp; Other'!F7</f>
        <v>6.5602462583549837E-3</v>
      </c>
      <c r="G17" s="50">
        <f>G7/'Revenue Energy &amp; Other'!G7</f>
        <v>-0.10147185353759056</v>
      </c>
      <c r="H17" s="50">
        <f>H7/'Revenue Energy &amp; Other'!H7</f>
        <v>-9.4224114985360666E-2</v>
      </c>
      <c r="I17" s="50">
        <f>I7/'Revenue Energy &amp; Other'!I7</f>
        <v>-8.0697674418604648E-2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</row>
    <row r="18" spans="2:21" x14ac:dyDescent="0.35">
      <c r="B18" s="48"/>
      <c r="C18" s="49"/>
      <c r="D18" s="49"/>
      <c r="E18" s="49"/>
      <c r="F18" s="49"/>
      <c r="G18" s="49"/>
      <c r="H18" s="4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2:21" x14ac:dyDescent="0.35">
      <c r="B19" s="47" t="s">
        <v>182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35">
      <c r="B20" s="48" t="s">
        <v>242</v>
      </c>
      <c r="C20" s="49"/>
      <c r="D20" s="39"/>
      <c r="E20" s="39"/>
      <c r="F20" s="39"/>
      <c r="G20" s="39"/>
      <c r="H20" s="39"/>
      <c r="I20" s="39"/>
      <c r="J20" s="39">
        <f t="shared" ref="J20:U20" si="3">J17-2%</f>
        <v>-0.02</v>
      </c>
      <c r="K20" s="39">
        <f t="shared" si="3"/>
        <v>-0.02</v>
      </c>
      <c r="L20" s="39">
        <f t="shared" si="3"/>
        <v>-0.02</v>
      </c>
      <c r="M20" s="39">
        <f t="shared" si="3"/>
        <v>-0.02</v>
      </c>
      <c r="N20" s="39">
        <f t="shared" si="3"/>
        <v>-0.02</v>
      </c>
      <c r="O20" s="39">
        <f t="shared" si="3"/>
        <v>-0.02</v>
      </c>
      <c r="P20" s="39">
        <f t="shared" si="3"/>
        <v>-0.02</v>
      </c>
      <c r="Q20" s="39">
        <f t="shared" si="3"/>
        <v>-0.02</v>
      </c>
      <c r="R20" s="39">
        <f t="shared" si="3"/>
        <v>-0.02</v>
      </c>
      <c r="S20" s="39">
        <f t="shared" si="3"/>
        <v>-0.02</v>
      </c>
      <c r="T20" s="39">
        <f t="shared" si="3"/>
        <v>-0.02</v>
      </c>
      <c r="U20" s="39">
        <f t="shared" si="3"/>
        <v>-0.02</v>
      </c>
    </row>
    <row r="25" spans="2:21" x14ac:dyDescent="0.35">
      <c r="B25" s="54" t="s">
        <v>245</v>
      </c>
    </row>
    <row r="26" spans="2:21" x14ac:dyDescent="0.35">
      <c r="B26" s="4" t="s">
        <v>246</v>
      </c>
    </row>
  </sheetData>
  <mergeCells count="1">
    <mergeCell ref="C3:Q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D002-F72F-4635-86A6-6869DBB91C58}">
  <dimension ref="A1:U7"/>
  <sheetViews>
    <sheetView workbookViewId="0">
      <selection activeCell="J7" sqref="J7"/>
    </sheetView>
  </sheetViews>
  <sheetFormatPr defaultColWidth="9.1328125" defaultRowHeight="11.65" x14ac:dyDescent="0.35"/>
  <cols>
    <col min="1" max="1" width="2" style="4" customWidth="1"/>
    <col min="2" max="2" width="28" style="4" customWidth="1"/>
    <col min="3" max="12" width="9.796875" style="4" customWidth="1"/>
    <col min="13" max="16384" width="9.1328125" style="4"/>
  </cols>
  <sheetData>
    <row r="1" spans="1:21" ht="15" x14ac:dyDescent="0.35">
      <c r="A1" s="1"/>
      <c r="B1" s="2" t="s">
        <v>250</v>
      </c>
    </row>
    <row r="2" spans="1:21" ht="15" x14ac:dyDescent="0.35">
      <c r="A2" s="1"/>
      <c r="B2" s="2"/>
    </row>
    <row r="3" spans="1:21" x14ac:dyDescent="0.35">
      <c r="C3" s="242" t="s">
        <v>249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1:2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1:21" x14ac:dyDescent="0.35">
      <c r="B5" s="4" t="s">
        <v>66</v>
      </c>
      <c r="C5" s="41">
        <f>-('Revenue Energy &amp; Other'!C5-'GP Energy &amp; Other'!C5)</f>
        <v>-4.0049999999999999</v>
      </c>
      <c r="D5" s="41">
        <f>-('Revenue Energy &amp; Other'!D5-'GP Energy &amp; Other'!D5)</f>
        <v>-12.287000000000001</v>
      </c>
      <c r="E5" s="41">
        <f>-('Revenue Energy &amp; Other'!E5-'GP Energy &amp; Other'!E5)</f>
        <v>-178.33199999999999</v>
      </c>
      <c r="F5" s="41">
        <f>-('Revenue Energy &amp; Other'!F5-'GP Energy &amp; Other'!F5)</f>
        <v>-874.53800000000001</v>
      </c>
      <c r="G5" s="41">
        <f>-('Revenue Energy &amp; Other'!G5-'GP Energy &amp; Other'!G5)</f>
        <v>-1364.896</v>
      </c>
      <c r="H5" s="41">
        <f>-('Revenue Energy &amp; Other'!H5-'GP Energy &amp; Other'!H5)</f>
        <v>-1341</v>
      </c>
      <c r="I5" s="41">
        <f>-('Revenue Energy &amp; Other'!I5-'GP Energy &amp; Other'!I5)</f>
        <v>-1976</v>
      </c>
      <c r="J5" s="23" t="s">
        <v>244</v>
      </c>
      <c r="K5" s="23" t="s">
        <v>244</v>
      </c>
      <c r="L5" s="23" t="s">
        <v>244</v>
      </c>
      <c r="M5" s="23" t="s">
        <v>244</v>
      </c>
      <c r="N5" s="23" t="s">
        <v>244</v>
      </c>
      <c r="O5" s="23" t="s">
        <v>244</v>
      </c>
      <c r="P5" s="23" t="s">
        <v>244</v>
      </c>
      <c r="Q5" s="23" t="s">
        <v>244</v>
      </c>
      <c r="R5" s="23" t="s">
        <v>244</v>
      </c>
      <c r="S5" s="23" t="s">
        <v>244</v>
      </c>
      <c r="T5" s="23" t="s">
        <v>244</v>
      </c>
      <c r="U5" s="23" t="s">
        <v>244</v>
      </c>
    </row>
    <row r="6" spans="1:21" x14ac:dyDescent="0.35">
      <c r="B6" s="4" t="s">
        <v>67</v>
      </c>
      <c r="C6" s="41">
        <f>-('Revenue Energy &amp; Other'!C6-'GP Energy &amp; Other'!C6)</f>
        <v>-166.93099999999998</v>
      </c>
      <c r="D6" s="41">
        <f>-('Revenue Energy &amp; Other'!D6-'GP Energy &amp; Other'!D6)</f>
        <v>-286.93299999999999</v>
      </c>
      <c r="E6" s="41">
        <f>-('Revenue Energy &amp; Other'!E6-'GP Energy &amp; Other'!E6)</f>
        <v>-472.46199999999999</v>
      </c>
      <c r="F6" s="41">
        <f>-('Revenue Energy &amp; Other'!F6-'GP Energy &amp; Other'!F6)</f>
        <v>-1229.0219999999999</v>
      </c>
      <c r="G6" s="41">
        <f>-('Revenue Energy &amp; Other'!G6-'GP Energy &amp; Other'!G6)</f>
        <v>-1880.3539999999998</v>
      </c>
      <c r="H6" s="41">
        <f>-('Revenue Energy &amp; Other'!H6-'GP Energy &amp; Other'!H6)</f>
        <v>-2770</v>
      </c>
      <c r="I6" s="41">
        <f>-('Revenue Energy &amp; Other'!I6-'GP Energy &amp; Other'!I6)</f>
        <v>-2671</v>
      </c>
      <c r="J6" s="23" t="s">
        <v>244</v>
      </c>
      <c r="K6" s="23" t="s">
        <v>244</v>
      </c>
      <c r="L6" s="23" t="s">
        <v>244</v>
      </c>
      <c r="M6" s="23" t="s">
        <v>244</v>
      </c>
      <c r="N6" s="23" t="s">
        <v>244</v>
      </c>
      <c r="O6" s="23" t="s">
        <v>244</v>
      </c>
      <c r="P6" s="23" t="s">
        <v>244</v>
      </c>
      <c r="Q6" s="23" t="s">
        <v>244</v>
      </c>
      <c r="R6" s="23" t="s">
        <v>244</v>
      </c>
      <c r="S6" s="23" t="s">
        <v>244</v>
      </c>
      <c r="T6" s="23" t="s">
        <v>244</v>
      </c>
      <c r="U6" s="23" t="s">
        <v>244</v>
      </c>
    </row>
    <row r="7" spans="1:21" x14ac:dyDescent="0.35">
      <c r="B7" s="18" t="s">
        <v>242</v>
      </c>
      <c r="C7" s="105">
        <f>SUM(C5:C6)</f>
        <v>-170.93599999999998</v>
      </c>
      <c r="D7" s="105">
        <f t="shared" ref="D7:I7" si="0">SUM(D5:D6)</f>
        <v>-299.21999999999997</v>
      </c>
      <c r="E7" s="105">
        <f t="shared" si="0"/>
        <v>-650.79399999999998</v>
      </c>
      <c r="F7" s="105">
        <f t="shared" si="0"/>
        <v>-2103.56</v>
      </c>
      <c r="G7" s="105">
        <f t="shared" si="0"/>
        <v>-3245.25</v>
      </c>
      <c r="H7" s="105">
        <f t="shared" si="0"/>
        <v>-4111</v>
      </c>
      <c r="I7" s="105">
        <f t="shared" si="0"/>
        <v>-4647</v>
      </c>
      <c r="J7" s="106">
        <f>-('Revenue Energy &amp; Other'!J7-'GP Energy &amp; Other'!J7)</f>
        <v>-5427.94</v>
      </c>
      <c r="K7" s="106">
        <f>-('Revenue Energy &amp; Other'!K7-'GP Energy &amp; Other'!K7)</f>
        <v>-6246.8587999999991</v>
      </c>
      <c r="L7" s="106">
        <f>-('Revenue Energy &amp; Other'!L7-'GP Energy &amp; Other'!L7)</f>
        <v>-7078.0967759999985</v>
      </c>
      <c r="M7" s="106">
        <f>-('Revenue Energy &amp; Other'!M7-'GP Energy &amp; Other'!M7)</f>
        <v>-7756.4473195199989</v>
      </c>
      <c r="N7" s="106">
        <f>-('Revenue Energy &amp; Other'!N7-'GP Energy &amp; Other'!N7)</f>
        <v>-8354.4268675103995</v>
      </c>
      <c r="O7" s="106">
        <f>-('Revenue Energy &amp; Other'!O7-'GP Energy &amp; Other'!O7)</f>
        <v>-8999.7940545886086</v>
      </c>
      <c r="P7" s="106">
        <f>-('Revenue Energy &amp; Other'!P7-'GP Energy &amp; Other'!P7)</f>
        <v>-9696.3308773866229</v>
      </c>
      <c r="Q7" s="106">
        <f>-('Revenue Energy &amp; Other'!Q7-'GP Energy &amp; Other'!Q7)</f>
        <v>-10448.121711977095</v>
      </c>
      <c r="R7" s="106">
        <f>-('Revenue Energy &amp; Other'!R7-'GP Energy &amp; Other'!R7)</f>
        <v>-11259.577500622796</v>
      </c>
      <c r="S7" s="106">
        <f>-('Revenue Energy &amp; Other'!S7-'GP Energy &amp; Other'!S7)</f>
        <v>-12135.461873393904</v>
      </c>
      <c r="T7" s="106">
        <f>-('Revenue Energy &amp; Other'!T7-'GP Energy &amp; Other'!T7)</f>
        <v>-13080.919359441126</v>
      </c>
      <c r="U7" s="106">
        <f>-('Revenue Energy &amp; Other'!U7-'GP Energy &amp; Other'!U7)</f>
        <v>-14101.505855095642</v>
      </c>
    </row>
  </sheetData>
  <mergeCells count="1">
    <mergeCell ref="C3:Q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7D3F-9A6D-4285-831A-97231D23CEF5}">
  <sheetPr>
    <tabColor theme="5"/>
  </sheetPr>
  <dimension ref="B14"/>
  <sheetViews>
    <sheetView workbookViewId="0">
      <selection activeCell="B15" sqref="B15"/>
    </sheetView>
  </sheetViews>
  <sheetFormatPr defaultRowHeight="12.75" x14ac:dyDescent="0.35"/>
  <cols>
    <col min="1" max="1" width="1.86328125" style="1" customWidth="1"/>
    <col min="2" max="16384" width="9.06640625" style="1"/>
  </cols>
  <sheetData>
    <row r="14" spans="2:2" ht="50.25" x14ac:dyDescent="0.35">
      <c r="B14" s="40" t="s">
        <v>232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39BB-F073-4F8D-A5DE-29A7821A70F7}">
  <dimension ref="A1:F18"/>
  <sheetViews>
    <sheetView workbookViewId="0">
      <selection activeCell="C16" sqref="C16"/>
    </sheetView>
  </sheetViews>
  <sheetFormatPr defaultColWidth="9.1328125" defaultRowHeight="11.65" x14ac:dyDescent="0.35"/>
  <cols>
    <col min="1" max="1" width="2" style="4" customWidth="1"/>
    <col min="2" max="2" width="17.796875" style="4" customWidth="1"/>
    <col min="3" max="3" width="33.33203125" style="4" customWidth="1"/>
    <col min="4" max="4" width="11.6640625" style="4" customWidth="1"/>
    <col min="5" max="6" width="9.1328125" style="4"/>
    <col min="7" max="7" width="2" style="4" customWidth="1"/>
    <col min="8" max="16384" width="9.1328125" style="4"/>
  </cols>
  <sheetData>
    <row r="1" spans="1:6" ht="15" x14ac:dyDescent="0.35">
      <c r="A1" s="1"/>
      <c r="B1" s="2" t="s">
        <v>251</v>
      </c>
    </row>
    <row r="2" spans="1:6" ht="15" x14ac:dyDescent="0.35">
      <c r="A2" s="1"/>
      <c r="B2" s="2"/>
    </row>
    <row r="3" spans="1:6" ht="12.75" x14ac:dyDescent="0.35">
      <c r="A3" s="1"/>
      <c r="B3" s="95" t="s">
        <v>252</v>
      </c>
    </row>
    <row r="5" spans="1:6" x14ac:dyDescent="0.35">
      <c r="F5" s="4" t="s">
        <v>158</v>
      </c>
    </row>
    <row r="6" spans="1:6" x14ac:dyDescent="0.35">
      <c r="B6" s="44" t="s">
        <v>9</v>
      </c>
      <c r="C6" s="15" t="s">
        <v>159</v>
      </c>
      <c r="D6" s="15" t="s">
        <v>160</v>
      </c>
    </row>
    <row r="7" spans="1:6" x14ac:dyDescent="0.35">
      <c r="B7" s="4" t="s">
        <v>161</v>
      </c>
      <c r="C7" s="108">
        <f>(9575+11128)/145588</f>
        <v>0.14220265406489546</v>
      </c>
      <c r="D7" s="13">
        <f t="shared" ref="D7:D11" si="0">C7</f>
        <v>0.14220265406489546</v>
      </c>
    </row>
    <row r="8" spans="1:6" x14ac:dyDescent="0.35">
      <c r="B8" s="4" t="s">
        <v>162</v>
      </c>
      <c r="C8" s="13">
        <f>(11842+6878)/144077</f>
        <v>0.12993052326186691</v>
      </c>
      <c r="D8" s="13">
        <f t="shared" si="0"/>
        <v>0.12993052326186691</v>
      </c>
    </row>
    <row r="9" spans="1:6" x14ac:dyDescent="0.35">
      <c r="B9" s="4" t="s">
        <v>163</v>
      </c>
      <c r="C9" s="13">
        <f>(3230+7385)/110934</f>
        <v>9.5687525916310592E-2</v>
      </c>
      <c r="D9" s="13">
        <f t="shared" si="0"/>
        <v>9.5687525916310592E-2</v>
      </c>
    </row>
    <row r="10" spans="1:6" x14ac:dyDescent="0.35">
      <c r="B10" s="4" t="s">
        <v>164</v>
      </c>
      <c r="C10" s="13">
        <f>(9560+1214-720)/98678</f>
        <v>0.10188694541843167</v>
      </c>
      <c r="D10" s="13">
        <f t="shared" si="0"/>
        <v>0.10188694541843167</v>
      </c>
    </row>
    <row r="11" spans="1:6" x14ac:dyDescent="0.35">
      <c r="B11" s="4" t="s">
        <v>165</v>
      </c>
      <c r="C11" s="13">
        <f>(12259+8254+22710-14500)/230682</f>
        <v>0.1245133993983059</v>
      </c>
      <c r="D11" s="13">
        <f t="shared" si="0"/>
        <v>0.1245133993983059</v>
      </c>
    </row>
    <row r="12" spans="1:6" x14ac:dyDescent="0.35">
      <c r="B12" s="64" t="s">
        <v>166</v>
      </c>
      <c r="C12" s="109">
        <f>(-379+5376+2490)/24339</f>
        <v>0.30761329553391675</v>
      </c>
      <c r="D12" s="109"/>
    </row>
    <row r="13" spans="1:6" x14ac:dyDescent="0.35">
      <c r="B13" s="4" t="s">
        <v>167</v>
      </c>
      <c r="C13" s="13">
        <f>(917-1366+1041+1883)/23491</f>
        <v>0.10535949938274233</v>
      </c>
      <c r="D13" s="13">
        <f>C13</f>
        <v>0.10535949938274233</v>
      </c>
    </row>
    <row r="14" spans="1:6" x14ac:dyDescent="0.35">
      <c r="B14" s="64" t="s">
        <v>168</v>
      </c>
      <c r="C14" s="109">
        <f>(329065+657119)/3416890</f>
        <v>0.28862035359639904</v>
      </c>
      <c r="D14" s="109"/>
    </row>
    <row r="15" spans="1:6" x14ac:dyDescent="0.35">
      <c r="B15" s="4" t="s">
        <v>169</v>
      </c>
      <c r="C15" s="13">
        <f>(6587+9934+1794)/119713</f>
        <v>0.15299090324359091</v>
      </c>
      <c r="D15" s="13">
        <f>C15</f>
        <v>0.15299090324359091</v>
      </c>
    </row>
    <row r="16" spans="1:6" x14ac:dyDescent="0.35">
      <c r="B16" s="4" t="s">
        <v>170</v>
      </c>
      <c r="C16" s="13">
        <f>(364+770+1626-655)/14342</f>
        <v>0.14677171942546369</v>
      </c>
      <c r="D16" s="13">
        <f>C16</f>
        <v>0.14677171942546369</v>
      </c>
    </row>
    <row r="17" spans="2:4" x14ac:dyDescent="0.35">
      <c r="B17" s="64" t="s">
        <v>171</v>
      </c>
      <c r="C17" s="109">
        <f>(264.7+449.5)/18187.5</f>
        <v>3.9268728522336774E-2</v>
      </c>
      <c r="D17" s="109"/>
    </row>
    <row r="18" spans="2:4" x14ac:dyDescent="0.35">
      <c r="B18" s="18" t="s">
        <v>159</v>
      </c>
      <c r="C18" s="110">
        <f>AVERAGE(C7:C17)</f>
        <v>0.14862232252402363</v>
      </c>
      <c r="D18" s="110">
        <f>AVERAGE(D7:D17)</f>
        <v>0.12491789626395092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189A-FA66-480E-B228-F620ED5DCB69}">
  <dimension ref="A1:U20"/>
  <sheetViews>
    <sheetView workbookViewId="0">
      <selection activeCell="C4" sqref="C4:U4"/>
    </sheetView>
  </sheetViews>
  <sheetFormatPr defaultColWidth="9.1328125" defaultRowHeight="11.65" x14ac:dyDescent="0.35"/>
  <cols>
    <col min="1" max="1" width="2" style="4" customWidth="1"/>
    <col min="2" max="2" width="25.6640625" style="4" bestFit="1" customWidth="1"/>
    <col min="3" max="12" width="9.796875" style="4" customWidth="1"/>
    <col min="13" max="13" width="10.46484375" style="4" bestFit="1" customWidth="1"/>
    <col min="14" max="16384" width="9.1328125" style="4"/>
  </cols>
  <sheetData>
    <row r="1" spans="1:21" ht="15" x14ac:dyDescent="0.35">
      <c r="A1" s="1"/>
      <c r="B1" s="2" t="s">
        <v>253</v>
      </c>
    </row>
    <row r="3" spans="1:21" x14ac:dyDescent="0.35">
      <c r="C3" s="242" t="s">
        <v>254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101" t="s">
        <v>120</v>
      </c>
      <c r="K4" s="101" t="s">
        <v>121</v>
      </c>
      <c r="L4" s="101" t="s">
        <v>122</v>
      </c>
      <c r="M4" s="101" t="s">
        <v>123</v>
      </c>
      <c r="N4" s="101" t="s">
        <v>124</v>
      </c>
      <c r="O4" s="101" t="s">
        <v>125</v>
      </c>
      <c r="P4" s="101" t="s">
        <v>126</v>
      </c>
      <c r="Q4" s="101" t="s">
        <v>127</v>
      </c>
      <c r="R4" s="101" t="s">
        <v>140</v>
      </c>
      <c r="S4" s="101" t="s">
        <v>141</v>
      </c>
      <c r="T4" s="101" t="s">
        <v>142</v>
      </c>
      <c r="U4" s="101" t="s">
        <v>143</v>
      </c>
    </row>
    <row r="5" spans="1:21" x14ac:dyDescent="0.35">
      <c r="B5" s="4" t="s">
        <v>255</v>
      </c>
      <c r="C5" s="63">
        <f>'Revenue Energy &amp; Other'!C7+'Revenue Automotive'!C11</f>
        <v>3198.3560000000002</v>
      </c>
      <c r="D5" s="63">
        <f>'Revenue Energy &amp; Other'!D7+'Revenue Automotive'!D11</f>
        <v>4046.0250000000001</v>
      </c>
      <c r="E5" s="63">
        <f>'Revenue Energy &amp; Other'!E7+'Revenue Automotive'!E11</f>
        <v>7000.1319999999996</v>
      </c>
      <c r="F5" s="63">
        <f>'Revenue Energy &amp; Other'!F7+'Revenue Automotive'!F11</f>
        <v>11758.751</v>
      </c>
      <c r="G5" s="63">
        <f>'Revenue Energy &amp; Other'!G7+'Revenue Automotive'!G11</f>
        <v>21461.268</v>
      </c>
      <c r="H5" s="63">
        <f>'Revenue Energy &amp; Other'!H7+'Revenue Automotive'!H11</f>
        <v>24578</v>
      </c>
      <c r="I5" s="63">
        <f>'Revenue Energy &amp; Other'!I7+'Revenue Automotive'!I11</f>
        <v>31536</v>
      </c>
      <c r="J5" s="119">
        <f>'Revenue Energy &amp; Other'!J7+'Revenue Automotive'!J11</f>
        <v>45352.231410603497</v>
      </c>
      <c r="K5" s="119">
        <f>'Revenue Energy &amp; Other'!K7+'Revenue Automotive'!K11</f>
        <v>55194.071384654839</v>
      </c>
      <c r="L5" s="119">
        <f>'Revenue Energy &amp; Other'!L7+'Revenue Automotive'!L11</f>
        <v>77543.432292548707</v>
      </c>
      <c r="M5" s="119">
        <f>'Revenue Energy &amp; Other'!M7+'Revenue Automotive'!M11</f>
        <v>97050.71484322616</v>
      </c>
      <c r="N5" s="119">
        <f>'Revenue Energy &amp; Other'!N7+'Revenue Automotive'!N11</f>
        <v>115615.32187671566</v>
      </c>
      <c r="O5" s="119">
        <f>'Revenue Energy &amp; Other'!O7+'Revenue Automotive'!O11</f>
        <v>131452.21307842439</v>
      </c>
      <c r="P5" s="119">
        <f>'Revenue Energy &amp; Other'!P7+'Revenue Automotive'!P11</f>
        <v>142939.40689180262</v>
      </c>
      <c r="Q5" s="119">
        <f>'Revenue Energy &amp; Other'!Q7+'Revenue Automotive'!Q11</f>
        <v>153802.5250699372</v>
      </c>
      <c r="R5" s="119">
        <f>'Revenue Energy &amp; Other'!R7+'Revenue Automotive'!R11</f>
        <v>162530.81199071929</v>
      </c>
      <c r="S5" s="119">
        <f>'Revenue Energy &amp; Other'!S7+'Revenue Automotive'!S11</f>
        <v>170521.45321480552</v>
      </c>
      <c r="T5" s="119">
        <f>'Revenue Energy &amp; Other'!T7+'Revenue Automotive'!T11</f>
        <v>176222.72035173248</v>
      </c>
      <c r="U5" s="119">
        <f>'Revenue Energy &amp; Other'!U7+'Revenue Automotive'!U11</f>
        <v>182141.87538600588</v>
      </c>
    </row>
    <row r="6" spans="1:21" x14ac:dyDescent="0.35">
      <c r="B6" s="4" t="s">
        <v>256</v>
      </c>
      <c r="C6" s="96">
        <f>C7/C5</f>
        <v>-0.33403411002402478</v>
      </c>
      <c r="D6" s="96">
        <f t="shared" ref="D6:I6" si="0">D7/D5</f>
        <v>-0.40536872609536523</v>
      </c>
      <c r="E6" s="96">
        <f t="shared" si="0"/>
        <v>-0.32379346560893429</v>
      </c>
      <c r="F6" s="96">
        <f t="shared" si="0"/>
        <v>-0.32780462822964784</v>
      </c>
      <c r="G6" s="96">
        <f t="shared" si="0"/>
        <v>-0.20642275190822834</v>
      </c>
      <c r="H6" s="96">
        <f t="shared" si="0"/>
        <v>-0.16836194971112378</v>
      </c>
      <c r="I6" s="96">
        <f t="shared" si="0"/>
        <v>-0.14700659563673263</v>
      </c>
      <c r="J6" s="118">
        <f>J17</f>
        <v>-0.14000000000000001</v>
      </c>
      <c r="K6" s="118">
        <f t="shared" ref="K6:U6" si="1">K17</f>
        <v>-0.14000000000000001</v>
      </c>
      <c r="L6" s="118">
        <f t="shared" si="1"/>
        <v>-0.14000000000000001</v>
      </c>
      <c r="M6" s="118">
        <f t="shared" si="1"/>
        <v>-0.14000000000000001</v>
      </c>
      <c r="N6" s="118">
        <f t="shared" si="1"/>
        <v>-0.14000000000000001</v>
      </c>
      <c r="O6" s="118">
        <f t="shared" si="1"/>
        <v>-0.14000000000000001</v>
      </c>
      <c r="P6" s="118">
        <f t="shared" si="1"/>
        <v>-0.14000000000000001</v>
      </c>
      <c r="Q6" s="118">
        <f t="shared" si="1"/>
        <v>-0.14000000000000001</v>
      </c>
      <c r="R6" s="118">
        <f t="shared" si="1"/>
        <v>-0.14000000000000001</v>
      </c>
      <c r="S6" s="118">
        <f t="shared" si="1"/>
        <v>-0.14000000000000001</v>
      </c>
      <c r="T6" s="118">
        <f t="shared" si="1"/>
        <v>-0.14000000000000001</v>
      </c>
      <c r="U6" s="118">
        <f t="shared" si="1"/>
        <v>-0.14000000000000001</v>
      </c>
    </row>
    <row r="7" spans="1:21" x14ac:dyDescent="0.35">
      <c r="B7" s="105" t="s">
        <v>253</v>
      </c>
      <c r="C7" s="105">
        <f>SUM('P&amp;L Input'!C12:C14)/1000</f>
        <v>-1068.3599999999999</v>
      </c>
      <c r="D7" s="105">
        <f>SUM('P&amp;L Input'!D12:D14)/1000</f>
        <v>-1640.1320000000001</v>
      </c>
      <c r="E7" s="105">
        <f>SUM('P&amp;L Input'!E12:E14)/1000</f>
        <v>-2266.5970000000002</v>
      </c>
      <c r="F7" s="105">
        <f>SUM('P&amp;L Input'!F12:F14)/1000</f>
        <v>-3854.5729999999999</v>
      </c>
      <c r="G7" s="105">
        <f>SUM('P&amp;L Input'!G12:G14)/1000</f>
        <v>-4430.0940000000001</v>
      </c>
      <c r="H7" s="105">
        <f>SUM('P&amp;L Input'!H12:H14)/1000</f>
        <v>-4138</v>
      </c>
      <c r="I7" s="105">
        <f>SUM('P&amp;L Input'!I12:I14)/1000</f>
        <v>-4636</v>
      </c>
      <c r="J7" s="34">
        <f>J5*J6</f>
        <v>-6349.3123974844902</v>
      </c>
      <c r="K7" s="34">
        <f t="shared" ref="K7:U7" si="2">K5*K6</f>
        <v>-7727.1699938516786</v>
      </c>
      <c r="L7" s="34">
        <f t="shared" si="2"/>
        <v>-10856.080520956821</v>
      </c>
      <c r="M7" s="34">
        <f t="shared" si="2"/>
        <v>-13587.100078051664</v>
      </c>
      <c r="N7" s="34">
        <f t="shared" si="2"/>
        <v>-16186.145062740195</v>
      </c>
      <c r="O7" s="34">
        <f t="shared" si="2"/>
        <v>-18403.309830979415</v>
      </c>
      <c r="P7" s="34">
        <f t="shared" si="2"/>
        <v>-20011.51696485237</v>
      </c>
      <c r="Q7" s="34">
        <f t="shared" si="2"/>
        <v>-21532.35350979121</v>
      </c>
      <c r="R7" s="34">
        <f t="shared" si="2"/>
        <v>-22754.313678700702</v>
      </c>
      <c r="S7" s="34">
        <f t="shared" si="2"/>
        <v>-23873.003450072774</v>
      </c>
      <c r="T7" s="34">
        <f t="shared" si="2"/>
        <v>-24671.180849242548</v>
      </c>
      <c r="U7" s="34">
        <f t="shared" si="2"/>
        <v>-25499.862554040825</v>
      </c>
    </row>
    <row r="8" spans="1:21" x14ac:dyDescent="0.35"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</row>
    <row r="9" spans="1:21" x14ac:dyDescent="0.35">
      <c r="B9" s="47" t="s">
        <v>0</v>
      </c>
      <c r="C9" s="112"/>
      <c r="D9" s="112"/>
      <c r="E9" s="112"/>
      <c r="F9" s="112"/>
      <c r="G9" s="112"/>
      <c r="H9" s="112"/>
      <c r="I9" s="112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 x14ac:dyDescent="0.35">
      <c r="B10" s="48" t="s">
        <v>257</v>
      </c>
      <c r="C10" s="113"/>
      <c r="D10" s="113"/>
      <c r="E10" s="113"/>
      <c r="F10" s="113"/>
      <c r="G10" s="114"/>
      <c r="H10" s="114"/>
      <c r="I10" s="114"/>
      <c r="J10" s="50">
        <f>CHOOSE(Drivers!$C$3,J14,J17,J20)</f>
        <v>-0.12000000000000001</v>
      </c>
      <c r="K10" s="50">
        <f>CHOOSE(Drivers!$C$3,K14,K17,K20)</f>
        <v>-0.12000000000000001</v>
      </c>
      <c r="L10" s="50">
        <f>CHOOSE(Drivers!$C$3,L14,L17,L20)</f>
        <v>-0.12000000000000001</v>
      </c>
      <c r="M10" s="50">
        <f>CHOOSE(Drivers!$C$3,M14,M17,M20)</f>
        <v>-0.12000000000000001</v>
      </c>
      <c r="N10" s="50">
        <f>CHOOSE(Drivers!$C$3,N14,N17,N20)</f>
        <v>-0.12000000000000001</v>
      </c>
      <c r="O10" s="50">
        <f>CHOOSE(Drivers!$C$3,O14,O17,O20)</f>
        <v>-0.12000000000000001</v>
      </c>
      <c r="P10" s="50">
        <f>CHOOSE(Drivers!$C$3,P14,P17,P20)</f>
        <v>-0.12000000000000001</v>
      </c>
      <c r="Q10" s="50">
        <f>CHOOSE(Drivers!$C$3,Q14,Q17,Q20)</f>
        <v>-0.12000000000000001</v>
      </c>
      <c r="R10" s="50">
        <f>CHOOSE(Drivers!$C$3,R14,R17,R20)</f>
        <v>-0.12000000000000001</v>
      </c>
      <c r="S10" s="50">
        <f>CHOOSE(Drivers!$C$3,S14,S17,S20)</f>
        <v>-0.12000000000000001</v>
      </c>
      <c r="T10" s="50">
        <f>CHOOSE(Drivers!$C$3,T14,T17,T20)</f>
        <v>-0.12000000000000001</v>
      </c>
      <c r="U10" s="50">
        <f>CHOOSE(Drivers!$C$3,U14,U17,U20)</f>
        <v>-0.12000000000000001</v>
      </c>
    </row>
    <row r="11" spans="1:21" x14ac:dyDescent="0.35">
      <c r="B11" s="48"/>
      <c r="C11" s="115"/>
      <c r="D11" s="115"/>
      <c r="E11" s="115"/>
      <c r="F11" s="115"/>
      <c r="G11" s="115"/>
      <c r="H11" s="115"/>
      <c r="I11" s="116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 x14ac:dyDescent="0.35">
      <c r="B12" s="107" t="s">
        <v>258</v>
      </c>
      <c r="C12" s="115"/>
      <c r="D12" s="115"/>
      <c r="E12" s="115"/>
      <c r="F12" s="115"/>
      <c r="G12" s="115"/>
      <c r="H12" s="115"/>
      <c r="I12" s="116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 x14ac:dyDescent="0.35">
      <c r="B13" s="47" t="s">
        <v>180</v>
      </c>
      <c r="C13" s="112"/>
      <c r="D13" s="112"/>
      <c r="E13" s="112"/>
      <c r="F13" s="112"/>
      <c r="G13" s="116"/>
      <c r="H13" s="116"/>
      <c r="I13" s="116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</row>
    <row r="14" spans="1:21" x14ac:dyDescent="0.35">
      <c r="B14" s="48" t="s">
        <v>257</v>
      </c>
      <c r="C14" s="115"/>
      <c r="D14" s="117"/>
      <c r="E14" s="117"/>
      <c r="F14" s="117"/>
      <c r="G14" s="117"/>
      <c r="H14" s="114"/>
      <c r="I14" s="114"/>
      <c r="J14" s="50">
        <f t="shared" ref="J14:P14" si="3">J17+2%</f>
        <v>-0.12000000000000001</v>
      </c>
      <c r="K14" s="50">
        <f t="shared" si="3"/>
        <v>-0.12000000000000001</v>
      </c>
      <c r="L14" s="50">
        <f t="shared" si="3"/>
        <v>-0.12000000000000001</v>
      </c>
      <c r="M14" s="50">
        <f t="shared" si="3"/>
        <v>-0.12000000000000001</v>
      </c>
      <c r="N14" s="50">
        <f t="shared" si="3"/>
        <v>-0.12000000000000001</v>
      </c>
      <c r="O14" s="50">
        <f t="shared" si="3"/>
        <v>-0.12000000000000001</v>
      </c>
      <c r="P14" s="50">
        <f t="shared" si="3"/>
        <v>-0.12000000000000001</v>
      </c>
      <c r="Q14" s="50">
        <f t="shared" ref="Q14:U14" si="4">Q17+2%</f>
        <v>-0.12000000000000001</v>
      </c>
      <c r="R14" s="50">
        <f t="shared" si="4"/>
        <v>-0.12000000000000001</v>
      </c>
      <c r="S14" s="50">
        <f t="shared" si="4"/>
        <v>-0.12000000000000001</v>
      </c>
      <c r="T14" s="50">
        <f t="shared" si="4"/>
        <v>-0.12000000000000001</v>
      </c>
      <c r="U14" s="50">
        <f t="shared" si="4"/>
        <v>-0.12000000000000001</v>
      </c>
    </row>
    <row r="15" spans="1:21" x14ac:dyDescent="0.35">
      <c r="B15" s="48"/>
      <c r="C15" s="115"/>
      <c r="D15" s="115"/>
      <c r="E15" s="115"/>
      <c r="F15" s="115"/>
      <c r="G15" s="115"/>
      <c r="H15" s="115"/>
      <c r="I15" s="116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x14ac:dyDescent="0.35">
      <c r="B16" s="47" t="s">
        <v>181</v>
      </c>
      <c r="C16" s="112"/>
      <c r="D16" s="112"/>
      <c r="E16" s="112"/>
      <c r="F16" s="112"/>
      <c r="G16" s="116"/>
      <c r="H16" s="116"/>
      <c r="I16" s="116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2:21" x14ac:dyDescent="0.35">
      <c r="B17" s="48" t="s">
        <v>257</v>
      </c>
      <c r="C17" s="115"/>
      <c r="D17" s="117"/>
      <c r="E17" s="117"/>
      <c r="F17" s="117"/>
      <c r="G17" s="117"/>
      <c r="H17" s="114"/>
      <c r="I17" s="114"/>
      <c r="J17" s="50">
        <v>-0.14000000000000001</v>
      </c>
      <c r="K17" s="50">
        <v>-0.14000000000000001</v>
      </c>
      <c r="L17" s="50">
        <v>-0.14000000000000001</v>
      </c>
      <c r="M17" s="50">
        <v>-0.14000000000000001</v>
      </c>
      <c r="N17" s="50">
        <v>-0.14000000000000001</v>
      </c>
      <c r="O17" s="50">
        <v>-0.14000000000000001</v>
      </c>
      <c r="P17" s="50">
        <v>-0.14000000000000001</v>
      </c>
      <c r="Q17" s="50">
        <v>-0.14000000000000001</v>
      </c>
      <c r="R17" s="50">
        <v>-0.14000000000000001</v>
      </c>
      <c r="S17" s="50">
        <v>-0.14000000000000001</v>
      </c>
      <c r="T17" s="50">
        <v>-0.14000000000000001</v>
      </c>
      <c r="U17" s="50">
        <v>-0.14000000000000001</v>
      </c>
    </row>
    <row r="18" spans="2:21" x14ac:dyDescent="0.35">
      <c r="B18" s="48"/>
      <c r="C18" s="115"/>
      <c r="D18" s="115"/>
      <c r="E18" s="115"/>
      <c r="F18" s="115"/>
      <c r="G18" s="115"/>
      <c r="H18" s="115"/>
      <c r="I18" s="116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2:21" x14ac:dyDescent="0.35">
      <c r="B19" s="47" t="s">
        <v>182</v>
      </c>
      <c r="C19" s="112"/>
      <c r="D19" s="112"/>
      <c r="E19" s="112"/>
      <c r="F19" s="112"/>
      <c r="G19" s="112"/>
      <c r="H19" s="112"/>
      <c r="I19" s="112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35">
      <c r="B20" s="48" t="s">
        <v>257</v>
      </c>
      <c r="C20" s="115"/>
      <c r="D20" s="117"/>
      <c r="E20" s="117"/>
      <c r="F20" s="117"/>
      <c r="G20" s="116"/>
      <c r="H20" s="114"/>
      <c r="I20" s="114"/>
      <c r="J20" s="50">
        <f t="shared" ref="J20:P20" si="5">J17-2%</f>
        <v>-0.16</v>
      </c>
      <c r="K20" s="50">
        <f t="shared" si="5"/>
        <v>-0.16</v>
      </c>
      <c r="L20" s="50">
        <f t="shared" si="5"/>
        <v>-0.16</v>
      </c>
      <c r="M20" s="50">
        <f t="shared" si="5"/>
        <v>-0.16</v>
      </c>
      <c r="N20" s="50">
        <f t="shared" si="5"/>
        <v>-0.16</v>
      </c>
      <c r="O20" s="50">
        <f t="shared" si="5"/>
        <v>-0.16</v>
      </c>
      <c r="P20" s="50">
        <f t="shared" si="5"/>
        <v>-0.16</v>
      </c>
      <c r="Q20" s="50">
        <f t="shared" ref="Q20:U20" si="6">Q17-2%</f>
        <v>-0.16</v>
      </c>
      <c r="R20" s="50">
        <f t="shared" si="6"/>
        <v>-0.16</v>
      </c>
      <c r="S20" s="50">
        <f t="shared" si="6"/>
        <v>-0.16</v>
      </c>
      <c r="T20" s="50">
        <f t="shared" si="6"/>
        <v>-0.16</v>
      </c>
      <c r="U20" s="50">
        <f t="shared" si="6"/>
        <v>-0.16</v>
      </c>
    </row>
  </sheetData>
  <mergeCells count="1">
    <mergeCell ref="C3:U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240E-31F1-4FEE-B23D-40333DBE753A}">
  <sheetPr>
    <tabColor rgb="FFC00000"/>
  </sheetPr>
  <dimension ref="A1"/>
  <sheetViews>
    <sheetView workbookViewId="0">
      <selection activeCell="J38" sqref="J38"/>
    </sheetView>
  </sheetViews>
  <sheetFormatPr defaultRowHeight="12.7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127D-6A45-4E8A-8F77-93A27C621D2C}">
  <sheetPr>
    <tabColor theme="5"/>
  </sheetPr>
  <dimension ref="B14"/>
  <sheetViews>
    <sheetView workbookViewId="0">
      <selection activeCell="I22" sqref="I22"/>
    </sheetView>
  </sheetViews>
  <sheetFormatPr defaultRowHeight="12.75" x14ac:dyDescent="0.35"/>
  <cols>
    <col min="1" max="1" width="1.86328125" style="1" customWidth="1"/>
    <col min="2" max="16384" width="9.06640625" style="1"/>
  </cols>
  <sheetData>
    <row r="14" spans="2:2" ht="50.25" x14ac:dyDescent="0.35">
      <c r="B14" s="40" t="s">
        <v>233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7C0E-EDA7-44BC-AD6E-6DB54F38530E}">
  <dimension ref="A1:R50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46" sqref="R46"/>
    </sheetView>
  </sheetViews>
  <sheetFormatPr defaultColWidth="9.1328125" defaultRowHeight="12.75" x14ac:dyDescent="0.35"/>
  <cols>
    <col min="1" max="1" width="2" style="120" customWidth="1"/>
    <col min="2" max="2" width="26.86328125" style="120" customWidth="1"/>
    <col min="3" max="3" width="12.86328125" style="120" bestFit="1" customWidth="1"/>
    <col min="4" max="4" width="10.53125" style="120" customWidth="1"/>
    <col min="5" max="5" width="10.1328125" style="120" customWidth="1"/>
    <col min="6" max="6" width="10" style="120" customWidth="1"/>
    <col min="7" max="7" width="9.3984375" style="120" bestFit="1" customWidth="1"/>
    <col min="8" max="12" width="10.33203125" style="120" customWidth="1"/>
    <col min="13" max="13" width="10.19921875" style="120" bestFit="1" customWidth="1"/>
    <col min="14" max="14" width="9.796875" style="120" bestFit="1" customWidth="1"/>
    <col min="15" max="16384" width="9.1328125" style="120"/>
  </cols>
  <sheetData>
    <row r="1" spans="1:18" ht="15" x14ac:dyDescent="0.4">
      <c r="B1" s="121" t="s">
        <v>259</v>
      </c>
    </row>
    <row r="3" spans="1:18" ht="13.15" x14ac:dyDescent="0.4">
      <c r="B3" s="122" t="str">
        <f>"Selected case:"&amp;CHOOSE(C3," as a % of PPE"," as a % of revenue")</f>
        <v>Selected case: as a % of PPE</v>
      </c>
      <c r="C3" s="123">
        <v>1</v>
      </c>
    </row>
    <row r="4" spans="1:18" ht="13.15" x14ac:dyDescent="0.4">
      <c r="B4" s="122"/>
      <c r="C4" s="124"/>
    </row>
    <row r="5" spans="1:18" x14ac:dyDescent="0.35">
      <c r="C5" s="242" t="s">
        <v>260</v>
      </c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52"/>
    </row>
    <row r="6" spans="1:18" ht="23.25" x14ac:dyDescent="0.35">
      <c r="A6" s="120" t="s">
        <v>177</v>
      </c>
      <c r="B6" s="14" t="s">
        <v>241</v>
      </c>
      <c r="C6" s="31" t="s">
        <v>264</v>
      </c>
      <c r="D6" s="31" t="s">
        <v>287</v>
      </c>
      <c r="E6" s="31" t="s">
        <v>288</v>
      </c>
      <c r="F6" s="31" t="s">
        <v>289</v>
      </c>
      <c r="G6" s="32" t="s">
        <v>265</v>
      </c>
      <c r="H6" s="32" t="s">
        <v>266</v>
      </c>
      <c r="I6" s="32" t="s">
        <v>267</v>
      </c>
      <c r="J6" s="32" t="s">
        <v>268</v>
      </c>
      <c r="K6" s="32" t="s">
        <v>269</v>
      </c>
      <c r="L6" s="32" t="s">
        <v>270</v>
      </c>
      <c r="M6" s="32" t="s">
        <v>271</v>
      </c>
      <c r="N6" s="32" t="s">
        <v>272</v>
      </c>
      <c r="O6" s="32" t="s">
        <v>283</v>
      </c>
      <c r="P6" s="32" t="s">
        <v>284</v>
      </c>
      <c r="Q6" s="32" t="s">
        <v>285</v>
      </c>
      <c r="R6" s="32" t="s">
        <v>286</v>
      </c>
    </row>
    <row r="7" spans="1:18" x14ac:dyDescent="0.35">
      <c r="B7" s="7" t="s">
        <v>273</v>
      </c>
      <c r="C7" s="125">
        <v>5983</v>
      </c>
      <c r="D7" s="125">
        <f>C10</f>
        <v>10027.522000000001</v>
      </c>
      <c r="E7" s="125">
        <f>D10</f>
        <v>11330.076999999999</v>
      </c>
      <c r="F7" s="125">
        <f>E10</f>
        <v>10396</v>
      </c>
      <c r="G7" s="126">
        <f>F10</f>
        <v>12747</v>
      </c>
      <c r="H7" s="126">
        <f t="shared" ref="H7:R7" si="0">G10</f>
        <v>13677.530999999999</v>
      </c>
      <c r="I7" s="126">
        <f t="shared" si="0"/>
        <v>14524.018196333333</v>
      </c>
      <c r="J7" s="126">
        <f t="shared" si="0"/>
        <v>15254.035137299001</v>
      </c>
      <c r="K7" s="126">
        <f t="shared" si="0"/>
        <v>15831.161103722208</v>
      </c>
      <c r="L7" s="126">
        <f t="shared" si="0"/>
        <v>16214.913409141885</v>
      </c>
      <c r="M7" s="126">
        <f t="shared" si="0"/>
        <v>15014.90695366884</v>
      </c>
      <c r="N7" s="126">
        <f t="shared" si="0"/>
        <v>13544.750783111802</v>
      </c>
      <c r="O7" s="126">
        <f t="shared" si="0"/>
        <v>11792.131487667941</v>
      </c>
      <c r="P7" s="126">
        <f t="shared" si="0"/>
        <v>9746.3289478030147</v>
      </c>
      <c r="Q7" s="126">
        <f t="shared" si="0"/>
        <v>7398.4828644735662</v>
      </c>
      <c r="R7" s="126">
        <f t="shared" si="0"/>
        <v>4275.7629237046021</v>
      </c>
    </row>
    <row r="8" spans="1:18" x14ac:dyDescent="0.35">
      <c r="B8" s="7" t="s">
        <v>274</v>
      </c>
      <c r="C8" s="125">
        <v>5681</v>
      </c>
      <c r="D8" s="125">
        <v>3204</v>
      </c>
      <c r="E8" s="125">
        <v>1220</v>
      </c>
      <c r="F8" s="125">
        <v>4505</v>
      </c>
      <c r="G8" s="126">
        <f>CHOOSE($C$3,G39*G7,Opex!J5)</f>
        <v>2450.2566666666667</v>
      </c>
      <c r="H8" s="126">
        <f>CHOOSE($C$3,H39*H7,Opex!K5)</f>
        <v>2629.1254033333335</v>
      </c>
      <c r="I8" s="126">
        <f>CHOOSE($C$3,I39*I7,Opex!L5)</f>
        <v>2791.8390532951853</v>
      </c>
      <c r="J8" s="126">
        <f>CHOOSE($C$3,J39*J7,Opex!M5)</f>
        <v>2932.1645319474746</v>
      </c>
      <c r="K8" s="126">
        <f>CHOOSE($C$3,K39*K7,Opex!N5)</f>
        <v>3043.1009677154916</v>
      </c>
      <c r="L8" s="126">
        <f>CHOOSE($C$3,L39*L7,Opex!O5)</f>
        <v>1621.4913409141884</v>
      </c>
      <c r="M8" s="126">
        <f>CHOOSE($C$3,M39*M7,Opex!P5)</f>
        <v>1501.490695366884</v>
      </c>
      <c r="N8" s="126">
        <f>CHOOSE($C$3,N39*N7,Opex!Q5)</f>
        <v>1354.4750783111801</v>
      </c>
      <c r="O8" s="126">
        <f>CHOOSE($C$3,O39*O7,Opex!R5)</f>
        <v>1179.2131487667939</v>
      </c>
      <c r="P8" s="126">
        <f>CHOOSE($C$3,P39*P7,Opex!S5)</f>
        <v>974.6328947803014</v>
      </c>
      <c r="Q8" s="126">
        <f>CHOOSE($C$3,Q39*Q7,Opex!T5)</f>
        <v>221.95448593420699</v>
      </c>
      <c r="R8" s="126">
        <f>CHOOSE($C$3,R39*R7,Opex!U5)</f>
        <v>128.27288771113805</v>
      </c>
    </row>
    <row r="9" spans="1:18" x14ac:dyDescent="0.35">
      <c r="B9" s="120" t="s">
        <v>275</v>
      </c>
      <c r="C9" s="127">
        <v>-1636</v>
      </c>
      <c r="D9" s="127">
        <v>-1901</v>
      </c>
      <c r="E9" s="127">
        <v>-2154</v>
      </c>
      <c r="F9" s="127">
        <f>E9*1.15</f>
        <v>-2477.1</v>
      </c>
      <c r="G9" s="126">
        <f>G30</f>
        <v>-1519.7256666666667</v>
      </c>
      <c r="H9" s="126">
        <f>H30</f>
        <v>-1782.638207</v>
      </c>
      <c r="I9" s="126">
        <f t="shared" ref="I9:R9" si="1">I30</f>
        <v>-2061.8221123295184</v>
      </c>
      <c r="J9" s="126">
        <f t="shared" si="1"/>
        <v>-2355.0385655242658</v>
      </c>
      <c r="K9" s="126">
        <f t="shared" si="1"/>
        <v>-2659.3486622958148</v>
      </c>
      <c r="L9" s="126">
        <f t="shared" si="1"/>
        <v>-2821.4977963872338</v>
      </c>
      <c r="M9" s="126">
        <f t="shared" si="1"/>
        <v>-2971.6468659239222</v>
      </c>
      <c r="N9" s="126">
        <f t="shared" si="1"/>
        <v>-3107.0943737550401</v>
      </c>
      <c r="O9" s="126">
        <f t="shared" si="1"/>
        <v>-3225.0156886317195</v>
      </c>
      <c r="P9" s="126">
        <f t="shared" si="1"/>
        <v>-3322.4789781097497</v>
      </c>
      <c r="Q9" s="126">
        <f t="shared" si="1"/>
        <v>-3344.6744267031704</v>
      </c>
      <c r="R9" s="126">
        <f t="shared" si="1"/>
        <v>-3357.5017154742841</v>
      </c>
    </row>
    <row r="10" spans="1:18" s="128" customFormat="1" ht="13.9" thickBot="1" x14ac:dyDescent="0.4">
      <c r="B10" s="45" t="s">
        <v>276</v>
      </c>
      <c r="C10" s="46">
        <f>'Balance Sheet Input'!F12/1000</f>
        <v>10027.522000000001</v>
      </c>
      <c r="D10" s="46">
        <f>'Balance Sheet Input'!G12/1000</f>
        <v>11330.076999999999</v>
      </c>
      <c r="E10" s="46">
        <f>'Balance Sheet Input'!H12/1000</f>
        <v>10396</v>
      </c>
      <c r="F10" s="46">
        <f>'Balance Sheet Input'!I12/1000</f>
        <v>12747</v>
      </c>
      <c r="G10" s="46">
        <f t="shared" ref="G10:N10" si="2">SUM(G7:G9)</f>
        <v>13677.530999999999</v>
      </c>
      <c r="H10" s="46">
        <f t="shared" si="2"/>
        <v>14524.018196333333</v>
      </c>
      <c r="I10" s="46">
        <f t="shared" si="2"/>
        <v>15254.035137299001</v>
      </c>
      <c r="J10" s="46">
        <f t="shared" si="2"/>
        <v>15831.161103722208</v>
      </c>
      <c r="K10" s="46">
        <f t="shared" si="2"/>
        <v>16214.913409141885</v>
      </c>
      <c r="L10" s="46">
        <f t="shared" si="2"/>
        <v>15014.90695366884</v>
      </c>
      <c r="M10" s="46">
        <f t="shared" si="2"/>
        <v>13544.750783111802</v>
      </c>
      <c r="N10" s="46">
        <f t="shared" si="2"/>
        <v>11792.131487667941</v>
      </c>
      <c r="O10" s="46">
        <f t="shared" ref="O10:R10" si="3">SUM(O7:O9)</f>
        <v>9746.3289478030147</v>
      </c>
      <c r="P10" s="46">
        <f t="shared" si="3"/>
        <v>7398.4828644735662</v>
      </c>
      <c r="Q10" s="46">
        <f t="shared" si="3"/>
        <v>4275.7629237046021</v>
      </c>
      <c r="R10" s="46">
        <f t="shared" si="3"/>
        <v>1046.5340959414557</v>
      </c>
    </row>
    <row r="11" spans="1:18" s="128" customFormat="1" ht="13.5" x14ac:dyDescent="0.35">
      <c r="B11" s="131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</row>
    <row r="12" spans="1:18" s="128" customFormat="1" ht="13.5" x14ac:dyDescent="0.35">
      <c r="B12" s="131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</row>
    <row r="13" spans="1:18" s="128" customFormat="1" ht="13.5" x14ac:dyDescent="0.35">
      <c r="B13" s="131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</row>
    <row r="15" spans="1:18" x14ac:dyDescent="0.35">
      <c r="B15" s="7"/>
      <c r="C15" s="242" t="s">
        <v>277</v>
      </c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52"/>
    </row>
    <row r="16" spans="1:18" ht="23.25" x14ac:dyDescent="0.35">
      <c r="B16" s="14" t="s">
        <v>241</v>
      </c>
      <c r="C16" s="31" t="s">
        <v>64</v>
      </c>
      <c r="D16" s="31" t="s">
        <v>109</v>
      </c>
      <c r="E16" s="31" t="s">
        <v>110</v>
      </c>
      <c r="F16" s="31" t="s">
        <v>111</v>
      </c>
      <c r="G16" s="32" t="s">
        <v>120</v>
      </c>
      <c r="H16" s="32" t="s">
        <v>121</v>
      </c>
      <c r="I16" s="32" t="s">
        <v>122</v>
      </c>
      <c r="J16" s="32" t="s">
        <v>123</v>
      </c>
      <c r="K16" s="32" t="s">
        <v>124</v>
      </c>
      <c r="L16" s="32" t="s">
        <v>125</v>
      </c>
      <c r="M16" s="32" t="s">
        <v>126</v>
      </c>
      <c r="N16" s="32" t="s">
        <v>127</v>
      </c>
      <c r="O16" s="32" t="s">
        <v>140</v>
      </c>
      <c r="P16" s="32" t="s">
        <v>141</v>
      </c>
      <c r="Q16" s="32" t="s">
        <v>142</v>
      </c>
      <c r="R16" s="32" t="s">
        <v>143</v>
      </c>
    </row>
    <row r="17" spans="2:18" x14ac:dyDescent="0.35">
      <c r="B17" s="138"/>
      <c r="C17" s="129"/>
      <c r="D17" s="129"/>
      <c r="E17" s="129"/>
      <c r="F17" s="129"/>
      <c r="G17" s="23">
        <f>-$G$7/$C$36</f>
        <v>-1274.7</v>
      </c>
      <c r="H17" s="23">
        <f t="shared" ref="H17:R17" si="4">-$G$7/$C$36</f>
        <v>-1274.7</v>
      </c>
      <c r="I17" s="23">
        <f t="shared" si="4"/>
        <v>-1274.7</v>
      </c>
      <c r="J17" s="23">
        <f t="shared" si="4"/>
        <v>-1274.7</v>
      </c>
      <c r="K17" s="23">
        <f t="shared" si="4"/>
        <v>-1274.7</v>
      </c>
      <c r="L17" s="23">
        <f t="shared" si="4"/>
        <v>-1274.7</v>
      </c>
      <c r="M17" s="23">
        <f t="shared" si="4"/>
        <v>-1274.7</v>
      </c>
      <c r="N17" s="23">
        <f t="shared" si="4"/>
        <v>-1274.7</v>
      </c>
      <c r="O17" s="23">
        <f t="shared" si="4"/>
        <v>-1274.7</v>
      </c>
      <c r="P17" s="23">
        <f t="shared" si="4"/>
        <v>-1274.7</v>
      </c>
      <c r="Q17" s="23">
        <f t="shared" si="4"/>
        <v>-1274.7</v>
      </c>
      <c r="R17" s="23">
        <f t="shared" si="4"/>
        <v>-1274.7</v>
      </c>
    </row>
    <row r="18" spans="2:18" x14ac:dyDescent="0.35">
      <c r="B18" s="138"/>
      <c r="C18" s="129"/>
      <c r="D18" s="129"/>
      <c r="E18" s="129"/>
      <c r="F18" s="129"/>
      <c r="G18" s="23">
        <f>-$G$8/$C$35</f>
        <v>-245.02566666666667</v>
      </c>
      <c r="H18" s="23">
        <f t="shared" ref="H18:R18" si="5">-$G$8/$C$35</f>
        <v>-245.02566666666667</v>
      </c>
      <c r="I18" s="23">
        <f t="shared" si="5"/>
        <v>-245.02566666666667</v>
      </c>
      <c r="J18" s="23">
        <f t="shared" si="5"/>
        <v>-245.02566666666667</v>
      </c>
      <c r="K18" s="23">
        <f t="shared" si="5"/>
        <v>-245.02566666666667</v>
      </c>
      <c r="L18" s="23">
        <f t="shared" si="5"/>
        <v>-245.02566666666667</v>
      </c>
      <c r="M18" s="23">
        <f t="shared" si="5"/>
        <v>-245.02566666666667</v>
      </c>
      <c r="N18" s="23">
        <f t="shared" si="5"/>
        <v>-245.02566666666667</v>
      </c>
      <c r="O18" s="23">
        <f t="shared" si="5"/>
        <v>-245.02566666666667</v>
      </c>
      <c r="P18" s="23">
        <f t="shared" si="5"/>
        <v>-245.02566666666667</v>
      </c>
      <c r="Q18" s="23">
        <f t="shared" si="5"/>
        <v>-245.02566666666667</v>
      </c>
      <c r="R18" s="23">
        <f t="shared" si="5"/>
        <v>-245.02566666666667</v>
      </c>
    </row>
    <row r="19" spans="2:18" x14ac:dyDescent="0.35">
      <c r="B19" s="138"/>
      <c r="C19" s="129"/>
      <c r="D19" s="129"/>
      <c r="E19" s="129"/>
      <c r="F19" s="129"/>
      <c r="G19" s="23"/>
      <c r="H19" s="23">
        <f>-$H$8/$C$35</f>
        <v>-262.91254033333337</v>
      </c>
      <c r="I19" s="23">
        <f t="shared" ref="I19:R19" si="6">-$H$8/$C$35</f>
        <v>-262.91254033333337</v>
      </c>
      <c r="J19" s="23">
        <f t="shared" si="6"/>
        <v>-262.91254033333337</v>
      </c>
      <c r="K19" s="23">
        <f t="shared" si="6"/>
        <v>-262.91254033333337</v>
      </c>
      <c r="L19" s="23">
        <f t="shared" si="6"/>
        <v>-262.91254033333337</v>
      </c>
      <c r="M19" s="23">
        <f t="shared" si="6"/>
        <v>-262.91254033333337</v>
      </c>
      <c r="N19" s="23">
        <f t="shared" si="6"/>
        <v>-262.91254033333337</v>
      </c>
      <c r="O19" s="23">
        <f t="shared" si="6"/>
        <v>-262.91254033333337</v>
      </c>
      <c r="P19" s="23">
        <f t="shared" si="6"/>
        <v>-262.91254033333337</v>
      </c>
      <c r="Q19" s="23">
        <f t="shared" si="6"/>
        <v>-262.91254033333337</v>
      </c>
      <c r="R19" s="23">
        <f t="shared" si="6"/>
        <v>-262.91254033333337</v>
      </c>
    </row>
    <row r="20" spans="2:18" x14ac:dyDescent="0.35">
      <c r="B20" s="138"/>
      <c r="C20" s="129"/>
      <c r="D20" s="129"/>
      <c r="E20" s="129"/>
      <c r="F20" s="129"/>
      <c r="G20" s="23"/>
      <c r="H20" s="23"/>
      <c r="I20" s="23">
        <f>-$I$8/$C$35</f>
        <v>-279.18390532951855</v>
      </c>
      <c r="J20" s="23">
        <f t="shared" ref="J20:R20" si="7">-$I$8/$C$35</f>
        <v>-279.18390532951855</v>
      </c>
      <c r="K20" s="23">
        <f t="shared" si="7"/>
        <v>-279.18390532951855</v>
      </c>
      <c r="L20" s="23">
        <f t="shared" si="7"/>
        <v>-279.18390532951855</v>
      </c>
      <c r="M20" s="23">
        <f t="shared" si="7"/>
        <v>-279.18390532951855</v>
      </c>
      <c r="N20" s="23">
        <f t="shared" si="7"/>
        <v>-279.18390532951855</v>
      </c>
      <c r="O20" s="23">
        <f t="shared" si="7"/>
        <v>-279.18390532951855</v>
      </c>
      <c r="P20" s="23">
        <f t="shared" si="7"/>
        <v>-279.18390532951855</v>
      </c>
      <c r="Q20" s="23">
        <f t="shared" si="7"/>
        <v>-279.18390532951855</v>
      </c>
      <c r="R20" s="23">
        <f t="shared" si="7"/>
        <v>-279.18390532951855</v>
      </c>
    </row>
    <row r="21" spans="2:18" x14ac:dyDescent="0.35">
      <c r="B21" s="138"/>
      <c r="C21" s="129"/>
      <c r="D21" s="129"/>
      <c r="E21" s="129"/>
      <c r="F21" s="129"/>
      <c r="G21" s="23"/>
      <c r="H21" s="23"/>
      <c r="I21" s="23"/>
      <c r="J21" s="23">
        <f>-$J$8/$C$35</f>
        <v>-293.21645319474749</v>
      </c>
      <c r="K21" s="23">
        <f t="shared" ref="K21:R21" si="8">-$J$8/$C$35</f>
        <v>-293.21645319474749</v>
      </c>
      <c r="L21" s="23">
        <f t="shared" si="8"/>
        <v>-293.21645319474749</v>
      </c>
      <c r="M21" s="23">
        <f t="shared" si="8"/>
        <v>-293.21645319474749</v>
      </c>
      <c r="N21" s="23">
        <f t="shared" si="8"/>
        <v>-293.21645319474749</v>
      </c>
      <c r="O21" s="23">
        <f t="shared" si="8"/>
        <v>-293.21645319474749</v>
      </c>
      <c r="P21" s="23">
        <f t="shared" si="8"/>
        <v>-293.21645319474749</v>
      </c>
      <c r="Q21" s="23">
        <f t="shared" si="8"/>
        <v>-293.21645319474749</v>
      </c>
      <c r="R21" s="23">
        <f t="shared" si="8"/>
        <v>-293.21645319474749</v>
      </c>
    </row>
    <row r="22" spans="2:18" x14ac:dyDescent="0.35">
      <c r="B22" s="138"/>
      <c r="C22" s="129"/>
      <c r="D22" s="129"/>
      <c r="E22" s="129"/>
      <c r="F22" s="129"/>
      <c r="G22" s="23"/>
      <c r="H22" s="23"/>
      <c r="I22" s="23"/>
      <c r="J22" s="23"/>
      <c r="K22" s="23">
        <f>-$K$8/$C$35</f>
        <v>-304.31009677154918</v>
      </c>
      <c r="L22" s="23">
        <f t="shared" ref="L22:R22" si="9">-$K$8/$C$35</f>
        <v>-304.31009677154918</v>
      </c>
      <c r="M22" s="23">
        <f t="shared" si="9"/>
        <v>-304.31009677154918</v>
      </c>
      <c r="N22" s="23">
        <f t="shared" si="9"/>
        <v>-304.31009677154918</v>
      </c>
      <c r="O22" s="23">
        <f t="shared" si="9"/>
        <v>-304.31009677154918</v>
      </c>
      <c r="P22" s="23">
        <f t="shared" si="9"/>
        <v>-304.31009677154918</v>
      </c>
      <c r="Q22" s="23">
        <f t="shared" si="9"/>
        <v>-304.31009677154918</v>
      </c>
      <c r="R22" s="23">
        <f t="shared" si="9"/>
        <v>-304.31009677154918</v>
      </c>
    </row>
    <row r="23" spans="2:18" x14ac:dyDescent="0.35">
      <c r="B23" s="138"/>
      <c r="C23" s="129"/>
      <c r="D23" s="129"/>
      <c r="E23" s="129"/>
      <c r="F23" s="129"/>
      <c r="G23" s="23"/>
      <c r="H23" s="23"/>
      <c r="I23" s="23"/>
      <c r="J23" s="23"/>
      <c r="K23" s="23"/>
      <c r="L23" s="23">
        <f>-$L$8/$C$35</f>
        <v>-162.14913409141883</v>
      </c>
      <c r="M23" s="23">
        <f t="shared" ref="M23:R23" si="10">-$L$8/$C$35</f>
        <v>-162.14913409141883</v>
      </c>
      <c r="N23" s="23">
        <f t="shared" si="10"/>
        <v>-162.14913409141883</v>
      </c>
      <c r="O23" s="23">
        <f t="shared" si="10"/>
        <v>-162.14913409141883</v>
      </c>
      <c r="P23" s="23">
        <f t="shared" si="10"/>
        <v>-162.14913409141883</v>
      </c>
      <c r="Q23" s="23">
        <f t="shared" si="10"/>
        <v>-162.14913409141883</v>
      </c>
      <c r="R23" s="23">
        <f t="shared" si="10"/>
        <v>-162.14913409141883</v>
      </c>
    </row>
    <row r="24" spans="2:18" x14ac:dyDescent="0.35">
      <c r="B24" s="138"/>
      <c r="C24" s="129"/>
      <c r="D24" s="129"/>
      <c r="E24" s="129"/>
      <c r="F24" s="129"/>
      <c r="G24" s="23"/>
      <c r="H24" s="23"/>
      <c r="I24" s="23"/>
      <c r="J24" s="23"/>
      <c r="K24" s="23"/>
      <c r="L24" s="23"/>
      <c r="M24" s="23">
        <f>-$M$8/$C$35</f>
        <v>-150.14906953668839</v>
      </c>
      <c r="N24" s="23">
        <f t="shared" ref="N24:R24" si="11">-$M$8/$C$35</f>
        <v>-150.14906953668839</v>
      </c>
      <c r="O24" s="23">
        <f t="shared" si="11"/>
        <v>-150.14906953668839</v>
      </c>
      <c r="P24" s="23">
        <f t="shared" si="11"/>
        <v>-150.14906953668839</v>
      </c>
      <c r="Q24" s="23">
        <f t="shared" si="11"/>
        <v>-150.14906953668839</v>
      </c>
      <c r="R24" s="23">
        <f t="shared" si="11"/>
        <v>-150.14906953668839</v>
      </c>
    </row>
    <row r="25" spans="2:18" x14ac:dyDescent="0.35">
      <c r="B25" s="138"/>
      <c r="C25" s="129"/>
      <c r="D25" s="129"/>
      <c r="E25" s="129"/>
      <c r="F25" s="129"/>
      <c r="G25" s="23"/>
      <c r="H25" s="23"/>
      <c r="I25" s="23"/>
      <c r="J25" s="23"/>
      <c r="K25" s="23"/>
      <c r="L25" s="23"/>
      <c r="M25" s="23"/>
      <c r="N25" s="23">
        <f>-$N$8/$C$35</f>
        <v>-135.447507831118</v>
      </c>
      <c r="O25" s="23">
        <f t="shared" ref="O25:R25" si="12">-$N$8/$C$35</f>
        <v>-135.447507831118</v>
      </c>
      <c r="P25" s="23">
        <f t="shared" si="12"/>
        <v>-135.447507831118</v>
      </c>
      <c r="Q25" s="23">
        <f t="shared" si="12"/>
        <v>-135.447507831118</v>
      </c>
      <c r="R25" s="23">
        <f t="shared" si="12"/>
        <v>-135.447507831118</v>
      </c>
    </row>
    <row r="26" spans="2:18" x14ac:dyDescent="0.35">
      <c r="B26" s="138"/>
      <c r="C26" s="129"/>
      <c r="D26" s="129"/>
      <c r="E26" s="129"/>
      <c r="F26" s="129"/>
      <c r="G26" s="23"/>
      <c r="H26" s="23"/>
      <c r="I26" s="23"/>
      <c r="J26" s="23"/>
      <c r="K26" s="23"/>
      <c r="L26" s="23"/>
      <c r="M26" s="23"/>
      <c r="N26" s="23"/>
      <c r="O26" s="23">
        <f>-$O$8/$C$35</f>
        <v>-117.92131487667939</v>
      </c>
      <c r="P26" s="23">
        <f t="shared" ref="P26:R26" si="13">-$O$8/$C$35</f>
        <v>-117.92131487667939</v>
      </c>
      <c r="Q26" s="23">
        <f t="shared" si="13"/>
        <v>-117.92131487667939</v>
      </c>
      <c r="R26" s="23">
        <f t="shared" si="13"/>
        <v>-117.92131487667939</v>
      </c>
    </row>
    <row r="27" spans="2:18" x14ac:dyDescent="0.35">
      <c r="B27" s="138"/>
      <c r="C27" s="129"/>
      <c r="D27" s="129"/>
      <c r="E27" s="129"/>
      <c r="F27" s="129"/>
      <c r="G27" s="23"/>
      <c r="H27" s="23"/>
      <c r="I27" s="23"/>
      <c r="J27" s="23"/>
      <c r="K27" s="23"/>
      <c r="L27" s="23"/>
      <c r="M27" s="23"/>
      <c r="N27" s="23"/>
      <c r="O27" s="23"/>
      <c r="P27" s="23">
        <f>-$P$8/$C$35</f>
        <v>-97.463289478030134</v>
      </c>
      <c r="Q27" s="23">
        <f t="shared" ref="Q27:R27" si="14">-$P$8/$C$35</f>
        <v>-97.463289478030134</v>
      </c>
      <c r="R27" s="23">
        <f t="shared" si="14"/>
        <v>-97.463289478030134</v>
      </c>
    </row>
    <row r="28" spans="2:18" x14ac:dyDescent="0.35">
      <c r="B28" s="138"/>
      <c r="C28" s="129"/>
      <c r="D28" s="129"/>
      <c r="E28" s="129"/>
      <c r="F28" s="129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>
        <f>-$Q$8/$C$35</f>
        <v>-22.1954485934207</v>
      </c>
      <c r="R28" s="23">
        <f>-$Q$8/$C$35</f>
        <v>-22.1954485934207</v>
      </c>
    </row>
    <row r="29" spans="2:18" x14ac:dyDescent="0.35">
      <c r="B29" s="138"/>
      <c r="C29" s="129"/>
      <c r="D29" s="129"/>
      <c r="E29" s="129"/>
      <c r="F29" s="129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>
        <f>-$R$8/$C$35</f>
        <v>-12.827288771113805</v>
      </c>
    </row>
    <row r="30" spans="2:18" ht="13.15" thickBot="1" x14ac:dyDescent="0.4">
      <c r="B30" s="45" t="s">
        <v>278</v>
      </c>
      <c r="C30" s="46">
        <f>C9</f>
        <v>-1636</v>
      </c>
      <c r="D30" s="46">
        <f>SUM(D17:D24)</f>
        <v>0</v>
      </c>
      <c r="E30" s="46">
        <f>SUM(E17:E24)</f>
        <v>0</v>
      </c>
      <c r="F30" s="46">
        <f>SUM(F17:F24)</f>
        <v>0</v>
      </c>
      <c r="G30" s="46">
        <f>SUM(G17:G29)</f>
        <v>-1519.7256666666667</v>
      </c>
      <c r="H30" s="46">
        <f t="shared" ref="H30:R30" si="15">SUM(H17:H29)</f>
        <v>-1782.638207</v>
      </c>
      <c r="I30" s="46">
        <f t="shared" si="15"/>
        <v>-2061.8221123295184</v>
      </c>
      <c r="J30" s="46">
        <f t="shared" si="15"/>
        <v>-2355.0385655242658</v>
      </c>
      <c r="K30" s="46">
        <f t="shared" si="15"/>
        <v>-2659.3486622958148</v>
      </c>
      <c r="L30" s="46">
        <f t="shared" si="15"/>
        <v>-2821.4977963872338</v>
      </c>
      <c r="M30" s="46">
        <f t="shared" si="15"/>
        <v>-2971.6468659239222</v>
      </c>
      <c r="N30" s="46">
        <f t="shared" si="15"/>
        <v>-3107.0943737550401</v>
      </c>
      <c r="O30" s="46">
        <f t="shared" si="15"/>
        <v>-3225.0156886317195</v>
      </c>
      <c r="P30" s="46">
        <f t="shared" si="15"/>
        <v>-3322.4789781097497</v>
      </c>
      <c r="Q30" s="46">
        <f t="shared" si="15"/>
        <v>-3344.6744267031704</v>
      </c>
      <c r="R30" s="46">
        <f t="shared" si="15"/>
        <v>-3357.5017154742841</v>
      </c>
    </row>
    <row r="31" spans="2:18" x14ac:dyDescent="0.35">
      <c r="B31" s="131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</row>
    <row r="32" spans="2:18" x14ac:dyDescent="0.35">
      <c r="B32" s="13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</row>
    <row r="34" spans="2:18" ht="3.75" customHeight="1" x14ac:dyDescent="0.35">
      <c r="B34" s="129"/>
      <c r="C34" s="3"/>
    </row>
    <row r="35" spans="2:18" x14ac:dyDescent="0.35">
      <c r="B35" s="7" t="s">
        <v>281</v>
      </c>
      <c r="C35" s="120">
        <v>10</v>
      </c>
    </row>
    <row r="36" spans="2:18" x14ac:dyDescent="0.35">
      <c r="B36" s="7" t="s">
        <v>282</v>
      </c>
      <c r="C36" s="120">
        <v>10</v>
      </c>
    </row>
    <row r="38" spans="2:18" x14ac:dyDescent="0.35">
      <c r="B38" s="47" t="s">
        <v>0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</row>
    <row r="39" spans="2:18" x14ac:dyDescent="0.35">
      <c r="B39" s="130" t="s">
        <v>279</v>
      </c>
      <c r="C39" s="137"/>
      <c r="D39" s="137"/>
      <c r="E39" s="137"/>
      <c r="F39" s="137"/>
      <c r="G39" s="136">
        <f>CHOOSE(Drivers!$C$3,'PP&amp;E'!G43,'PP&amp;E'!G46,'PP&amp;E'!G49)</f>
        <v>0.19222222222222224</v>
      </c>
      <c r="H39" s="136">
        <f>CHOOSE(Drivers!$C$3,'PP&amp;E'!H43,'PP&amp;E'!H46,'PP&amp;E'!H49)</f>
        <v>0.19222222222222224</v>
      </c>
      <c r="I39" s="136">
        <f>CHOOSE(Drivers!$C$3,'PP&amp;E'!I43,'PP&amp;E'!I46,'PP&amp;E'!I49)</f>
        <v>0.19222222222222224</v>
      </c>
      <c r="J39" s="136">
        <f>CHOOSE(Drivers!$C$3,'PP&amp;E'!J43,'PP&amp;E'!J46,'PP&amp;E'!J49)</f>
        <v>0.19222222222222224</v>
      </c>
      <c r="K39" s="136">
        <f>CHOOSE(Drivers!$C$3,'PP&amp;E'!K43,'PP&amp;E'!K46,'PP&amp;E'!K49)</f>
        <v>0.19222222222222224</v>
      </c>
      <c r="L39" s="136">
        <f>CHOOSE(Drivers!$C$3,'PP&amp;E'!L43,'PP&amp;E'!L46,'PP&amp;E'!L49)</f>
        <v>9.9999999999999992E-2</v>
      </c>
      <c r="M39" s="136">
        <f>CHOOSE(Drivers!$C$3,'PP&amp;E'!M43,'PP&amp;E'!M46,'PP&amp;E'!M49)</f>
        <v>9.9999999999999992E-2</v>
      </c>
      <c r="N39" s="136">
        <f>CHOOSE(Drivers!$C$3,'PP&amp;E'!N43,'PP&amp;E'!N46,'PP&amp;E'!N49)</f>
        <v>9.9999999999999992E-2</v>
      </c>
      <c r="O39" s="136">
        <f>CHOOSE(Drivers!$C$3,'PP&amp;E'!O43,'PP&amp;E'!O46,'PP&amp;E'!O49)</f>
        <v>9.9999999999999992E-2</v>
      </c>
      <c r="P39" s="136">
        <f>CHOOSE(Drivers!$C$3,'PP&amp;E'!P43,'PP&amp;E'!P46,'PP&amp;E'!P49)</f>
        <v>9.9999999999999992E-2</v>
      </c>
      <c r="Q39" s="136">
        <f>CHOOSE(Drivers!$C$3,'PP&amp;E'!Q43,'PP&amp;E'!Q46,'PP&amp;E'!Q49)</f>
        <v>0.03</v>
      </c>
      <c r="R39" s="136">
        <f>CHOOSE(Drivers!$C$3,'PP&amp;E'!R43,'PP&amp;E'!R46,'PP&amp;E'!R49)</f>
        <v>0.03</v>
      </c>
    </row>
    <row r="40" spans="2:18" x14ac:dyDescent="0.35">
      <c r="B40" s="130" t="s">
        <v>280</v>
      </c>
      <c r="C40" s="137"/>
      <c r="D40" s="137"/>
      <c r="E40" s="137"/>
      <c r="F40" s="137"/>
      <c r="G40" s="136">
        <f>CHOOSE(Drivers!$C$3,'PP&amp;E'!G44,'PP&amp;E'!G47,'PP&amp;E'!G50)</f>
        <v>3.0000000000000006E-2</v>
      </c>
      <c r="H40" s="136">
        <f>CHOOSE(Drivers!$C$3,'PP&amp;E'!H44,'PP&amp;E'!H47,'PP&amp;E'!H50)</f>
        <v>3.0000000000000006E-2</v>
      </c>
      <c r="I40" s="136">
        <f>CHOOSE(Drivers!$C$3,'PP&amp;E'!I44,'PP&amp;E'!I47,'PP&amp;E'!I50)</f>
        <v>3.0000000000000006E-2</v>
      </c>
      <c r="J40" s="136">
        <f>CHOOSE(Drivers!$C$3,'PP&amp;E'!J44,'PP&amp;E'!J47,'PP&amp;E'!J50)</f>
        <v>3.0000000000000006E-2</v>
      </c>
      <c r="K40" s="136">
        <f>CHOOSE(Drivers!$C$3,'PP&amp;E'!K44,'PP&amp;E'!K47,'PP&amp;E'!K50)</f>
        <v>3.0000000000000006E-2</v>
      </c>
      <c r="L40" s="136">
        <f>CHOOSE(Drivers!$C$3,'PP&amp;E'!L44,'PP&amp;E'!L47,'PP&amp;E'!L50)</f>
        <v>3.0000000000000006E-2</v>
      </c>
      <c r="M40" s="136">
        <f>CHOOSE(Drivers!$C$3,'PP&amp;E'!M44,'PP&amp;E'!M47,'PP&amp;E'!M50)</f>
        <v>3.0000000000000006E-2</v>
      </c>
      <c r="N40" s="136">
        <f>CHOOSE(Drivers!$C$3,'PP&amp;E'!N44,'PP&amp;E'!N47,'PP&amp;E'!N50)</f>
        <v>3.0000000000000006E-2</v>
      </c>
      <c r="O40" s="136">
        <f>CHOOSE(Drivers!$C$3,'PP&amp;E'!O44,'PP&amp;E'!O47,'PP&amp;E'!O50)</f>
        <v>3.0000000000000006E-2</v>
      </c>
      <c r="P40" s="136">
        <f>CHOOSE(Drivers!$C$3,'PP&amp;E'!P44,'PP&amp;E'!P47,'PP&amp;E'!P50)</f>
        <v>3.0000000000000006E-2</v>
      </c>
      <c r="Q40" s="136">
        <f>CHOOSE(Drivers!$C$3,'PP&amp;E'!Q44,'PP&amp;E'!Q47,'PP&amp;E'!Q50)</f>
        <v>3.0000000000000006E-2</v>
      </c>
      <c r="R40" s="136">
        <f>CHOOSE(Drivers!$C$3,'PP&amp;E'!R44,'PP&amp;E'!R47,'PP&amp;E'!R50)</f>
        <v>3.0000000000000006E-2</v>
      </c>
    </row>
    <row r="41" spans="2:18" x14ac:dyDescent="0.35">
      <c r="B41" s="107" t="s">
        <v>290</v>
      </c>
      <c r="C41" s="137"/>
      <c r="D41" s="137"/>
      <c r="E41" s="137"/>
      <c r="F41" s="137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</row>
    <row r="42" spans="2:18" x14ac:dyDescent="0.35">
      <c r="B42" s="47" t="s">
        <v>180</v>
      </c>
      <c r="C42" s="137"/>
      <c r="D42" s="137"/>
      <c r="E42" s="137"/>
      <c r="F42" s="137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</row>
    <row r="43" spans="2:18" x14ac:dyDescent="0.35">
      <c r="B43" s="130" t="s">
        <v>279</v>
      </c>
      <c r="C43" s="137"/>
      <c r="D43" s="137"/>
      <c r="E43" s="137"/>
      <c r="F43" s="137"/>
      <c r="G43" s="135">
        <f>G46-5%</f>
        <v>0.19222222222222224</v>
      </c>
      <c r="H43" s="135">
        <f t="shared" ref="H43:R43" si="16">H46-5%</f>
        <v>0.19222222222222224</v>
      </c>
      <c r="I43" s="135">
        <f t="shared" si="16"/>
        <v>0.19222222222222224</v>
      </c>
      <c r="J43" s="135">
        <f t="shared" si="16"/>
        <v>0.19222222222222224</v>
      </c>
      <c r="K43" s="135">
        <f t="shared" si="16"/>
        <v>0.19222222222222224</v>
      </c>
      <c r="L43" s="135">
        <f t="shared" si="16"/>
        <v>9.9999999999999992E-2</v>
      </c>
      <c r="M43" s="135">
        <f t="shared" si="16"/>
        <v>9.9999999999999992E-2</v>
      </c>
      <c r="N43" s="135">
        <f t="shared" si="16"/>
        <v>9.9999999999999992E-2</v>
      </c>
      <c r="O43" s="135">
        <f t="shared" si="16"/>
        <v>9.9999999999999992E-2</v>
      </c>
      <c r="P43" s="135">
        <f t="shared" si="16"/>
        <v>9.9999999999999992E-2</v>
      </c>
      <c r="Q43" s="135">
        <f t="shared" si="16"/>
        <v>0.03</v>
      </c>
      <c r="R43" s="135">
        <f t="shared" si="16"/>
        <v>0.03</v>
      </c>
    </row>
    <row r="44" spans="2:18" x14ac:dyDescent="0.35">
      <c r="B44" s="130" t="s">
        <v>280</v>
      </c>
      <c r="C44" s="137"/>
      <c r="D44" s="137"/>
      <c r="E44" s="137"/>
      <c r="F44" s="137"/>
      <c r="G44" s="135">
        <f>G47-3%</f>
        <v>3.0000000000000006E-2</v>
      </c>
      <c r="H44" s="135">
        <f t="shared" ref="H44:R44" si="17">H47-3%</f>
        <v>3.0000000000000006E-2</v>
      </c>
      <c r="I44" s="135">
        <f t="shared" si="17"/>
        <v>3.0000000000000006E-2</v>
      </c>
      <c r="J44" s="135">
        <f t="shared" si="17"/>
        <v>3.0000000000000006E-2</v>
      </c>
      <c r="K44" s="135">
        <f t="shared" si="17"/>
        <v>3.0000000000000006E-2</v>
      </c>
      <c r="L44" s="135">
        <f t="shared" si="17"/>
        <v>3.0000000000000006E-2</v>
      </c>
      <c r="M44" s="135">
        <f t="shared" si="17"/>
        <v>3.0000000000000006E-2</v>
      </c>
      <c r="N44" s="135">
        <f t="shared" si="17"/>
        <v>3.0000000000000006E-2</v>
      </c>
      <c r="O44" s="135">
        <f t="shared" si="17"/>
        <v>3.0000000000000006E-2</v>
      </c>
      <c r="P44" s="135">
        <f t="shared" si="17"/>
        <v>3.0000000000000006E-2</v>
      </c>
      <c r="Q44" s="135">
        <f t="shared" si="17"/>
        <v>3.0000000000000006E-2</v>
      </c>
      <c r="R44" s="135">
        <f t="shared" si="17"/>
        <v>3.0000000000000006E-2</v>
      </c>
    </row>
    <row r="45" spans="2:18" x14ac:dyDescent="0.35">
      <c r="B45" s="47" t="s">
        <v>181</v>
      </c>
      <c r="C45" s="137"/>
      <c r="D45" s="137"/>
      <c r="E45" s="137"/>
      <c r="F45" s="137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</row>
    <row r="46" spans="2:18" x14ac:dyDescent="0.35">
      <c r="B46" s="130" t="s">
        <v>279</v>
      </c>
      <c r="C46" s="137"/>
      <c r="D46" s="137"/>
      <c r="E46" s="137"/>
      <c r="F46" s="137"/>
      <c r="G46" s="135">
        <f>-'PP&amp;E Comparables'!$D$16</f>
        <v>0.24222222222222223</v>
      </c>
      <c r="H46" s="135">
        <f>-'PP&amp;E Comparables'!$D$16</f>
        <v>0.24222222222222223</v>
      </c>
      <c r="I46" s="135">
        <f>-'PP&amp;E Comparables'!$D$16</f>
        <v>0.24222222222222223</v>
      </c>
      <c r="J46" s="135">
        <f>-'PP&amp;E Comparables'!$D$16</f>
        <v>0.24222222222222223</v>
      </c>
      <c r="K46" s="135">
        <f>-'PP&amp;E Comparables'!$D$16</f>
        <v>0.24222222222222223</v>
      </c>
      <c r="L46" s="135">
        <v>0.15</v>
      </c>
      <c r="M46" s="135">
        <v>0.15</v>
      </c>
      <c r="N46" s="135">
        <v>0.15</v>
      </c>
      <c r="O46" s="135">
        <v>0.15</v>
      </c>
      <c r="P46" s="135">
        <v>0.15</v>
      </c>
      <c r="Q46" s="135">
        <v>0.08</v>
      </c>
      <c r="R46" s="135">
        <v>0.08</v>
      </c>
    </row>
    <row r="47" spans="2:18" x14ac:dyDescent="0.35">
      <c r="B47" s="130" t="s">
        <v>280</v>
      </c>
      <c r="C47" s="137"/>
      <c r="D47" s="137"/>
      <c r="E47" s="137"/>
      <c r="F47" s="137"/>
      <c r="G47" s="135">
        <f>-'PP&amp;E Comparables'!$G$16</f>
        <v>6.0000000000000005E-2</v>
      </c>
      <c r="H47" s="135">
        <f>-'PP&amp;E Comparables'!$G$16</f>
        <v>6.0000000000000005E-2</v>
      </c>
      <c r="I47" s="135">
        <f>-'PP&amp;E Comparables'!$G$16</f>
        <v>6.0000000000000005E-2</v>
      </c>
      <c r="J47" s="135">
        <f>-'PP&amp;E Comparables'!$G$16</f>
        <v>6.0000000000000005E-2</v>
      </c>
      <c r="K47" s="135">
        <f>-'PP&amp;E Comparables'!$G$16</f>
        <v>6.0000000000000005E-2</v>
      </c>
      <c r="L47" s="135">
        <f>-'PP&amp;E Comparables'!$G$16</f>
        <v>6.0000000000000005E-2</v>
      </c>
      <c r="M47" s="135">
        <f>-'PP&amp;E Comparables'!$G$16</f>
        <v>6.0000000000000005E-2</v>
      </c>
      <c r="N47" s="135">
        <f>-'PP&amp;E Comparables'!$G$16</f>
        <v>6.0000000000000005E-2</v>
      </c>
      <c r="O47" s="135">
        <f>-'PP&amp;E Comparables'!$G$16</f>
        <v>6.0000000000000005E-2</v>
      </c>
      <c r="P47" s="135">
        <f>-'PP&amp;E Comparables'!$G$16</f>
        <v>6.0000000000000005E-2</v>
      </c>
      <c r="Q47" s="135">
        <f>-'PP&amp;E Comparables'!$G$16</f>
        <v>6.0000000000000005E-2</v>
      </c>
      <c r="R47" s="135">
        <f>-'PP&amp;E Comparables'!$G$16</f>
        <v>6.0000000000000005E-2</v>
      </c>
    </row>
    <row r="48" spans="2:18" x14ac:dyDescent="0.35">
      <c r="B48" s="47" t="s">
        <v>182</v>
      </c>
      <c r="C48" s="137"/>
      <c r="D48" s="137"/>
      <c r="E48" s="137"/>
      <c r="F48" s="137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</row>
    <row r="49" spans="2:18" x14ac:dyDescent="0.35">
      <c r="B49" s="130" t="s">
        <v>279</v>
      </c>
      <c r="C49" s="137"/>
      <c r="D49" s="137"/>
      <c r="E49" s="137"/>
      <c r="F49" s="137"/>
      <c r="G49" s="135">
        <f>G46+5%</f>
        <v>0.29222222222222222</v>
      </c>
      <c r="H49" s="135">
        <f t="shared" ref="H49:R49" si="18">H46+5%</f>
        <v>0.29222222222222222</v>
      </c>
      <c r="I49" s="135">
        <f t="shared" si="18"/>
        <v>0.29222222222222222</v>
      </c>
      <c r="J49" s="135">
        <f t="shared" si="18"/>
        <v>0.29222222222222222</v>
      </c>
      <c r="K49" s="135">
        <f t="shared" si="18"/>
        <v>0.29222222222222222</v>
      </c>
      <c r="L49" s="135">
        <f t="shared" si="18"/>
        <v>0.2</v>
      </c>
      <c r="M49" s="135">
        <f t="shared" si="18"/>
        <v>0.2</v>
      </c>
      <c r="N49" s="135">
        <f t="shared" si="18"/>
        <v>0.2</v>
      </c>
      <c r="O49" s="135">
        <f t="shared" si="18"/>
        <v>0.2</v>
      </c>
      <c r="P49" s="135">
        <f t="shared" si="18"/>
        <v>0.2</v>
      </c>
      <c r="Q49" s="135">
        <f t="shared" si="18"/>
        <v>0.13</v>
      </c>
      <c r="R49" s="135">
        <f t="shared" si="18"/>
        <v>0.13</v>
      </c>
    </row>
    <row r="50" spans="2:18" x14ac:dyDescent="0.35">
      <c r="B50" s="130" t="s">
        <v>280</v>
      </c>
      <c r="C50" s="137"/>
      <c r="D50" s="137"/>
      <c r="E50" s="137"/>
      <c r="F50" s="137"/>
      <c r="G50" s="135">
        <f>G47+3%</f>
        <v>0.09</v>
      </c>
      <c r="H50" s="135">
        <f t="shared" ref="H50:R50" si="19">H47+3%</f>
        <v>0.09</v>
      </c>
      <c r="I50" s="135">
        <f t="shared" si="19"/>
        <v>0.09</v>
      </c>
      <c r="J50" s="135">
        <f t="shared" si="19"/>
        <v>0.09</v>
      </c>
      <c r="K50" s="135">
        <f t="shared" si="19"/>
        <v>0.09</v>
      </c>
      <c r="L50" s="135">
        <f t="shared" si="19"/>
        <v>0.09</v>
      </c>
      <c r="M50" s="135">
        <f t="shared" si="19"/>
        <v>0.09</v>
      </c>
      <c r="N50" s="135">
        <f t="shared" si="19"/>
        <v>0.09</v>
      </c>
      <c r="O50" s="135">
        <f t="shared" si="19"/>
        <v>0.09</v>
      </c>
      <c r="P50" s="135">
        <f t="shared" si="19"/>
        <v>0.09</v>
      </c>
      <c r="Q50" s="135">
        <f t="shared" si="19"/>
        <v>0.09</v>
      </c>
      <c r="R50" s="135">
        <f t="shared" si="19"/>
        <v>0.09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CC957345-418C-4F6C-BB63-C7D36CA46ACF}">
      <formula1>"1,2"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4816-72A6-4F29-B7FF-BBB4B6D3493D}">
  <dimension ref="A1:G23"/>
  <sheetViews>
    <sheetView workbookViewId="0">
      <selection activeCell="B24" sqref="B24"/>
    </sheetView>
  </sheetViews>
  <sheetFormatPr defaultColWidth="9.1328125" defaultRowHeight="11.65" x14ac:dyDescent="0.35"/>
  <cols>
    <col min="1" max="1" width="2" style="4" customWidth="1"/>
    <col min="2" max="2" width="17.796875" style="4" customWidth="1"/>
    <col min="3" max="4" width="12.86328125" style="4" customWidth="1"/>
    <col min="5" max="5" width="2" style="4" customWidth="1"/>
    <col min="6" max="7" width="12.86328125" style="4" customWidth="1"/>
    <col min="8" max="16384" width="9.1328125" style="4"/>
  </cols>
  <sheetData>
    <row r="1" spans="1:7" ht="15" x14ac:dyDescent="0.35">
      <c r="A1" s="1"/>
      <c r="B1" s="2" t="s">
        <v>291</v>
      </c>
    </row>
    <row r="2" spans="1:7" ht="15" x14ac:dyDescent="0.35">
      <c r="A2" s="1"/>
      <c r="B2" s="2"/>
    </row>
    <row r="3" spans="1:7" ht="12.75" x14ac:dyDescent="0.35">
      <c r="A3" s="1"/>
      <c r="B3" s="95" t="s">
        <v>157</v>
      </c>
    </row>
    <row r="5" spans="1:7" x14ac:dyDescent="0.35">
      <c r="C5" s="242" t="s">
        <v>294</v>
      </c>
      <c r="D5" s="242"/>
      <c r="F5" s="242" t="s">
        <v>295</v>
      </c>
      <c r="G5" s="242"/>
    </row>
    <row r="6" spans="1:7" x14ac:dyDescent="0.35">
      <c r="B6" s="44" t="s">
        <v>9</v>
      </c>
      <c r="C6" s="15"/>
      <c r="D6" s="15" t="s">
        <v>159</v>
      </c>
      <c r="F6" s="15"/>
      <c r="G6" s="15" t="s">
        <v>159</v>
      </c>
    </row>
    <row r="7" spans="1:7" x14ac:dyDescent="0.35">
      <c r="B7" s="4" t="s">
        <v>161</v>
      </c>
      <c r="C7" s="108"/>
      <c r="D7" s="108">
        <v>-0.2</v>
      </c>
      <c r="F7" s="108"/>
      <c r="G7" s="108">
        <v>-0.06</v>
      </c>
    </row>
    <row r="8" spans="1:7" x14ac:dyDescent="0.35">
      <c r="B8" s="4" t="s">
        <v>162</v>
      </c>
      <c r="C8" s="13"/>
      <c r="D8" s="13">
        <v>-0.21</v>
      </c>
      <c r="F8" s="13"/>
      <c r="G8" s="13">
        <v>-0.05</v>
      </c>
    </row>
    <row r="9" spans="1:7" x14ac:dyDescent="0.35">
      <c r="B9" s="4" t="s">
        <v>163</v>
      </c>
      <c r="C9" s="13"/>
      <c r="D9" s="13">
        <v>-0.28999999999999998</v>
      </c>
      <c r="F9" s="13"/>
      <c r="G9" s="13">
        <v>-0.08</v>
      </c>
    </row>
    <row r="10" spans="1:7" x14ac:dyDescent="0.35">
      <c r="B10" s="4" t="s">
        <v>164</v>
      </c>
      <c r="C10" s="13"/>
      <c r="D10" s="13">
        <v>-0.3</v>
      </c>
      <c r="F10" s="13"/>
      <c r="G10" s="13">
        <v>-7.0000000000000007E-2</v>
      </c>
    </row>
    <row r="11" spans="1:7" x14ac:dyDescent="0.35">
      <c r="B11" s="4" t="s">
        <v>296</v>
      </c>
      <c r="C11" s="13"/>
      <c r="D11" s="13">
        <v>-0.19</v>
      </c>
      <c r="F11" s="13"/>
      <c r="G11" s="13">
        <v>-0.04</v>
      </c>
    </row>
    <row r="12" spans="1:7" x14ac:dyDescent="0.35">
      <c r="B12" s="4" t="s">
        <v>165</v>
      </c>
      <c r="C12" s="13"/>
      <c r="D12" s="13">
        <v>-0.22</v>
      </c>
      <c r="F12" s="13"/>
      <c r="G12" s="13">
        <v>-0.06</v>
      </c>
    </row>
    <row r="13" spans="1:7" x14ac:dyDescent="0.35">
      <c r="B13" s="4" t="s">
        <v>166</v>
      </c>
      <c r="C13" s="13"/>
      <c r="D13" s="13">
        <v>-0.24</v>
      </c>
      <c r="F13" s="13"/>
      <c r="G13" s="13">
        <v>-7.0000000000000007E-2</v>
      </c>
    </row>
    <row r="14" spans="1:7" x14ac:dyDescent="0.35">
      <c r="B14" s="4" t="s">
        <v>168</v>
      </c>
      <c r="C14" s="13"/>
      <c r="D14" s="13">
        <v>-0.33</v>
      </c>
      <c r="F14" s="13"/>
      <c r="G14" s="13">
        <v>-0.09</v>
      </c>
    </row>
    <row r="15" spans="1:7" x14ac:dyDescent="0.35">
      <c r="B15" s="64" t="s">
        <v>171</v>
      </c>
      <c r="C15" s="109"/>
      <c r="D15" s="109">
        <v>-0.2</v>
      </c>
      <c r="E15" s="64"/>
      <c r="F15" s="109"/>
      <c r="G15" s="109">
        <v>-0.02</v>
      </c>
    </row>
    <row r="16" spans="1:7" x14ac:dyDescent="0.35">
      <c r="B16" s="18" t="s">
        <v>159</v>
      </c>
      <c r="C16" s="134"/>
      <c r="D16" s="134">
        <f>AVERAGE(D7:D15)</f>
        <v>-0.24222222222222223</v>
      </c>
      <c r="F16" s="134"/>
      <c r="G16" s="134">
        <f>AVERAGE(G7:G15)</f>
        <v>-6.0000000000000005E-2</v>
      </c>
    </row>
    <row r="21" spans="2:2" x14ac:dyDescent="0.35">
      <c r="B21" s="4" t="s">
        <v>292</v>
      </c>
    </row>
    <row r="22" spans="2:2" x14ac:dyDescent="0.35">
      <c r="B22" s="4" t="s">
        <v>293</v>
      </c>
    </row>
    <row r="23" spans="2:2" x14ac:dyDescent="0.35">
      <c r="B23" s="4" t="s">
        <v>297</v>
      </c>
    </row>
  </sheetData>
  <mergeCells count="2">
    <mergeCell ref="C5:D5"/>
    <mergeCell ref="F5:G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592E-674C-40A4-9654-43FC411F0C34}">
  <sheetPr>
    <tabColor theme="5"/>
  </sheetPr>
  <dimension ref="B14"/>
  <sheetViews>
    <sheetView workbookViewId="0">
      <selection activeCell="B15" sqref="B15"/>
    </sheetView>
  </sheetViews>
  <sheetFormatPr defaultRowHeight="12.75" x14ac:dyDescent="0.35"/>
  <cols>
    <col min="1" max="1" width="1.86328125" style="1" customWidth="1"/>
    <col min="2" max="16384" width="9.06640625" style="1"/>
  </cols>
  <sheetData>
    <row r="14" spans="2:2" ht="50.25" x14ac:dyDescent="0.35">
      <c r="B14" s="40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9AD6-892F-4606-8622-1D69D8AAF272}">
  <sheetPr>
    <tabColor rgb="FF002060"/>
  </sheetPr>
  <dimension ref="A14"/>
  <sheetViews>
    <sheetView workbookViewId="0">
      <selection activeCell="A14" sqref="A14"/>
    </sheetView>
  </sheetViews>
  <sheetFormatPr defaultRowHeight="12.75" x14ac:dyDescent="0.35"/>
  <cols>
    <col min="1" max="16384" width="9.06640625" style="1"/>
  </cols>
  <sheetData>
    <row r="14" spans="1:1" ht="50.25" x14ac:dyDescent="0.35">
      <c r="A14" s="40" t="s">
        <v>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09EF-E805-468F-A14B-434F317DC0F6}">
  <dimension ref="A1:M18"/>
  <sheetViews>
    <sheetView workbookViewId="0">
      <selection activeCell="D24" sqref="D24"/>
    </sheetView>
  </sheetViews>
  <sheetFormatPr defaultColWidth="9.1328125" defaultRowHeight="11.65" x14ac:dyDescent="0.35"/>
  <cols>
    <col min="1" max="1" width="2" style="4" customWidth="1"/>
    <col min="2" max="2" width="17.796875" style="4" customWidth="1"/>
    <col min="3" max="4" width="12.86328125" style="4" customWidth="1"/>
    <col min="5" max="5" width="2" style="4" customWidth="1"/>
    <col min="6" max="7" width="12.86328125" style="4" customWidth="1"/>
    <col min="8" max="8" width="2" style="4" customWidth="1"/>
    <col min="9" max="10" width="9.1328125" style="4"/>
    <col min="11" max="11" width="2" style="4" customWidth="1"/>
    <col min="12" max="16384" width="9.1328125" style="4"/>
  </cols>
  <sheetData>
    <row r="1" spans="1:13" ht="15" x14ac:dyDescent="0.35">
      <c r="A1" s="1"/>
      <c r="B1" s="2" t="s">
        <v>298</v>
      </c>
    </row>
    <row r="2" spans="1:13" ht="15" x14ac:dyDescent="0.35">
      <c r="A2" s="1"/>
      <c r="B2" s="2"/>
    </row>
    <row r="3" spans="1:13" ht="12.75" x14ac:dyDescent="0.35">
      <c r="A3" s="1"/>
      <c r="B3" s="95" t="s">
        <v>157</v>
      </c>
    </row>
    <row r="5" spans="1:13" x14ac:dyDescent="0.35">
      <c r="C5" s="242" t="s">
        <v>52</v>
      </c>
      <c r="D5" s="242"/>
      <c r="F5" s="242" t="s">
        <v>53</v>
      </c>
      <c r="G5" s="242"/>
      <c r="I5" s="242" t="s">
        <v>54</v>
      </c>
      <c r="J5" s="242"/>
      <c r="L5" s="242" t="s">
        <v>299</v>
      </c>
      <c r="M5" s="242"/>
    </row>
    <row r="6" spans="1:13" x14ac:dyDescent="0.35">
      <c r="B6" s="44" t="s">
        <v>117</v>
      </c>
      <c r="C6" s="15"/>
      <c r="D6" s="15" t="s">
        <v>159</v>
      </c>
      <c r="F6" s="15"/>
      <c r="G6" s="15" t="s">
        <v>159</v>
      </c>
      <c r="I6" s="15"/>
      <c r="J6" s="15" t="s">
        <v>159</v>
      </c>
      <c r="L6" s="16"/>
      <c r="M6" s="16" t="s">
        <v>159</v>
      </c>
    </row>
    <row r="7" spans="1:13" x14ac:dyDescent="0.35">
      <c r="B7" s="4" t="s">
        <v>161</v>
      </c>
      <c r="C7" s="104"/>
      <c r="D7" s="104">
        <f>8164/133449*360</f>
        <v>22.023694445068902</v>
      </c>
      <c r="F7" s="139"/>
      <c r="G7" s="139">
        <f>10663/133449*360</f>
        <v>28.765146235640582</v>
      </c>
      <c r="I7" s="139"/>
      <c r="J7" s="139">
        <f>23929/114869*360</f>
        <v>74.993601406819948</v>
      </c>
      <c r="L7" s="140"/>
      <c r="M7" s="140">
        <f>D7+G7-J7</f>
        <v>-24.204760726110464</v>
      </c>
    </row>
    <row r="8" spans="1:13" x14ac:dyDescent="0.35">
      <c r="B8" s="4" t="s">
        <v>162</v>
      </c>
      <c r="C8" s="104"/>
      <c r="D8" s="104">
        <f>11102/141546*360</f>
        <v>28.236191768047135</v>
      </c>
      <c r="F8" s="104"/>
      <c r="G8" s="104">
        <f>8319/141546*360</f>
        <v>21.1580687550337</v>
      </c>
      <c r="I8" s="104"/>
      <c r="J8" s="104">
        <f>21296/126584*360</f>
        <v>60.565000315995704</v>
      </c>
      <c r="L8" s="140"/>
      <c r="M8" s="140">
        <f t="shared" ref="M8:M17" si="0">D8+G8-J8</f>
        <v>-11.170739792914873</v>
      </c>
    </row>
    <row r="9" spans="1:13" x14ac:dyDescent="0.35">
      <c r="B9" s="4" t="s">
        <v>163</v>
      </c>
      <c r="C9" s="104"/>
      <c r="D9" s="104">
        <f>7887/110936*360</f>
        <v>25.594216485180642</v>
      </c>
      <c r="F9" s="104"/>
      <c r="G9" s="104">
        <f>12922/110936*360</f>
        <v>41.933366986370515</v>
      </c>
      <c r="I9" s="104"/>
      <c r="J9" s="104">
        <f>21939/93975*360</f>
        <v>84.044054269752593</v>
      </c>
      <c r="L9" s="140"/>
      <c r="M9" s="140">
        <f t="shared" si="0"/>
        <v>-16.516470798201439</v>
      </c>
    </row>
    <row r="10" spans="1:13" x14ac:dyDescent="0.35">
      <c r="B10" s="4" t="s">
        <v>164</v>
      </c>
      <c r="C10" s="104"/>
      <c r="D10" s="104">
        <f>(2667)/98678*360</f>
        <v>9.7298283305296014</v>
      </c>
      <c r="F10" s="104"/>
      <c r="G10" s="104">
        <f>(12707)/98678*360</f>
        <v>46.358053466831514</v>
      </c>
      <c r="I10" s="104"/>
      <c r="J10" s="104">
        <f>9731/78744*360</f>
        <v>44.487960987503811</v>
      </c>
      <c r="L10" s="140"/>
      <c r="M10" s="140">
        <f t="shared" si="0"/>
        <v>11.599920809857302</v>
      </c>
    </row>
    <row r="11" spans="1:13" x14ac:dyDescent="0.35">
      <c r="B11" s="4" t="s">
        <v>165</v>
      </c>
      <c r="C11" s="104"/>
      <c r="D11" s="104">
        <f>13357/230682*360</f>
        <v>20.844799334148309</v>
      </c>
      <c r="F11" s="104"/>
      <c r="G11" s="104">
        <f>40415/230682*360</f>
        <v>63.071240929071188</v>
      </c>
      <c r="I11" s="104"/>
      <c r="J11" s="104">
        <f>23046/188140*360</f>
        <v>44.097799511002449</v>
      </c>
      <c r="L11" s="140"/>
      <c r="M11" s="140">
        <f t="shared" si="0"/>
        <v>39.818240752217051</v>
      </c>
    </row>
    <row r="12" spans="1:13" x14ac:dyDescent="0.35">
      <c r="B12" s="64" t="s">
        <v>166</v>
      </c>
      <c r="C12" s="141"/>
      <c r="D12" s="141">
        <f>1273/24339*360</f>
        <v>18.829039812646371</v>
      </c>
      <c r="E12" s="64"/>
      <c r="F12" s="141"/>
      <c r="G12" s="141">
        <f>3464/24339*360</f>
        <v>51.236287439911251</v>
      </c>
      <c r="H12" s="64"/>
      <c r="I12" s="141"/>
      <c r="J12" s="141">
        <f>6508/15071*360</f>
        <v>155.45617410921639</v>
      </c>
      <c r="L12" s="140"/>
      <c r="M12" s="140">
        <f t="shared" si="0"/>
        <v>-85.390846856658769</v>
      </c>
    </row>
    <row r="13" spans="1:13" x14ac:dyDescent="0.35">
      <c r="B13" s="4" t="s">
        <v>167</v>
      </c>
      <c r="C13" s="104"/>
      <c r="D13" s="104">
        <f>598/23491*360</f>
        <v>9.1643608190370784</v>
      </c>
      <c r="F13" s="104"/>
      <c r="G13" s="104">
        <f>3051/23491*360</f>
        <v>46.756630198799542</v>
      </c>
      <c r="I13" s="104"/>
      <c r="J13" s="104">
        <f>3048/16872*360</f>
        <v>65.035561877667135</v>
      </c>
      <c r="L13" s="140"/>
      <c r="M13" s="140">
        <f t="shared" si="0"/>
        <v>-9.1145708598305148</v>
      </c>
    </row>
    <row r="14" spans="1:13" x14ac:dyDescent="0.35">
      <c r="B14" s="4" t="s">
        <v>168</v>
      </c>
      <c r="C14" s="104"/>
      <c r="D14" s="104">
        <f>239410/3416890*360</f>
        <v>25.223990236735744</v>
      </c>
      <c r="F14" s="104"/>
      <c r="G14" s="104">
        <f>393765/3416890*360</f>
        <v>41.486673554021351</v>
      </c>
      <c r="I14" s="104"/>
      <c r="J14" s="104">
        <f>607505/1650860*360</f>
        <v>132.47749657754142</v>
      </c>
      <c r="L14" s="140"/>
      <c r="M14" s="140">
        <f t="shared" si="0"/>
        <v>-65.76683278678432</v>
      </c>
    </row>
    <row r="15" spans="1:13" x14ac:dyDescent="0.35">
      <c r="B15" s="4" t="s">
        <v>169</v>
      </c>
      <c r="C15" s="104"/>
      <c r="D15" s="104">
        <f>9024/119713*360</f>
        <v>27.136902424966379</v>
      </c>
      <c r="F15" s="104"/>
      <c r="G15" s="104">
        <f>21589/119713*360</f>
        <v>64.922272434906816</v>
      </c>
      <c r="I15" s="104"/>
      <c r="J15" s="104">
        <f>14016/90238*360</f>
        <v>55.91613289301624</v>
      </c>
      <c r="L15" s="140"/>
      <c r="M15" s="140">
        <f t="shared" si="0"/>
        <v>36.143041966856956</v>
      </c>
    </row>
    <row r="16" spans="1:13" x14ac:dyDescent="0.35">
      <c r="B16" s="64" t="s">
        <v>170</v>
      </c>
      <c r="C16" s="141"/>
      <c r="D16" s="141">
        <f>2171/14342*360</f>
        <v>54.494491702691398</v>
      </c>
      <c r="E16" s="64"/>
      <c r="F16" s="141"/>
      <c r="G16" s="141">
        <f>3397/14342*360</f>
        <v>85.268442337191473</v>
      </c>
      <c r="H16" s="64"/>
      <c r="I16" s="141"/>
      <c r="J16" s="141">
        <f>1925/11671*360</f>
        <v>59.377945334590009</v>
      </c>
      <c r="L16" s="140"/>
      <c r="M16" s="140">
        <f t="shared" si="0"/>
        <v>80.384988705292869</v>
      </c>
    </row>
    <row r="17" spans="2:13" x14ac:dyDescent="0.35">
      <c r="B17" s="4" t="s">
        <v>171</v>
      </c>
      <c r="C17" s="104"/>
      <c r="D17" s="104">
        <f>1127.9/18187.5*360</f>
        <v>22.325443298969073</v>
      </c>
      <c r="F17" s="104"/>
      <c r="G17" s="104">
        <f>928.4/18187.5*360</f>
        <v>18.376577319587629</v>
      </c>
      <c r="I17" s="104"/>
      <c r="J17" s="104">
        <f>2569.5/15593.7*360</f>
        <v>59.320110044441016</v>
      </c>
      <c r="L17" s="140"/>
      <c r="M17" s="140">
        <f t="shared" si="0"/>
        <v>-18.618089425884314</v>
      </c>
    </row>
    <row r="18" spans="2:13" x14ac:dyDescent="0.35">
      <c r="B18" s="18" t="s">
        <v>159</v>
      </c>
      <c r="C18" s="142"/>
      <c r="D18" s="142">
        <f>AVERAGE(D7:D17)</f>
        <v>23.963905332547327</v>
      </c>
      <c r="F18" s="142"/>
      <c r="G18" s="142">
        <f>AVERAGE(G7:G17)</f>
        <v>46.302978150669595</v>
      </c>
      <c r="I18" s="142"/>
      <c r="J18" s="142">
        <f>AVERAGE(J7:J17)</f>
        <v>75.979257938867875</v>
      </c>
      <c r="L18" s="143"/>
      <c r="M18" s="143">
        <f>AVERAGE(M7:M17)</f>
        <v>-5.7123744556509575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0C0C-F654-4F98-8BD8-5749EAF3BD3F}">
  <dimension ref="B1:U14"/>
  <sheetViews>
    <sheetView workbookViewId="0">
      <selection activeCell="J5" sqref="J5"/>
    </sheetView>
  </sheetViews>
  <sheetFormatPr defaultColWidth="9.1328125" defaultRowHeight="12.75" x14ac:dyDescent="0.35"/>
  <cols>
    <col min="1" max="1" width="2" style="120" customWidth="1"/>
    <col min="2" max="2" width="19.1328125" style="120" customWidth="1"/>
    <col min="3" max="3" width="9.796875" style="120" customWidth="1"/>
    <col min="4" max="7" width="5.53125" style="120" bestFit="1" customWidth="1"/>
    <col min="8" max="8" width="6.06640625" style="120" bestFit="1" customWidth="1"/>
    <col min="9" max="9" width="5.53125" style="120" bestFit="1" customWidth="1"/>
    <col min="10" max="14" width="9.796875" style="120" customWidth="1"/>
    <col min="15" max="16384" width="9.1328125" style="120"/>
  </cols>
  <sheetData>
    <row r="1" spans="2:21" ht="15" x14ac:dyDescent="0.4">
      <c r="B1" s="121" t="s">
        <v>300</v>
      </c>
    </row>
    <row r="3" spans="2:21" x14ac:dyDescent="0.35">
      <c r="C3" s="242" t="s">
        <v>301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52"/>
      <c r="U3" s="52"/>
    </row>
    <row r="4" spans="2:2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2:21" x14ac:dyDescent="0.35">
      <c r="B5" s="4" t="s">
        <v>302</v>
      </c>
      <c r="C5" s="144">
        <f>'Balance Sheet Input'!C6/1000</f>
        <v>226.60400000000001</v>
      </c>
      <c r="D5" s="144">
        <f>'Balance Sheet Input'!D6/1000</f>
        <v>168.965</v>
      </c>
      <c r="E5" s="144">
        <f>'Balance Sheet Input'!E6/1000</f>
        <v>499.142</v>
      </c>
      <c r="F5" s="144">
        <f>'Balance Sheet Input'!F6/1000</f>
        <v>515.38099999999997</v>
      </c>
      <c r="G5" s="144">
        <f>'Balance Sheet Input'!G6/1000</f>
        <v>949.02200000000005</v>
      </c>
      <c r="H5" s="144">
        <f>'Balance Sheet Input'!H6/1000</f>
        <v>1324</v>
      </c>
      <c r="I5" s="144">
        <f>'Balance Sheet Input'!I6/1000</f>
        <v>1886</v>
      </c>
      <c r="J5" s="145">
        <f>J11*'P&amp;L'!J5/360</f>
        <v>2466.8469661480267</v>
      </c>
      <c r="K5" s="145">
        <f>K11*'P&amp;L'!K5/360</f>
        <v>3002.1748282215694</v>
      </c>
      <c r="L5" s="145">
        <f>L11*'P&amp;L'!L5/360</f>
        <v>4217.825115675676</v>
      </c>
      <c r="M5" s="145">
        <f>M11*'P&amp;L'!M5/360</f>
        <v>5278.8860443487483</v>
      </c>
      <c r="N5" s="145">
        <f>N11*'P&amp;L'!N5/360</f>
        <v>6288.6719603640431</v>
      </c>
      <c r="O5" s="145">
        <f>O11*'P&amp;L'!O5/360</f>
        <v>7150.0890461177887</v>
      </c>
      <c r="P5" s="145">
        <f>P11*'P&amp;L'!P5/360</f>
        <v>7774.9127499733213</v>
      </c>
      <c r="Q5" s="145">
        <f>Q11*'P&amp;L'!Q5/360</f>
        <v>8365.7910659269965</v>
      </c>
      <c r="R5" s="145">
        <f>R11*'P&amp;L'!R5/360</f>
        <v>8840.5493620571997</v>
      </c>
      <c r="S5" s="145">
        <f>S11*'P&amp;L'!S5/360</f>
        <v>9275.1848463126844</v>
      </c>
      <c r="T5" s="145">
        <f>T11*'P&amp;L'!T5/360</f>
        <v>9585.294252233547</v>
      </c>
      <c r="U5" s="145">
        <f>U11*'P&amp;L'!U5/360</f>
        <v>9907.2552491745537</v>
      </c>
    </row>
    <row r="6" spans="2:21" x14ac:dyDescent="0.35">
      <c r="B6" s="4" t="s">
        <v>25</v>
      </c>
      <c r="C6" s="144">
        <f>'Balance Sheet Input'!C7/1000</f>
        <v>953.67499999999995</v>
      </c>
      <c r="D6" s="144">
        <f>'Balance Sheet Input'!D7/1000</f>
        <v>1277.838</v>
      </c>
      <c r="E6" s="144">
        <f>'Balance Sheet Input'!E7/1000</f>
        <v>2067.4540000000002</v>
      </c>
      <c r="F6" s="144">
        <f>'Balance Sheet Input'!F7/1000</f>
        <v>2263.5369999999998</v>
      </c>
      <c r="G6" s="144">
        <f>'Balance Sheet Input'!G7/1000</f>
        <v>3113.4459999999999</v>
      </c>
      <c r="H6" s="144">
        <f>'Balance Sheet Input'!H7/1000</f>
        <v>3552</v>
      </c>
      <c r="I6" s="144">
        <f>'Balance Sheet Input'!I7/1000</f>
        <v>4101</v>
      </c>
      <c r="J6" s="145">
        <f>-J12*'P&amp;L'!J6/360</f>
        <v>11671.742605722373</v>
      </c>
      <c r="K6" s="145">
        <f>-K12*'P&amp;L'!K6/360</f>
        <v>14128.788299299305</v>
      </c>
      <c r="L6" s="145">
        <f>-L12*'P&amp;L'!L6/360</f>
        <v>19781.104962822421</v>
      </c>
      <c r="M6" s="145">
        <f>-M12*'P&amp;L'!M6/360</f>
        <v>24702.555136109924</v>
      </c>
      <c r="N6" s="145">
        <f>-N12*'P&amp;L'!N6/360</f>
        <v>29340.800309222926</v>
      </c>
      <c r="O6" s="145">
        <f>-O12*'P&amp;L'!O6/360</f>
        <v>33344.867911365887</v>
      </c>
      <c r="P6" s="145">
        <f>-P12*'P&amp;L'!P6/360</f>
        <v>36251.758280393769</v>
      </c>
      <c r="Q6" s="145">
        <f>-Q12*'P&amp;L'!Q6/360</f>
        <v>39013.953426221487</v>
      </c>
      <c r="R6" s="145">
        <f>-R12*'P&amp;L'!R6/360</f>
        <v>41240.295061040844</v>
      </c>
      <c r="S6" s="145">
        <f>-S12*'P&amp;L'!S6/360</f>
        <v>43300.186258308633</v>
      </c>
      <c r="T6" s="145">
        <f>-T12*'P&amp;L'!T6/360</f>
        <v>44787.53831914172</v>
      </c>
      <c r="U6" s="145">
        <f>-U12*'P&amp;L'!U6/360</f>
        <v>46334.660878168601</v>
      </c>
    </row>
    <row r="7" spans="2:21" x14ac:dyDescent="0.35">
      <c r="B7" s="4" t="s">
        <v>303</v>
      </c>
      <c r="C7" s="144">
        <f>'Balance Sheet Input'!C20/1000</f>
        <v>777.94600000000003</v>
      </c>
      <c r="D7" s="144">
        <f>'Balance Sheet Input'!D20/1000</f>
        <v>916.14800000000002</v>
      </c>
      <c r="E7" s="144">
        <f>'Balance Sheet Input'!E20/1000</f>
        <v>1860.3409999999999</v>
      </c>
      <c r="F7" s="144">
        <f>'Balance Sheet Input'!F20/1000</f>
        <v>2390.25</v>
      </c>
      <c r="G7" s="144">
        <f>'Balance Sheet Input'!G20/1000</f>
        <v>3404.451</v>
      </c>
      <c r="H7" s="144">
        <f>'Balance Sheet Input'!H20/1000</f>
        <v>3771</v>
      </c>
      <c r="I7" s="144">
        <f>'Balance Sheet Input'!I20/1000</f>
        <v>6051</v>
      </c>
      <c r="J7" s="145">
        <f>-J13*('P&amp;L'!J$6)/360</f>
        <v>10230.300226574771</v>
      </c>
      <c r="K7" s="145">
        <f>-K13*('P&amp;L'!K$6)/360</f>
        <v>12383.904530989514</v>
      </c>
      <c r="L7" s="145">
        <f>-L13*('P&amp;L'!L$6)/360</f>
        <v>17338.168722453323</v>
      </c>
      <c r="M7" s="145">
        <f>-M13*('P&amp;L'!M$6)/360</f>
        <v>21651.827318572057</v>
      </c>
      <c r="N7" s="145">
        <f>-N13*('P&amp;L'!N$6)/360</f>
        <v>25717.256299343393</v>
      </c>
      <c r="O7" s="145">
        <f>-O13*('P&amp;L'!O$6)/360</f>
        <v>29226.827670231985</v>
      </c>
      <c r="P7" s="145">
        <f>-P13*('P&amp;L'!P$6)/360</f>
        <v>31774.721519974173</v>
      </c>
      <c r="Q7" s="145">
        <f>-Q13*('P&amp;L'!Q$6)/360</f>
        <v>34195.78978550899</v>
      </c>
      <c r="R7" s="145">
        <f>-R13*('P&amp;L'!R$6)/360</f>
        <v>36147.18162994177</v>
      </c>
      <c r="S7" s="145">
        <f>-S13*('P&amp;L'!S$6)/360</f>
        <v>37952.679411549499</v>
      </c>
      <c r="T7" s="145">
        <f>-T13*('P&amp;L'!T$6)/360</f>
        <v>39256.345765318903</v>
      </c>
      <c r="U7" s="145">
        <f>-U13*('P&amp;L'!U$6)/360</f>
        <v>40612.401052075467</v>
      </c>
    </row>
    <row r="8" spans="2:21" ht="13.15" thickBot="1" x14ac:dyDescent="0.4">
      <c r="B8" s="45" t="s">
        <v>299</v>
      </c>
      <c r="C8" s="46">
        <f t="shared" ref="C8:H8" si="0">C5+C6-C7</f>
        <v>402.33299999999997</v>
      </c>
      <c r="D8" s="46">
        <f t="shared" si="0"/>
        <v>530.65499999999986</v>
      </c>
      <c r="E8" s="46">
        <f t="shared" si="0"/>
        <v>706.25500000000011</v>
      </c>
      <c r="F8" s="46">
        <f t="shared" si="0"/>
        <v>388.66799999999967</v>
      </c>
      <c r="G8" s="46">
        <f t="shared" si="0"/>
        <v>658.01699999999983</v>
      </c>
      <c r="H8" s="46">
        <f t="shared" si="0"/>
        <v>1105</v>
      </c>
      <c r="I8" s="46">
        <f t="shared" ref="I8:S8" si="1">I5+I6-I7</f>
        <v>-64</v>
      </c>
      <c r="J8" s="46">
        <f t="shared" si="1"/>
        <v>3908.2893452956287</v>
      </c>
      <c r="K8" s="46">
        <f t="shared" si="1"/>
        <v>4747.0585965313603</v>
      </c>
      <c r="L8" s="46">
        <f t="shared" si="1"/>
        <v>6660.7613560447717</v>
      </c>
      <c r="M8" s="46">
        <f t="shared" si="1"/>
        <v>8329.6138618866134</v>
      </c>
      <c r="N8" s="46">
        <f t="shared" si="1"/>
        <v>9912.2159702435783</v>
      </c>
      <c r="O8" s="46">
        <f t="shared" si="1"/>
        <v>11268.129287251693</v>
      </c>
      <c r="P8" s="46">
        <f t="shared" si="1"/>
        <v>12251.949510392918</v>
      </c>
      <c r="Q8" s="46">
        <f t="shared" si="1"/>
        <v>13183.954706639495</v>
      </c>
      <c r="R8" s="46">
        <f t="shared" si="1"/>
        <v>13933.662793156276</v>
      </c>
      <c r="S8" s="46">
        <f t="shared" si="1"/>
        <v>14622.691693071814</v>
      </c>
      <c r="T8" s="46">
        <f t="shared" ref="T8:U8" si="2">T5+T6-T7</f>
        <v>15116.486806056368</v>
      </c>
      <c r="U8" s="46">
        <f t="shared" si="2"/>
        <v>15629.515075267685</v>
      </c>
    </row>
    <row r="9" spans="2:2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2:21" x14ac:dyDescent="0.35">
      <c r="B10" s="107" t="s">
        <v>304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2:21" x14ac:dyDescent="0.35">
      <c r="B11" s="48" t="s">
        <v>52</v>
      </c>
      <c r="C11" s="146">
        <f>'Balance Sheet Input'!C43</f>
        <v>25.506053735106413</v>
      </c>
      <c r="D11" s="146">
        <f>'Balance Sheet Input'!D43</f>
        <v>15.033866572747325</v>
      </c>
      <c r="E11" s="146">
        <f>'Balance Sheet Input'!E43</f>
        <v>25.66967594325364</v>
      </c>
      <c r="F11" s="146">
        <f>'Balance Sheet Input'!F43</f>
        <v>15.77864519794662</v>
      </c>
      <c r="G11" s="146">
        <f>'Balance Sheet Input'!G43</f>
        <v>15.919279326831946</v>
      </c>
      <c r="H11" s="146">
        <f>'Balance Sheet Input'!H43</f>
        <v>19.392953047440802</v>
      </c>
      <c r="I11" s="146">
        <f>'Balance Sheet Input'!I43</f>
        <v>21.529680365296802</v>
      </c>
      <c r="J11" s="146">
        <f t="shared" ref="J11:U13" si="3">AVERAGE($C11:$G11)</f>
        <v>19.581504155177186</v>
      </c>
      <c r="K11" s="146">
        <f t="shared" si="3"/>
        <v>19.581504155177186</v>
      </c>
      <c r="L11" s="146">
        <f t="shared" si="3"/>
        <v>19.581504155177186</v>
      </c>
      <c r="M11" s="146">
        <f t="shared" si="3"/>
        <v>19.581504155177186</v>
      </c>
      <c r="N11" s="146">
        <f t="shared" si="3"/>
        <v>19.581504155177186</v>
      </c>
      <c r="O11" s="146">
        <f t="shared" si="3"/>
        <v>19.581504155177186</v>
      </c>
      <c r="P11" s="146">
        <f t="shared" si="3"/>
        <v>19.581504155177186</v>
      </c>
      <c r="Q11" s="146">
        <f t="shared" si="3"/>
        <v>19.581504155177186</v>
      </c>
      <c r="R11" s="146">
        <f t="shared" si="3"/>
        <v>19.581504155177186</v>
      </c>
      <c r="S11" s="146">
        <f t="shared" si="3"/>
        <v>19.581504155177186</v>
      </c>
      <c r="T11" s="146">
        <f t="shared" si="3"/>
        <v>19.581504155177186</v>
      </c>
      <c r="U11" s="146">
        <f t="shared" si="3"/>
        <v>19.581504155177186</v>
      </c>
    </row>
    <row r="12" spans="2:21" x14ac:dyDescent="0.35">
      <c r="B12" s="48" t="s">
        <v>53</v>
      </c>
      <c r="C12" s="146">
        <f>'Balance Sheet Input'!C44</f>
        <v>148.19580564470351</v>
      </c>
      <c r="D12" s="146">
        <f>'Balance Sheet Input'!D44</f>
        <v>147.32375944829212</v>
      </c>
      <c r="E12" s="146">
        <f>'Balance Sheet Input'!E44</f>
        <v>137.80793667692734</v>
      </c>
      <c r="F12" s="146">
        <f>'Balance Sheet Input'!F44</f>
        <v>85.449953986173199</v>
      </c>
      <c r="G12" s="146">
        <f>'Balance Sheet Input'!G44</f>
        <v>64.344949009563962</v>
      </c>
      <c r="H12" s="146">
        <f>'Balance Sheet Input'!H44</f>
        <v>62.34921254083573</v>
      </c>
      <c r="I12" s="146">
        <f>'Balance Sheet Input'!I44</f>
        <v>59.277282582510239</v>
      </c>
      <c r="J12" s="146">
        <f t="shared" si="3"/>
        <v>116.62448095313202</v>
      </c>
      <c r="K12" s="146">
        <f t="shared" si="3"/>
        <v>116.62448095313202</v>
      </c>
      <c r="L12" s="146">
        <f t="shared" si="3"/>
        <v>116.62448095313202</v>
      </c>
      <c r="M12" s="146">
        <f t="shared" si="3"/>
        <v>116.62448095313202</v>
      </c>
      <c r="N12" s="146">
        <f t="shared" si="3"/>
        <v>116.62448095313202</v>
      </c>
      <c r="O12" s="146">
        <f t="shared" si="3"/>
        <v>116.62448095313202</v>
      </c>
      <c r="P12" s="146">
        <f t="shared" si="3"/>
        <v>116.62448095313202</v>
      </c>
      <c r="Q12" s="146">
        <f t="shared" si="3"/>
        <v>116.62448095313202</v>
      </c>
      <c r="R12" s="146">
        <f t="shared" si="3"/>
        <v>116.62448095313202</v>
      </c>
      <c r="S12" s="146">
        <f t="shared" si="3"/>
        <v>116.62448095313202</v>
      </c>
      <c r="T12" s="146">
        <f t="shared" si="3"/>
        <v>116.62448095313202</v>
      </c>
      <c r="U12" s="146">
        <f t="shared" si="3"/>
        <v>116.62448095313202</v>
      </c>
    </row>
    <row r="13" spans="2:21" x14ac:dyDescent="0.35">
      <c r="B13" s="48" t="s">
        <v>54</v>
      </c>
      <c r="C13" s="146">
        <f>'Balance Sheet Input'!C45</f>
        <v>120.88849368817945</v>
      </c>
      <c r="D13" s="146">
        <f>'Balance Sheet Input'!D45</f>
        <v>105.62400521117225</v>
      </c>
      <c r="E13" s="146">
        <f>'Balance Sheet Input'!E45</f>
        <v>124.00264031291226</v>
      </c>
      <c r="F13" s="146">
        <f>'Balance Sheet Input'!F45</f>
        <v>90.233449912879919</v>
      </c>
      <c r="G13" s="146">
        <f>'Balance Sheet Input'!G45</f>
        <v>70.359089574882319</v>
      </c>
      <c r="H13" s="146">
        <f>'Balance Sheet Input'!H45</f>
        <v>66.193378516748751</v>
      </c>
      <c r="I13" s="146">
        <f>'Balance Sheet Input'!I45</f>
        <v>87.463261864610942</v>
      </c>
      <c r="J13" s="146">
        <f t="shared" si="3"/>
        <v>102.22153574000524</v>
      </c>
      <c r="K13" s="146">
        <f t="shared" si="3"/>
        <v>102.22153574000524</v>
      </c>
      <c r="L13" s="146">
        <f t="shared" si="3"/>
        <v>102.22153574000524</v>
      </c>
      <c r="M13" s="146">
        <f t="shared" si="3"/>
        <v>102.22153574000524</v>
      </c>
      <c r="N13" s="146">
        <f t="shared" si="3"/>
        <v>102.22153574000524</v>
      </c>
      <c r="O13" s="146">
        <f t="shared" si="3"/>
        <v>102.22153574000524</v>
      </c>
      <c r="P13" s="146">
        <f t="shared" si="3"/>
        <v>102.22153574000524</v>
      </c>
      <c r="Q13" s="146">
        <f t="shared" si="3"/>
        <v>102.22153574000524</v>
      </c>
      <c r="R13" s="146">
        <f t="shared" si="3"/>
        <v>102.22153574000524</v>
      </c>
      <c r="S13" s="146">
        <f t="shared" si="3"/>
        <v>102.22153574000524</v>
      </c>
      <c r="T13" s="146">
        <f t="shared" si="3"/>
        <v>102.22153574000524</v>
      </c>
      <c r="U13" s="146">
        <f t="shared" si="3"/>
        <v>102.22153574000524</v>
      </c>
    </row>
    <row r="14" spans="2:21" x14ac:dyDescent="0.35">
      <c r="B14" s="147" t="s">
        <v>299</v>
      </c>
      <c r="C14" s="146">
        <f>C11+C12-C13</f>
        <v>52.813365691630466</v>
      </c>
      <c r="D14" s="146">
        <f>D11+D12-D13</f>
        <v>56.73362080986719</v>
      </c>
      <c r="E14" s="146">
        <f>E11+E12-E13</f>
        <v>39.474972307268729</v>
      </c>
      <c r="F14" s="146">
        <f>F11+F12-F13</f>
        <v>10.995149271239896</v>
      </c>
      <c r="G14" s="146">
        <f t="shared" ref="G14:I14" si="4">G11+G12-G13</f>
        <v>9.9051387615135837</v>
      </c>
      <c r="H14" s="146">
        <f t="shared" si="4"/>
        <v>15.548787071527784</v>
      </c>
      <c r="I14" s="146">
        <f t="shared" si="4"/>
        <v>-6.6562989168039053</v>
      </c>
      <c r="J14" s="146">
        <f t="shared" ref="J14" si="5">J11+J12-J13</f>
        <v>33.984449368303984</v>
      </c>
      <c r="K14" s="146">
        <f t="shared" ref="K14" si="6">K11+K12-K13</f>
        <v>33.984449368303984</v>
      </c>
      <c r="L14" s="146">
        <f t="shared" ref="L14" si="7">L11+L12-L13</f>
        <v>33.984449368303984</v>
      </c>
      <c r="M14" s="146">
        <f t="shared" ref="M14" si="8">M11+M12-M13</f>
        <v>33.984449368303984</v>
      </c>
      <c r="N14" s="146">
        <f t="shared" ref="N14" si="9">N11+N12-N13</f>
        <v>33.984449368303984</v>
      </c>
      <c r="O14" s="146">
        <f t="shared" ref="O14" si="10">O11+O12-O13</f>
        <v>33.984449368303984</v>
      </c>
      <c r="P14" s="146">
        <f t="shared" ref="P14" si="11">P11+P12-P13</f>
        <v>33.984449368303984</v>
      </c>
      <c r="Q14" s="146">
        <f t="shared" ref="Q14" si="12">Q11+Q12-Q13</f>
        <v>33.984449368303984</v>
      </c>
      <c r="R14" s="146">
        <f t="shared" ref="R14" si="13">R11+R12-R13</f>
        <v>33.984449368303984</v>
      </c>
      <c r="S14" s="146">
        <f t="shared" ref="S14" si="14">S11+S12-S13</f>
        <v>33.984449368303984</v>
      </c>
      <c r="T14" s="146">
        <f t="shared" ref="T14" si="15">T11+T12-T13</f>
        <v>33.984449368303984</v>
      </c>
      <c r="U14" s="146">
        <f t="shared" ref="U14" si="16">U11+U12-U13</f>
        <v>33.984449368303984</v>
      </c>
    </row>
  </sheetData>
  <mergeCells count="1">
    <mergeCell ref="C3:S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D3F9-EECC-4520-A021-74CA7B465D38}">
  <dimension ref="A1"/>
  <sheetViews>
    <sheetView workbookViewId="0">
      <selection activeCell="B2" sqref="B2"/>
    </sheetView>
  </sheetViews>
  <sheetFormatPr defaultRowHeight="12.75" x14ac:dyDescent="0.35"/>
  <cols>
    <col min="1" max="1" width="1.86328125" style="1" customWidth="1"/>
    <col min="2" max="16384" width="9.066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CD5F-65BF-43B1-BF99-6D5239958B48}">
  <sheetPr>
    <tabColor theme="5"/>
  </sheetPr>
  <dimension ref="B14"/>
  <sheetViews>
    <sheetView workbookViewId="0">
      <selection activeCell="B15" sqref="B15"/>
    </sheetView>
  </sheetViews>
  <sheetFormatPr defaultRowHeight="12.75" x14ac:dyDescent="0.35"/>
  <cols>
    <col min="1" max="1" width="1.86328125" style="1" customWidth="1"/>
    <col min="2" max="16384" width="9.06640625" style="1"/>
  </cols>
  <sheetData>
    <row r="14" spans="2:2" ht="50.25" x14ac:dyDescent="0.35">
      <c r="B14" s="40" t="s">
        <v>236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D26-C66B-4DB1-B272-D026D48808D3}">
  <dimension ref="A1:U28"/>
  <sheetViews>
    <sheetView workbookViewId="0">
      <selection activeCell="F43" sqref="F43"/>
    </sheetView>
  </sheetViews>
  <sheetFormatPr defaultColWidth="9.1328125" defaultRowHeight="11.65" x14ac:dyDescent="0.35"/>
  <cols>
    <col min="1" max="1" width="2" style="7" customWidth="1"/>
    <col min="2" max="2" width="36.53125" style="7" customWidth="1"/>
    <col min="3" max="12" width="9.796875" style="7" customWidth="1"/>
    <col min="13" max="16" width="9.1328125" style="7"/>
    <col min="17" max="21" width="9" style="7" customWidth="1"/>
    <col min="22" max="16384" width="9.1328125" style="7"/>
  </cols>
  <sheetData>
    <row r="1" spans="1:21" ht="15" x14ac:dyDescent="0.4">
      <c r="B1" s="121" t="s">
        <v>235</v>
      </c>
      <c r="C1" s="148"/>
    </row>
    <row r="3" spans="1:21" x14ac:dyDescent="0.35">
      <c r="B3" s="7" t="s">
        <v>305</v>
      </c>
    </row>
    <row r="4" spans="1:21" x14ac:dyDescent="0.35">
      <c r="B4" s="7" t="s">
        <v>306</v>
      </c>
      <c r="C4" s="149">
        <v>0.5</v>
      </c>
    </row>
    <row r="5" spans="1:21" x14ac:dyDescent="0.35">
      <c r="B5" s="7" t="s">
        <v>307</v>
      </c>
      <c r="C5" s="149">
        <v>0.5</v>
      </c>
    </row>
    <row r="6" spans="1:21" x14ac:dyDescent="0.35">
      <c r="C6" s="150"/>
    </row>
    <row r="7" spans="1:21" x14ac:dyDescent="0.35">
      <c r="B7" s="7" t="s">
        <v>367</v>
      </c>
      <c r="C7" s="151">
        <f>Drivers!$C$11</f>
        <v>4.258E-2</v>
      </c>
    </row>
    <row r="8" spans="1:21" x14ac:dyDescent="0.35">
      <c r="C8" s="150"/>
    </row>
    <row r="9" spans="1:21" x14ac:dyDescent="0.35">
      <c r="C9" s="242" t="s">
        <v>308</v>
      </c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52"/>
      <c r="S9" s="52"/>
      <c r="T9" s="52"/>
      <c r="U9" s="52"/>
    </row>
    <row r="10" spans="1:21" ht="23.25" x14ac:dyDescent="0.35">
      <c r="B10" s="14" t="s">
        <v>241</v>
      </c>
      <c r="C10" s="31" t="s">
        <v>61</v>
      </c>
      <c r="D10" s="31" t="s">
        <v>62</v>
      </c>
      <c r="E10" s="31" t="s">
        <v>63</v>
      </c>
      <c r="F10" s="31" t="s">
        <v>64</v>
      </c>
      <c r="G10" s="31" t="s">
        <v>109</v>
      </c>
      <c r="H10" s="31" t="s">
        <v>110</v>
      </c>
      <c r="I10" s="31" t="s">
        <v>111</v>
      </c>
      <c r="J10" s="32" t="s">
        <v>120</v>
      </c>
      <c r="K10" s="32" t="s">
        <v>121</v>
      </c>
      <c r="L10" s="32" t="s">
        <v>122</v>
      </c>
      <c r="M10" s="32" t="s">
        <v>123</v>
      </c>
      <c r="N10" s="32" t="s">
        <v>124</v>
      </c>
      <c r="O10" s="32" t="s">
        <v>125</v>
      </c>
      <c r="P10" s="32" t="s">
        <v>126</v>
      </c>
      <c r="Q10" s="32" t="s">
        <v>127</v>
      </c>
      <c r="R10" s="32" t="s">
        <v>140</v>
      </c>
      <c r="S10" s="32" t="s">
        <v>141</v>
      </c>
      <c r="T10" s="32" t="s">
        <v>142</v>
      </c>
      <c r="U10" s="32" t="s">
        <v>143</v>
      </c>
    </row>
    <row r="11" spans="1:21" s="153" customFormat="1" x14ac:dyDescent="0.35">
      <c r="A11" s="7"/>
      <c r="B11" s="4" t="s">
        <v>42</v>
      </c>
      <c r="C11" s="132">
        <f>'Balance Sheet Input'!C28/1000</f>
        <v>1818.7850000000001</v>
      </c>
      <c r="D11" s="132">
        <f>'Balance Sheet Input'!D28/1000</f>
        <v>2021.0930000000001</v>
      </c>
      <c r="E11" s="132">
        <f>'Balance Sheet Input'!E28/1000</f>
        <v>5860.049</v>
      </c>
      <c r="F11" s="132">
        <f>'Balance Sheet Input'!F28/1000</f>
        <v>9415.7000000000007</v>
      </c>
      <c r="G11" s="132">
        <f>'Balance Sheet Input'!G28/1000</f>
        <v>9403.6720000000005</v>
      </c>
      <c r="H11" s="132">
        <f>'Balance Sheet Input'!H28/1000</f>
        <v>11634</v>
      </c>
      <c r="I11" s="132">
        <f>'Balance Sheet Input'!I28/1000</f>
        <v>9556</v>
      </c>
      <c r="J11" s="152">
        <f>I11+J19</f>
        <v>12210.371287415406</v>
      </c>
      <c r="K11" s="152">
        <f>J11+K19</f>
        <v>12488.689967987817</v>
      </c>
      <c r="L11" s="152">
        <f t="shared" ref="L11:U11" si="0">K11+L19</f>
        <v>13739.950112885776</v>
      </c>
      <c r="M11" s="152">
        <f t="shared" si="0"/>
        <v>13910.039722568896</v>
      </c>
      <c r="N11" s="152">
        <f t="shared" si="0"/>
        <v>13910.039722568896</v>
      </c>
      <c r="O11" s="152">
        <f t="shared" si="0"/>
        <v>13910.039722568896</v>
      </c>
      <c r="P11" s="152">
        <f t="shared" si="0"/>
        <v>13910.039722568896</v>
      </c>
      <c r="Q11" s="152">
        <f t="shared" si="0"/>
        <v>13910.039722568896</v>
      </c>
      <c r="R11" s="152">
        <f t="shared" si="0"/>
        <v>13910.039722568896</v>
      </c>
      <c r="S11" s="152">
        <f t="shared" si="0"/>
        <v>13910.039722568896</v>
      </c>
      <c r="T11" s="152">
        <f t="shared" si="0"/>
        <v>13910.039722568896</v>
      </c>
      <c r="U11" s="152">
        <f t="shared" si="0"/>
        <v>13910.039722568896</v>
      </c>
    </row>
    <row r="12" spans="1:21" s="153" customFormat="1" x14ac:dyDescent="0.35">
      <c r="A12" s="7"/>
      <c r="B12" s="7" t="str">
        <f>'[1]P&amp;L Input'!B17</f>
        <v>Interest expense</v>
      </c>
      <c r="C12" s="132">
        <f>'P&amp;L Input'!C17/1000</f>
        <v>-100.886</v>
      </c>
      <c r="D12" s="132">
        <f>'P&amp;L Input'!D17/1000</f>
        <v>-118.851</v>
      </c>
      <c r="E12" s="132">
        <f>'P&amp;L Input'!E17/1000</f>
        <v>-198.81</v>
      </c>
      <c r="F12" s="132">
        <f>'P&amp;L Input'!F17/1000</f>
        <v>-471.25900000000001</v>
      </c>
      <c r="G12" s="132">
        <f>'P&amp;L Input'!G17/1000</f>
        <v>-663.07100000000003</v>
      </c>
      <c r="H12" s="132">
        <f>'P&amp;L Input'!H17/1000</f>
        <v>-685</v>
      </c>
      <c r="I12" s="132">
        <f>'P&amp;L Input'!I17/1000</f>
        <v>-748</v>
      </c>
      <c r="J12" s="154">
        <f>-J13*I11</f>
        <v>-406.89447999999999</v>
      </c>
      <c r="K12" s="154">
        <f t="shared" ref="K12:U12" si="1">-K13*J11</f>
        <v>-519.917609418148</v>
      </c>
      <c r="L12" s="154">
        <f t="shared" si="1"/>
        <v>-531.76841883692123</v>
      </c>
      <c r="M12" s="154">
        <f t="shared" si="1"/>
        <v>-585.04707580667628</v>
      </c>
      <c r="N12" s="154">
        <f t="shared" si="1"/>
        <v>-592.28949138698363</v>
      </c>
      <c r="O12" s="154">
        <f t="shared" si="1"/>
        <v>-592.28949138698363</v>
      </c>
      <c r="P12" s="154">
        <f t="shared" si="1"/>
        <v>-592.28949138698363</v>
      </c>
      <c r="Q12" s="154">
        <f t="shared" si="1"/>
        <v>-592.28949138698363</v>
      </c>
      <c r="R12" s="154">
        <f t="shared" si="1"/>
        <v>-592.28949138698363</v>
      </c>
      <c r="S12" s="154">
        <f t="shared" si="1"/>
        <v>-592.28949138698363</v>
      </c>
      <c r="T12" s="154">
        <f t="shared" si="1"/>
        <v>-592.28949138698363</v>
      </c>
      <c r="U12" s="154">
        <f t="shared" si="1"/>
        <v>-592.28949138698363</v>
      </c>
    </row>
    <row r="13" spans="1:21" x14ac:dyDescent="0.35">
      <c r="B13" s="7" t="s">
        <v>309</v>
      </c>
      <c r="C13" s="155">
        <f>C12/C11</f>
        <v>-5.546889819302446E-2</v>
      </c>
      <c r="D13" s="155">
        <f>D12/D11</f>
        <v>-5.8805309800192267E-2</v>
      </c>
      <c r="E13" s="155">
        <f>E12/E11</f>
        <v>-3.3926337476017691E-2</v>
      </c>
      <c r="F13" s="155">
        <f>F12/F11</f>
        <v>-5.0050341450980806E-2</v>
      </c>
      <c r="G13" s="155">
        <v>-7.0999999999999994E-2</v>
      </c>
      <c r="H13" s="155">
        <v>-5.8999999999999997E-2</v>
      </c>
      <c r="I13" s="155">
        <v>-7.8E-2</v>
      </c>
      <c r="J13" s="157">
        <f t="shared" ref="J13:U13" si="2">$C$7</f>
        <v>4.258E-2</v>
      </c>
      <c r="K13" s="157">
        <f t="shared" si="2"/>
        <v>4.258E-2</v>
      </c>
      <c r="L13" s="157">
        <f t="shared" si="2"/>
        <v>4.258E-2</v>
      </c>
      <c r="M13" s="157">
        <f t="shared" si="2"/>
        <v>4.258E-2</v>
      </c>
      <c r="N13" s="157">
        <f t="shared" si="2"/>
        <v>4.258E-2</v>
      </c>
      <c r="O13" s="157">
        <f t="shared" si="2"/>
        <v>4.258E-2</v>
      </c>
      <c r="P13" s="157">
        <f t="shared" si="2"/>
        <v>4.258E-2</v>
      </c>
      <c r="Q13" s="157">
        <f t="shared" si="2"/>
        <v>4.258E-2</v>
      </c>
      <c r="R13" s="157">
        <f t="shared" si="2"/>
        <v>4.258E-2</v>
      </c>
      <c r="S13" s="157">
        <f t="shared" si="2"/>
        <v>4.258E-2</v>
      </c>
      <c r="T13" s="157">
        <f t="shared" si="2"/>
        <v>4.258E-2</v>
      </c>
      <c r="U13" s="157">
        <f t="shared" si="2"/>
        <v>4.258E-2</v>
      </c>
    </row>
    <row r="14" spans="1:21" x14ac:dyDescent="0.35">
      <c r="C14" s="151"/>
      <c r="D14" s="151"/>
      <c r="E14" s="151"/>
      <c r="F14" s="151"/>
      <c r="G14" s="151"/>
      <c r="H14" s="151"/>
      <c r="I14" s="151"/>
      <c r="J14" s="151"/>
      <c r="K14" s="151"/>
      <c r="L14" s="151"/>
    </row>
    <row r="15" spans="1:21" x14ac:dyDescent="0.35">
      <c r="C15" s="155"/>
      <c r="D15" s="155"/>
      <c r="E15" s="155"/>
      <c r="F15" s="155"/>
      <c r="G15" s="151"/>
      <c r="H15" s="151"/>
      <c r="I15" s="151"/>
      <c r="J15" s="151"/>
      <c r="K15" s="151"/>
      <c r="L15" s="151"/>
    </row>
    <row r="16" spans="1:21" x14ac:dyDescent="0.35">
      <c r="C16" s="242" t="s">
        <v>310</v>
      </c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52"/>
      <c r="S16" s="52"/>
      <c r="T16" s="52"/>
      <c r="U16" s="52"/>
    </row>
    <row r="17" spans="2:21" ht="23.25" x14ac:dyDescent="0.35">
      <c r="C17" s="31" t="s">
        <v>61</v>
      </c>
      <c r="D17" s="31" t="s">
        <v>62</v>
      </c>
      <c r="E17" s="31" t="s">
        <v>63</v>
      </c>
      <c r="F17" s="31" t="s">
        <v>64</v>
      </c>
      <c r="G17" s="31" t="s">
        <v>109</v>
      </c>
      <c r="H17" s="31" t="s">
        <v>110</v>
      </c>
      <c r="I17" s="31" t="s">
        <v>111</v>
      </c>
      <c r="J17" s="32" t="s">
        <v>120</v>
      </c>
      <c r="K17" s="32" t="s">
        <v>121</v>
      </c>
      <c r="L17" s="32" t="s">
        <v>122</v>
      </c>
      <c r="M17" s="32" t="s">
        <v>123</v>
      </c>
      <c r="N17" s="32" t="s">
        <v>124</v>
      </c>
      <c r="O17" s="32" t="s">
        <v>125</v>
      </c>
      <c r="P17" s="32" t="s">
        <v>126</v>
      </c>
      <c r="Q17" s="32" t="s">
        <v>127</v>
      </c>
      <c r="R17" s="32" t="s">
        <v>140</v>
      </c>
      <c r="S17" s="32" t="s">
        <v>141</v>
      </c>
      <c r="T17" s="32" t="s">
        <v>142</v>
      </c>
      <c r="U17" s="32" t="s">
        <v>143</v>
      </c>
    </row>
    <row r="18" spans="2:21" x14ac:dyDescent="0.35">
      <c r="B18" s="158" t="s">
        <v>311</v>
      </c>
      <c r="C18" s="206"/>
      <c r="D18" s="206"/>
      <c r="E18" s="206"/>
      <c r="F18" s="206"/>
      <c r="G18" s="207"/>
      <c r="H18" s="207"/>
      <c r="I18" s="207"/>
      <c r="J18" s="159">
        <f>'Cash Flow'!J20</f>
        <v>-5308.7425748308124</v>
      </c>
      <c r="K18" s="159">
        <f>'Cash Flow'!K20</f>
        <v>-556.63736114482163</v>
      </c>
      <c r="L18" s="159">
        <f>'Cash Flow'!L20</f>
        <v>-2502.5202897959175</v>
      </c>
      <c r="M18" s="159">
        <f>'Cash Flow'!M20</f>
        <v>-340.17921936623952</v>
      </c>
      <c r="N18" s="159">
        <f>'Cash Flow'!N20</f>
        <v>1394.6768231944716</v>
      </c>
      <c r="O18" s="159">
        <f>'Cash Flow'!O20</f>
        <v>15535.102459787257</v>
      </c>
      <c r="P18" s="159">
        <f>'Cash Flow'!P20</f>
        <v>7809.1129201301947</v>
      </c>
      <c r="Q18" s="159">
        <f>'Cash Flow'!Q20</f>
        <v>8842.0384981282386</v>
      </c>
      <c r="R18" s="159">
        <f>'Cash Flow'!R20</f>
        <v>10035.866037338386</v>
      </c>
      <c r="S18" s="159">
        <f>'Cash Flow'!S20</f>
        <v>10874.923996135753</v>
      </c>
      <c r="T18" s="159">
        <f>'Cash Flow'!T20</f>
        <v>12330.183449365504</v>
      </c>
      <c r="U18" s="159">
        <f>'Cash Flow'!U20</f>
        <v>12638.23554471822</v>
      </c>
    </row>
    <row r="19" spans="2:21" x14ac:dyDescent="0.35">
      <c r="B19" s="7" t="s">
        <v>306</v>
      </c>
      <c r="C19" s="208"/>
      <c r="D19" s="208"/>
      <c r="E19" s="208"/>
      <c r="F19" s="208"/>
      <c r="G19" s="207"/>
      <c r="H19" s="207"/>
      <c r="I19" s="207"/>
      <c r="J19" s="210">
        <f t="shared" ref="J19:U20" si="3">IF(J$18&lt;0,-J$18*$C4,0)</f>
        <v>2654.3712874154062</v>
      </c>
      <c r="K19" s="210">
        <f t="shared" si="3"/>
        <v>278.31868057241081</v>
      </c>
      <c r="L19" s="210">
        <f t="shared" si="3"/>
        <v>1251.2601448979588</v>
      </c>
      <c r="M19" s="210">
        <f t="shared" si="3"/>
        <v>170.08960968311976</v>
      </c>
      <c r="N19" s="152">
        <f t="shared" si="3"/>
        <v>0</v>
      </c>
      <c r="O19" s="152">
        <f t="shared" si="3"/>
        <v>0</v>
      </c>
      <c r="P19" s="152">
        <f t="shared" si="3"/>
        <v>0</v>
      </c>
      <c r="Q19" s="152">
        <f t="shared" si="3"/>
        <v>0</v>
      </c>
      <c r="R19" s="152">
        <f t="shared" si="3"/>
        <v>0</v>
      </c>
      <c r="S19" s="152">
        <f t="shared" si="3"/>
        <v>0</v>
      </c>
      <c r="T19" s="152">
        <f t="shared" si="3"/>
        <v>0</v>
      </c>
      <c r="U19" s="152">
        <f t="shared" si="3"/>
        <v>0</v>
      </c>
    </row>
    <row r="20" spans="2:21" x14ac:dyDescent="0.35">
      <c r="B20" s="7" t="s">
        <v>307</v>
      </c>
      <c r="C20" s="208"/>
      <c r="D20" s="208"/>
      <c r="E20" s="208"/>
      <c r="F20" s="208"/>
      <c r="G20" s="209"/>
      <c r="H20" s="209"/>
      <c r="I20" s="209"/>
      <c r="J20" s="210">
        <f t="shared" si="3"/>
        <v>2654.3712874154062</v>
      </c>
      <c r="K20" s="210">
        <f t="shared" si="3"/>
        <v>278.31868057241081</v>
      </c>
      <c r="L20" s="210">
        <f t="shared" si="3"/>
        <v>1251.2601448979588</v>
      </c>
      <c r="M20" s="210">
        <f t="shared" si="3"/>
        <v>170.08960968311976</v>
      </c>
      <c r="N20" s="152">
        <f t="shared" si="3"/>
        <v>0</v>
      </c>
      <c r="O20" s="152">
        <f t="shared" si="3"/>
        <v>0</v>
      </c>
      <c r="P20" s="152">
        <f t="shared" si="3"/>
        <v>0</v>
      </c>
      <c r="Q20" s="152">
        <f t="shared" si="3"/>
        <v>0</v>
      </c>
      <c r="R20" s="152">
        <f t="shared" ref="R20:U20" si="4">IF(R$18&lt;0,-R$18*$C5,0)</f>
        <v>0</v>
      </c>
      <c r="S20" s="152">
        <f t="shared" si="4"/>
        <v>0</v>
      </c>
      <c r="T20" s="152">
        <f t="shared" si="4"/>
        <v>0</v>
      </c>
      <c r="U20" s="152">
        <f t="shared" si="4"/>
        <v>0</v>
      </c>
    </row>
    <row r="21" spans="2:21" x14ac:dyDescent="0.35">
      <c r="G21" s="160"/>
    </row>
    <row r="25" spans="2:21" x14ac:dyDescent="0.35">
      <c r="B25" s="7" t="s">
        <v>148</v>
      </c>
    </row>
    <row r="26" spans="2:21" x14ac:dyDescent="0.35">
      <c r="B26" s="7" t="s">
        <v>364</v>
      </c>
    </row>
    <row r="27" spans="2:21" x14ac:dyDescent="0.35">
      <c r="B27" s="7" t="s">
        <v>365</v>
      </c>
    </row>
    <row r="28" spans="2:21" x14ac:dyDescent="0.35">
      <c r="B28" s="7" t="s">
        <v>366</v>
      </c>
    </row>
  </sheetData>
  <mergeCells count="2">
    <mergeCell ref="C9:Q9"/>
    <mergeCell ref="C16:Q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F61D-3F13-4377-B613-AE3B54C1E7DF}">
  <dimension ref="B1:U24"/>
  <sheetViews>
    <sheetView workbookViewId="0">
      <selection activeCell="F37" sqref="F37"/>
    </sheetView>
  </sheetViews>
  <sheetFormatPr defaultColWidth="9.1328125" defaultRowHeight="11.65" x14ac:dyDescent="0.35"/>
  <cols>
    <col min="1" max="1" width="2" style="7" customWidth="1"/>
    <col min="2" max="2" width="29.46484375" style="7" bestFit="1" customWidth="1"/>
    <col min="3" max="12" width="9.796875" style="7" customWidth="1"/>
    <col min="13" max="21" width="12" style="7" bestFit="1" customWidth="1"/>
    <col min="22" max="16384" width="9.1328125" style="7"/>
  </cols>
  <sheetData>
    <row r="1" spans="2:21" ht="15" x14ac:dyDescent="0.4">
      <c r="B1" s="121" t="s">
        <v>312</v>
      </c>
      <c r="C1" s="148"/>
    </row>
    <row r="4" spans="2:21" x14ac:dyDescent="0.35">
      <c r="B4" s="7" t="s">
        <v>313</v>
      </c>
      <c r="C4" s="8">
        <f>Drivers!$C$7</f>
        <v>1.5990000000000001E-2</v>
      </c>
    </row>
    <row r="5" spans="2:21" x14ac:dyDescent="0.35">
      <c r="B5" s="7" t="s">
        <v>314</v>
      </c>
      <c r="C5" s="8">
        <f>Drivers!C8</f>
        <v>0.06</v>
      </c>
    </row>
    <row r="6" spans="2:21" ht="12.75" x14ac:dyDescent="0.35">
      <c r="B6" s="7" t="s">
        <v>370</v>
      </c>
      <c r="C6" s="42">
        <f>Drivers!C9</f>
        <v>1.98</v>
      </c>
    </row>
    <row r="7" spans="2:21" ht="12.75" x14ac:dyDescent="0.35">
      <c r="B7" s="7" t="s">
        <v>315</v>
      </c>
      <c r="C7" s="219">
        <f>Drivers!C12</f>
        <v>0.22500000000000001</v>
      </c>
    </row>
    <row r="9" spans="2:21" x14ac:dyDescent="0.35">
      <c r="B9" s="158" t="s">
        <v>316</v>
      </c>
      <c r="C9" s="161">
        <f>C4+(C5*C6)</f>
        <v>0.13478999999999999</v>
      </c>
    </row>
    <row r="10" spans="2:21" x14ac:dyDescent="0.35">
      <c r="B10" s="158" t="s">
        <v>369</v>
      </c>
      <c r="C10" s="161">
        <v>4.258E-2</v>
      </c>
    </row>
    <row r="13" spans="2:21" x14ac:dyDescent="0.35">
      <c r="C13" s="242" t="s">
        <v>317</v>
      </c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</row>
    <row r="14" spans="2:21" ht="23.25" x14ac:dyDescent="0.35">
      <c r="B14" s="14" t="s">
        <v>241</v>
      </c>
      <c r="C14" s="31" t="s">
        <v>261</v>
      </c>
      <c r="D14" s="31" t="s">
        <v>262</v>
      </c>
      <c r="E14" s="31" t="s">
        <v>263</v>
      </c>
      <c r="F14" s="31" t="s">
        <v>264</v>
      </c>
      <c r="G14" s="31" t="s">
        <v>287</v>
      </c>
      <c r="H14" s="31" t="s">
        <v>288</v>
      </c>
      <c r="I14" s="31" t="s">
        <v>289</v>
      </c>
      <c r="J14" s="32" t="s">
        <v>265</v>
      </c>
      <c r="K14" s="32" t="s">
        <v>266</v>
      </c>
      <c r="L14" s="32" t="s">
        <v>267</v>
      </c>
      <c r="M14" s="32" t="s">
        <v>268</v>
      </c>
      <c r="N14" s="32" t="s">
        <v>269</v>
      </c>
      <c r="O14" s="32" t="s">
        <v>270</v>
      </c>
      <c r="P14" s="32" t="s">
        <v>271</v>
      </c>
      <c r="Q14" s="32" t="s">
        <v>272</v>
      </c>
      <c r="R14" s="32" t="s">
        <v>283</v>
      </c>
      <c r="S14" s="32" t="s">
        <v>284</v>
      </c>
      <c r="T14" s="32" t="s">
        <v>285</v>
      </c>
      <c r="U14" s="32" t="s">
        <v>286</v>
      </c>
    </row>
    <row r="15" spans="2:21" ht="12.75" x14ac:dyDescent="0.35">
      <c r="B15" s="7" t="s">
        <v>306</v>
      </c>
      <c r="C15" s="221">
        <f>'Balance Sheet'!C32</f>
        <v>2429.884</v>
      </c>
      <c r="D15" s="221">
        <f>'Balance Sheet'!D32</f>
        <v>2649.02</v>
      </c>
      <c r="E15" s="221">
        <f>'Balance Sheet'!E32</f>
        <v>6844.26</v>
      </c>
      <c r="F15" s="221">
        <f>'Balance Sheet'!F32</f>
        <v>10212.249</v>
      </c>
      <c r="G15" s="221">
        <f>'Balance Sheet'!G32</f>
        <v>11971.370999999999</v>
      </c>
      <c r="H15" s="221">
        <f>'Balance Sheet'!H32</f>
        <v>13419</v>
      </c>
      <c r="I15" s="221">
        <f>'Balance Sheet'!I32</f>
        <v>11688</v>
      </c>
      <c r="J15" s="220">
        <f>'Balance Sheet'!J32</f>
        <v>11688</v>
      </c>
      <c r="K15" s="220">
        <f>'Balance Sheet'!K32</f>
        <v>11688</v>
      </c>
      <c r="L15" s="220">
        <f>'Balance Sheet'!L32</f>
        <v>11688</v>
      </c>
      <c r="M15" s="220">
        <f>'Balance Sheet'!M32</f>
        <v>11688</v>
      </c>
      <c r="N15" s="220">
        <f>'Balance Sheet'!N32</f>
        <v>11688</v>
      </c>
      <c r="O15" s="220">
        <f>'Balance Sheet'!O32</f>
        <v>11688</v>
      </c>
      <c r="P15" s="220">
        <f>'Balance Sheet'!P32</f>
        <v>11688</v>
      </c>
      <c r="Q15" s="220">
        <f>'Balance Sheet'!Q32</f>
        <v>11688</v>
      </c>
      <c r="R15" s="220">
        <f>'Balance Sheet'!R32</f>
        <v>11688</v>
      </c>
      <c r="S15" s="220">
        <f>'Balance Sheet'!S32</f>
        <v>11688</v>
      </c>
      <c r="T15" s="220">
        <f>'Balance Sheet'!T32</f>
        <v>11688</v>
      </c>
      <c r="U15" s="220">
        <f>'Balance Sheet'!U32</f>
        <v>11688</v>
      </c>
    </row>
    <row r="16" spans="2:21" x14ac:dyDescent="0.35">
      <c r="B16" s="7" t="s">
        <v>307</v>
      </c>
      <c r="C16" s="162">
        <f>'Balance Sheet'!C36</f>
        <v>911.71</v>
      </c>
      <c r="D16" s="162">
        <f>'Balance Sheet'!D36</f>
        <v>1083.704</v>
      </c>
      <c r="E16" s="162">
        <f>'Balance Sheet'!E36</f>
        <v>5538.0860000000002</v>
      </c>
      <c r="F16" s="162">
        <f>'Balance Sheet'!F36</f>
        <v>5234.5879999999997</v>
      </c>
      <c r="G16" s="162">
        <f>'Balance Sheet'!G36</f>
        <v>6313.6040000000003</v>
      </c>
      <c r="H16" s="162">
        <f>'Balance Sheet'!H36</f>
        <v>8110</v>
      </c>
      <c r="I16" s="162">
        <f>'Balance Sheet'!I36</f>
        <v>23730</v>
      </c>
      <c r="J16" s="220">
        <f>'Balance Sheet'!J36</f>
        <v>28233.055102766826</v>
      </c>
      <c r="K16" s="220">
        <f>'Balance Sheet'!K36</f>
        <v>30954.076315540995</v>
      </c>
      <c r="L16" s="220">
        <f>'Balance Sheet'!L36</f>
        <v>36012.702651447311</v>
      </c>
      <c r="M16" s="220">
        <f>'Balance Sheet'!M36</f>
        <v>41176.917534892193</v>
      </c>
      <c r="N16" s="220">
        <f>'Balance Sheet'!N36</f>
        <v>47442.696257171228</v>
      </c>
      <c r="O16" s="220">
        <f>'Balance Sheet'!O36</f>
        <v>54684.857645786215</v>
      </c>
      <c r="P16" s="220">
        <f>'Balance Sheet'!P36</f>
        <v>62629.098470024044</v>
      </c>
      <c r="Q16" s="220">
        <f>'Balance Sheet'!Q36</f>
        <v>71205.625776167071</v>
      </c>
      <c r="R16" s="220">
        <f>'Balance Sheet'!R36</f>
        <v>80273.493458926954</v>
      </c>
      <c r="S16" s="220">
        <f>'Balance Sheet'!S36</f>
        <v>89739.258978801867</v>
      </c>
      <c r="T16" s="220">
        <f>'Balance Sheet'!T36</f>
        <v>99446.736221549392</v>
      </c>
      <c r="U16" s="220">
        <f>'Balance Sheet'!U36</f>
        <v>109398.15889013917</v>
      </c>
    </row>
    <row r="17" spans="2:21" x14ac:dyDescent="0.35">
      <c r="G17" s="150"/>
      <c r="H17" s="150"/>
      <c r="I17" s="150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</row>
    <row r="18" spans="2:21" x14ac:dyDescent="0.35">
      <c r="B18" s="7" t="s">
        <v>318</v>
      </c>
      <c r="C18" s="150">
        <f t="shared" ref="C18:C19" si="0">C15/(C$15+C$16)</f>
        <v>0.72716314429580609</v>
      </c>
      <c r="D18" s="150">
        <f t="shared" ref="D18:U18" si="1">D15/(D$15+D$16)</f>
        <v>0.70967475763008459</v>
      </c>
      <c r="E18" s="150">
        <f t="shared" si="1"/>
        <v>0.55274339773739156</v>
      </c>
      <c r="F18" s="150">
        <f t="shared" si="1"/>
        <v>0.66112233850852442</v>
      </c>
      <c r="G18" s="150">
        <f t="shared" si="1"/>
        <v>0.65471082131640868</v>
      </c>
      <c r="H18" s="150">
        <f t="shared" si="1"/>
        <v>0.62329880626132195</v>
      </c>
      <c r="I18" s="150">
        <f t="shared" si="1"/>
        <v>0.33000169405387092</v>
      </c>
      <c r="J18" s="165">
        <f t="shared" si="1"/>
        <v>0.2927778328982576</v>
      </c>
      <c r="K18" s="165">
        <f t="shared" si="1"/>
        <v>0.27409547118464972</v>
      </c>
      <c r="L18" s="165">
        <f t="shared" si="1"/>
        <v>0.24502783712443632</v>
      </c>
      <c r="M18" s="165">
        <f t="shared" si="1"/>
        <v>0.22109180426292394</v>
      </c>
      <c r="N18" s="165">
        <f t="shared" si="1"/>
        <v>0.19766383181362435</v>
      </c>
      <c r="O18" s="165">
        <f t="shared" si="1"/>
        <v>0.17609607924937717</v>
      </c>
      <c r="P18" s="165">
        <f t="shared" si="1"/>
        <v>0.15727201735027882</v>
      </c>
      <c r="Q18" s="165">
        <f t="shared" si="1"/>
        <v>0.1409999851081486</v>
      </c>
      <c r="R18" s="165">
        <f t="shared" si="1"/>
        <v>0.1270966744925717</v>
      </c>
      <c r="S18" s="165">
        <f t="shared" si="1"/>
        <v>0.11523529392076713</v>
      </c>
      <c r="T18" s="165">
        <f t="shared" si="1"/>
        <v>0.10516963820114469</v>
      </c>
      <c r="U18" s="165">
        <f t="shared" si="1"/>
        <v>9.6526309093712861E-2</v>
      </c>
    </row>
    <row r="19" spans="2:21" x14ac:dyDescent="0.35">
      <c r="B19" s="7" t="s">
        <v>319</v>
      </c>
      <c r="C19" s="150">
        <f t="shared" si="0"/>
        <v>0.27283685570419386</v>
      </c>
      <c r="D19" s="150">
        <f t="shared" ref="D19:U19" si="2">D16/(D$15+D$16)</f>
        <v>0.29032524236991536</v>
      </c>
      <c r="E19" s="150">
        <f t="shared" si="2"/>
        <v>0.44725660226260838</v>
      </c>
      <c r="F19" s="150">
        <f t="shared" si="2"/>
        <v>0.33887766149147558</v>
      </c>
      <c r="G19" s="150">
        <f t="shared" si="2"/>
        <v>0.34528917868359132</v>
      </c>
      <c r="H19" s="150">
        <f t="shared" si="2"/>
        <v>0.37670119373867805</v>
      </c>
      <c r="I19" s="150">
        <f t="shared" si="2"/>
        <v>0.66999830594612908</v>
      </c>
      <c r="J19" s="165">
        <f t="shared" si="2"/>
        <v>0.70722216710174235</v>
      </c>
      <c r="K19" s="165">
        <f t="shared" si="2"/>
        <v>0.72590452881535028</v>
      </c>
      <c r="L19" s="165">
        <f t="shared" si="2"/>
        <v>0.75497216287556368</v>
      </c>
      <c r="M19" s="165">
        <f t="shared" si="2"/>
        <v>0.77890819573707604</v>
      </c>
      <c r="N19" s="165">
        <f t="shared" si="2"/>
        <v>0.80233616818637565</v>
      </c>
      <c r="O19" s="165">
        <f t="shared" si="2"/>
        <v>0.82390392075062269</v>
      </c>
      <c r="P19" s="165">
        <f t="shared" si="2"/>
        <v>0.84272798264972126</v>
      </c>
      <c r="Q19" s="165">
        <f t="shared" si="2"/>
        <v>0.8590000148918514</v>
      </c>
      <c r="R19" s="165">
        <f t="shared" si="2"/>
        <v>0.87290332550742833</v>
      </c>
      <c r="S19" s="165">
        <f t="shared" si="2"/>
        <v>0.88476470607923285</v>
      </c>
      <c r="T19" s="165">
        <f t="shared" si="2"/>
        <v>0.89483036179885533</v>
      </c>
      <c r="U19" s="165">
        <f t="shared" si="2"/>
        <v>0.90347369090628715</v>
      </c>
    </row>
    <row r="20" spans="2:21" x14ac:dyDescent="0.35">
      <c r="G20" s="151"/>
      <c r="H20" s="151"/>
      <c r="I20" s="151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</row>
    <row r="21" spans="2:21" x14ac:dyDescent="0.35">
      <c r="B21" s="7" t="s">
        <v>316</v>
      </c>
      <c r="C21" s="151">
        <f>$C$9</f>
        <v>0.13478999999999999</v>
      </c>
      <c r="D21" s="151">
        <f>$C$9</f>
        <v>0.13478999999999999</v>
      </c>
      <c r="E21" s="151">
        <f>$C$9</f>
        <v>0.13478999999999999</v>
      </c>
      <c r="F21" s="151">
        <f>$C$9</f>
        <v>0.13478999999999999</v>
      </c>
      <c r="G21" s="151">
        <f t="shared" ref="G21:U21" si="3">$C$9</f>
        <v>0.13478999999999999</v>
      </c>
      <c r="H21" s="151">
        <f t="shared" si="3"/>
        <v>0.13478999999999999</v>
      </c>
      <c r="I21" s="151">
        <f t="shared" si="3"/>
        <v>0.13478999999999999</v>
      </c>
      <c r="J21" s="156">
        <f t="shared" si="3"/>
        <v>0.13478999999999999</v>
      </c>
      <c r="K21" s="156">
        <f t="shared" si="3"/>
        <v>0.13478999999999999</v>
      </c>
      <c r="L21" s="156">
        <f t="shared" si="3"/>
        <v>0.13478999999999999</v>
      </c>
      <c r="M21" s="156">
        <f t="shared" si="3"/>
        <v>0.13478999999999999</v>
      </c>
      <c r="N21" s="156">
        <f t="shared" si="3"/>
        <v>0.13478999999999999</v>
      </c>
      <c r="O21" s="156">
        <f t="shared" si="3"/>
        <v>0.13478999999999999</v>
      </c>
      <c r="P21" s="156">
        <f t="shared" si="3"/>
        <v>0.13478999999999999</v>
      </c>
      <c r="Q21" s="156">
        <f t="shared" si="3"/>
        <v>0.13478999999999999</v>
      </c>
      <c r="R21" s="156">
        <f t="shared" si="3"/>
        <v>0.13478999999999999</v>
      </c>
      <c r="S21" s="156">
        <f t="shared" si="3"/>
        <v>0.13478999999999999</v>
      </c>
      <c r="T21" s="156">
        <f t="shared" si="3"/>
        <v>0.13478999999999999</v>
      </c>
      <c r="U21" s="156">
        <f t="shared" si="3"/>
        <v>0.13478999999999999</v>
      </c>
    </row>
    <row r="22" spans="2:21" x14ac:dyDescent="0.35">
      <c r="B22" s="7" t="s">
        <v>320</v>
      </c>
      <c r="C22" s="151">
        <f>$C$10</f>
        <v>4.258E-2</v>
      </c>
      <c r="D22" s="151">
        <f>$C$10</f>
        <v>4.258E-2</v>
      </c>
      <c r="E22" s="151">
        <f>$C$10</f>
        <v>4.258E-2</v>
      </c>
      <c r="F22" s="151">
        <f>$C$10</f>
        <v>4.258E-2</v>
      </c>
      <c r="G22" s="151">
        <f t="shared" ref="G22:I22" si="4">$C$10</f>
        <v>4.258E-2</v>
      </c>
      <c r="H22" s="151">
        <f t="shared" si="4"/>
        <v>4.258E-2</v>
      </c>
      <c r="I22" s="151">
        <f t="shared" si="4"/>
        <v>4.258E-2</v>
      </c>
      <c r="J22" s="156">
        <f t="shared" ref="J22:U22" si="5">$C$10</f>
        <v>4.258E-2</v>
      </c>
      <c r="K22" s="156">
        <f t="shared" si="5"/>
        <v>4.258E-2</v>
      </c>
      <c r="L22" s="156">
        <f t="shared" si="5"/>
        <v>4.258E-2</v>
      </c>
      <c r="M22" s="156">
        <f t="shared" si="5"/>
        <v>4.258E-2</v>
      </c>
      <c r="N22" s="156">
        <f t="shared" si="5"/>
        <v>4.258E-2</v>
      </c>
      <c r="O22" s="156">
        <f t="shared" si="5"/>
        <v>4.258E-2</v>
      </c>
      <c r="P22" s="156">
        <f t="shared" si="5"/>
        <v>4.258E-2</v>
      </c>
      <c r="Q22" s="156">
        <f t="shared" si="5"/>
        <v>4.258E-2</v>
      </c>
      <c r="R22" s="156">
        <f t="shared" si="5"/>
        <v>4.258E-2</v>
      </c>
      <c r="S22" s="156">
        <f t="shared" si="5"/>
        <v>4.258E-2</v>
      </c>
      <c r="T22" s="156">
        <f t="shared" si="5"/>
        <v>4.258E-2</v>
      </c>
      <c r="U22" s="156">
        <f t="shared" si="5"/>
        <v>4.258E-2</v>
      </c>
    </row>
    <row r="23" spans="2:21" x14ac:dyDescent="0.35"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</row>
    <row r="24" spans="2:21" ht="12" thickBot="1" x14ac:dyDescent="0.4">
      <c r="B24" s="45" t="s">
        <v>312</v>
      </c>
      <c r="C24" s="167">
        <f>(C18*C22*(1-$C$7))+(C19*C21)</f>
        <v>6.0771699960557743E-2</v>
      </c>
      <c r="D24" s="167">
        <f>(D18*D22*(1-$C$7))+(D19*D21)</f>
        <v>6.2551851583454873E-2</v>
      </c>
      <c r="E24" s="167">
        <f t="shared" ref="E24:Q24" si="6">(E18*E22*(1-$C$7))+(E19*E21)</f>
        <v>7.8525973172612035E-2</v>
      </c>
      <c r="F24" s="167">
        <f t="shared" si="6"/>
        <v>6.7494026602048035E-2</v>
      </c>
      <c r="G24" s="167">
        <f t="shared" si="6"/>
        <v>6.8146658142792096E-2</v>
      </c>
      <c r="H24" s="167">
        <f t="shared" si="6"/>
        <v>7.1344102861256906E-2</v>
      </c>
      <c r="I24" s="167">
        <f t="shared" si="6"/>
        <v>0.10119896256140945</v>
      </c>
      <c r="J24" s="167">
        <f t="shared" si="6"/>
        <v>0.1049879980003699</v>
      </c>
      <c r="K24" s="167">
        <f t="shared" si="6"/>
        <v>0.10688968494037891</v>
      </c>
      <c r="L24" s="167">
        <f t="shared" si="6"/>
        <v>0.10984849394518506</v>
      </c>
      <c r="M24" s="167">
        <f t="shared" si="6"/>
        <v>0.11228495469817483</v>
      </c>
      <c r="N24" s="167">
        <f t="shared" si="6"/>
        <v>0.11466969972777527</v>
      </c>
      <c r="O24" s="167">
        <f t="shared" si="6"/>
        <v>0.11686509204516625</v>
      </c>
      <c r="P24" s="167">
        <f t="shared" si="6"/>
        <v>0.11878120271790646</v>
      </c>
      <c r="Q24" s="167">
        <f t="shared" si="6"/>
        <v>0.120437541015849</v>
      </c>
      <c r="R24" s="167">
        <f t="shared" ref="R24:U24" si="7">(R18*R22*(1-$C$7))+(R19*R21)</f>
        <v>0.12185276595506388</v>
      </c>
      <c r="S24" s="167">
        <f t="shared" si="7"/>
        <v>0.12306014181415814</v>
      </c>
      <c r="T24" s="167">
        <f t="shared" si="7"/>
        <v>0.12408472994268638</v>
      </c>
      <c r="U24" s="167">
        <f t="shared" si="7"/>
        <v>0.12496453873419641</v>
      </c>
    </row>
  </sheetData>
  <mergeCells count="1">
    <mergeCell ref="C13:U1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6367-CDAD-4F3A-9F21-2A0C60516B98}">
  <sheetPr>
    <tabColor rgb="FF002060"/>
  </sheetPr>
  <dimension ref="B14"/>
  <sheetViews>
    <sheetView workbookViewId="0">
      <selection activeCell="G13" sqref="G13"/>
    </sheetView>
  </sheetViews>
  <sheetFormatPr defaultRowHeight="12.75" x14ac:dyDescent="0.35"/>
  <cols>
    <col min="1" max="1" width="1.86328125" style="1" customWidth="1"/>
    <col min="2" max="16384" width="9.06640625" style="1"/>
  </cols>
  <sheetData>
    <row r="14" spans="2:2" ht="50.25" x14ac:dyDescent="0.35">
      <c r="B14" s="40" t="s">
        <v>238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0ED7-D94D-454C-9DB5-4A2F139425E2}">
  <dimension ref="B1:U18"/>
  <sheetViews>
    <sheetView workbookViewId="0">
      <selection activeCell="J6" sqref="J6"/>
    </sheetView>
  </sheetViews>
  <sheetFormatPr defaultColWidth="9.1328125" defaultRowHeight="12.75" x14ac:dyDescent="0.35"/>
  <cols>
    <col min="1" max="1" width="2" style="120" customWidth="1"/>
    <col min="2" max="2" width="22.46484375" style="120" bestFit="1" customWidth="1"/>
    <col min="3" max="12" width="9.796875" style="120" customWidth="1"/>
    <col min="13" max="16384" width="9.1328125" style="120"/>
  </cols>
  <sheetData>
    <row r="1" spans="2:21" ht="15" x14ac:dyDescent="0.4">
      <c r="B1" s="121" t="s">
        <v>234</v>
      </c>
      <c r="C1" s="121"/>
    </row>
    <row r="3" spans="2:21" x14ac:dyDescent="0.35">
      <c r="C3" s="242" t="s">
        <v>321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2:2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2:21" x14ac:dyDescent="0.35">
      <c r="B5" s="7" t="s">
        <v>255</v>
      </c>
      <c r="C5" s="125">
        <f>'Revenue Automotive'!C11+'Revenue Energy &amp; Other'!C7</f>
        <v>3198.3560000000002</v>
      </c>
      <c r="D5" s="125">
        <f>'Revenue Automotive'!D11+'Revenue Energy &amp; Other'!D7</f>
        <v>4046.0250000000001</v>
      </c>
      <c r="E5" s="125">
        <f>'Revenue Automotive'!E11+'Revenue Energy &amp; Other'!E7</f>
        <v>7000.1319999999996</v>
      </c>
      <c r="F5" s="125">
        <f>'Revenue Automotive'!F11+'Revenue Energy &amp; Other'!F7</f>
        <v>11758.751</v>
      </c>
      <c r="G5" s="125">
        <f>'Revenue Automotive'!G11+'Revenue Energy &amp; Other'!G7</f>
        <v>21461.268</v>
      </c>
      <c r="H5" s="125">
        <f>'Revenue Automotive'!H11+'Revenue Energy &amp; Other'!H7</f>
        <v>24578</v>
      </c>
      <c r="I5" s="125">
        <f>'Revenue Automotive'!I11+'Revenue Energy &amp; Other'!I7</f>
        <v>31536</v>
      </c>
      <c r="J5" s="163">
        <f>'Revenue Automotive'!J11+'Revenue Energy &amp; Other'!J7</f>
        <v>45352.231410603497</v>
      </c>
      <c r="K5" s="163">
        <f>'Revenue Automotive'!K11+'Revenue Energy &amp; Other'!K7</f>
        <v>55194.071384654839</v>
      </c>
      <c r="L5" s="163">
        <f>'Revenue Automotive'!L11+'Revenue Energy &amp; Other'!L7</f>
        <v>77543.432292548707</v>
      </c>
      <c r="M5" s="163">
        <f>'Revenue Automotive'!M11+'Revenue Energy &amp; Other'!M7</f>
        <v>97050.71484322616</v>
      </c>
      <c r="N5" s="163">
        <f>'Revenue Automotive'!N11+'Revenue Energy &amp; Other'!N7</f>
        <v>115615.32187671566</v>
      </c>
      <c r="O5" s="163">
        <f>'Revenue Automotive'!O11+'Revenue Energy &amp; Other'!O7</f>
        <v>131452.21307842439</v>
      </c>
      <c r="P5" s="163">
        <f>'Revenue Automotive'!P11+'Revenue Energy &amp; Other'!P7</f>
        <v>142939.40689180262</v>
      </c>
      <c r="Q5" s="163">
        <f>'Revenue Automotive'!Q11+'Revenue Energy &amp; Other'!Q7</f>
        <v>153802.5250699372</v>
      </c>
      <c r="R5" s="163">
        <f>'Revenue Automotive'!R11+'Revenue Energy &amp; Other'!R7</f>
        <v>162530.81199071929</v>
      </c>
      <c r="S5" s="163">
        <f>'Revenue Automotive'!S11+'Revenue Energy &amp; Other'!S7</f>
        <v>170521.45321480552</v>
      </c>
      <c r="T5" s="163">
        <f>'Revenue Automotive'!T11+'Revenue Energy &amp; Other'!T7</f>
        <v>176222.72035173248</v>
      </c>
      <c r="U5" s="163">
        <f>'Revenue Automotive'!U11+'Revenue Energy &amp; Other'!U7</f>
        <v>182141.87538600588</v>
      </c>
    </row>
    <row r="6" spans="2:21" x14ac:dyDescent="0.35">
      <c r="B6" s="7" t="s">
        <v>322</v>
      </c>
      <c r="C6" s="125">
        <f>'Cost of Sales Automotive'!C11+'Cost of Sales Energy &amp; Other'!C7</f>
        <v>-2316.6849999999999</v>
      </c>
      <c r="D6" s="125">
        <f>'Cost of Sales Automotive'!D11+'Cost of Sales Energy &amp; Other'!D7</f>
        <v>-3122.5219999999999</v>
      </c>
      <c r="E6" s="125">
        <f>'Cost of Sales Automotive'!E11+'Cost of Sales Energy &amp; Other'!E7</f>
        <v>-5400.875</v>
      </c>
      <c r="F6" s="125">
        <f>'Cost of Sales Automotive'!F11+'Cost of Sales Energy &amp; Other'!F7</f>
        <v>-9536.2639999999992</v>
      </c>
      <c r="G6" s="125">
        <f>'Cost of Sales Automotive'!G11+'Cost of Sales Energy &amp; Other'!G7</f>
        <v>-17419.246999999999</v>
      </c>
      <c r="H6" s="125">
        <f>'Cost of Sales Automotive'!H11+'Cost of Sales Energy &amp; Other'!H7</f>
        <v>-20509</v>
      </c>
      <c r="I6" s="125">
        <f>'Cost of Sales Automotive'!I11+'Cost of Sales Energy &amp; Other'!I7</f>
        <v>-24906</v>
      </c>
      <c r="J6" s="163">
        <f>'Cost of Sales Automotive'!J11+'Cost of Sales Energy &amp; Other'!J7</f>
        <v>-36028.690577826848</v>
      </c>
      <c r="K6" s="163">
        <f>'Cost of Sales Automotive'!K11+'Cost of Sales Energy &amp; Other'!K7</f>
        <v>-43613.174062415004</v>
      </c>
      <c r="L6" s="163">
        <f>'Cost of Sales Automotive'!L11+'Cost of Sales Energy &amp; Other'!L7</f>
        <v>-61060.917299840956</v>
      </c>
      <c r="M6" s="163">
        <f>'Cost of Sales Automotive'!M11+'Cost of Sales Energy &amp; Other'!M7</f>
        <v>-76252.599594191357</v>
      </c>
      <c r="N6" s="163">
        <f>'Cost of Sales Automotive'!N11+'Cost of Sales Energy &amp; Other'!N7</f>
        <v>-90570.07606803489</v>
      </c>
      <c r="O6" s="163">
        <f>'Cost of Sales Automotive'!O11+'Cost of Sales Energy &amp; Other'!O7</f>
        <v>-102929.95389978059</v>
      </c>
      <c r="P6" s="163">
        <f>'Cost of Sales Automotive'!P11+'Cost of Sales Energy &amp; Other'!P7</f>
        <v>-111903.03163009509</v>
      </c>
      <c r="Q6" s="163">
        <f>'Cost of Sales Automotive'!Q11+'Cost of Sales Energy &amp; Other'!Q7</f>
        <v>-120429.45973825187</v>
      </c>
      <c r="R6" s="163">
        <f>'Cost of Sales Automotive'!R11+'Cost of Sales Energy &amp; Other'!R7</f>
        <v>-127301.79890739305</v>
      </c>
      <c r="S6" s="163">
        <f>'Cost of Sales Automotive'!S11+'Cost of Sales Energy &amp; Other'!S7</f>
        <v>-133660.3337960878</v>
      </c>
      <c r="T6" s="163">
        <f>'Cost of Sales Automotive'!T11+'Cost of Sales Energy &amp; Other'!T7</f>
        <v>-138251.53743981582</v>
      </c>
      <c r="U6" s="163">
        <f>'Cost of Sales Automotive'!U11+'Cost of Sales Energy &amp; Other'!U7</f>
        <v>-143027.24247788158</v>
      </c>
    </row>
    <row r="7" spans="2:21" x14ac:dyDescent="0.35">
      <c r="B7" s="169" t="s">
        <v>72</v>
      </c>
      <c r="C7" s="170">
        <f>SUM(C5:C6)</f>
        <v>881.67100000000028</v>
      </c>
      <c r="D7" s="170">
        <f t="shared" ref="D7:Q9" si="0">SUM(D5:D6)</f>
        <v>923.50300000000016</v>
      </c>
      <c r="E7" s="170">
        <f t="shared" si="0"/>
        <v>1599.2569999999996</v>
      </c>
      <c r="F7" s="170">
        <f t="shared" si="0"/>
        <v>2222.487000000001</v>
      </c>
      <c r="G7" s="170">
        <f t="shared" si="0"/>
        <v>4042.0210000000006</v>
      </c>
      <c r="H7" s="170">
        <f t="shared" si="0"/>
        <v>4069</v>
      </c>
      <c r="I7" s="170">
        <f t="shared" si="0"/>
        <v>6630</v>
      </c>
      <c r="J7" s="171">
        <f t="shared" si="0"/>
        <v>9323.540832776649</v>
      </c>
      <c r="K7" s="171">
        <f t="shared" si="0"/>
        <v>11580.897322239834</v>
      </c>
      <c r="L7" s="171">
        <f t="shared" si="0"/>
        <v>16482.514992707751</v>
      </c>
      <c r="M7" s="171">
        <f t="shared" si="0"/>
        <v>20798.115249034803</v>
      </c>
      <c r="N7" s="171">
        <f t="shared" si="0"/>
        <v>25045.245808680775</v>
      </c>
      <c r="O7" s="171">
        <f t="shared" si="0"/>
        <v>28522.259178643799</v>
      </c>
      <c r="P7" s="171">
        <f t="shared" si="0"/>
        <v>31036.375261707522</v>
      </c>
      <c r="Q7" s="171">
        <f t="shared" si="0"/>
        <v>33373.065331685328</v>
      </c>
      <c r="R7" s="171">
        <f t="shared" ref="R7:U7" si="1">SUM(R5:R6)</f>
        <v>35229.013083326237</v>
      </c>
      <c r="S7" s="171">
        <f t="shared" si="1"/>
        <v>36861.119418717717</v>
      </c>
      <c r="T7" s="171">
        <f t="shared" si="1"/>
        <v>37971.182911916665</v>
      </c>
      <c r="U7" s="171">
        <f t="shared" si="1"/>
        <v>39114.632908124302</v>
      </c>
    </row>
    <row r="8" spans="2:21" x14ac:dyDescent="0.35">
      <c r="B8" s="7" t="s">
        <v>323</v>
      </c>
      <c r="C8" s="125">
        <f>Opex!C7</f>
        <v>-1068.3599999999999</v>
      </c>
      <c r="D8" s="125">
        <f>Opex!D7</f>
        <v>-1640.1320000000001</v>
      </c>
      <c r="E8" s="125">
        <f>Opex!E7</f>
        <v>-2266.5970000000002</v>
      </c>
      <c r="F8" s="125">
        <f>Opex!F7</f>
        <v>-3854.5729999999999</v>
      </c>
      <c r="G8" s="125">
        <f>Opex!G7</f>
        <v>-4430.0940000000001</v>
      </c>
      <c r="H8" s="125">
        <f>Opex!H7</f>
        <v>-4138</v>
      </c>
      <c r="I8" s="125">
        <f>Opex!I7</f>
        <v>-4636</v>
      </c>
      <c r="J8" s="163">
        <f>Opex!J7</f>
        <v>-6349.3123974844902</v>
      </c>
      <c r="K8" s="163">
        <f>Opex!K7</f>
        <v>-7727.1699938516786</v>
      </c>
      <c r="L8" s="163">
        <f>Opex!L7</f>
        <v>-10856.080520956821</v>
      </c>
      <c r="M8" s="163">
        <f>Opex!M7</f>
        <v>-13587.100078051664</v>
      </c>
      <c r="N8" s="163">
        <f>Opex!N7</f>
        <v>-16186.145062740195</v>
      </c>
      <c r="O8" s="163">
        <f>Opex!O7</f>
        <v>-18403.309830979415</v>
      </c>
      <c r="P8" s="163">
        <f>Opex!P7</f>
        <v>-20011.51696485237</v>
      </c>
      <c r="Q8" s="163">
        <f>Opex!Q7</f>
        <v>-21532.35350979121</v>
      </c>
      <c r="R8" s="163">
        <f>Opex!R7</f>
        <v>-22754.313678700702</v>
      </c>
      <c r="S8" s="163">
        <f>Opex!S7</f>
        <v>-23873.003450072774</v>
      </c>
      <c r="T8" s="163">
        <f>Opex!T7</f>
        <v>-24671.180849242548</v>
      </c>
      <c r="U8" s="163">
        <f>Opex!U7</f>
        <v>-25499.862554040825</v>
      </c>
    </row>
    <row r="9" spans="2:21" x14ac:dyDescent="0.35">
      <c r="B9" s="169" t="s">
        <v>76</v>
      </c>
      <c r="C9" s="170">
        <f>SUM(C7:C8)</f>
        <v>-186.68899999999962</v>
      </c>
      <c r="D9" s="172">
        <f t="shared" ref="D9:F9" si="2">SUM(D7:D8)</f>
        <v>-716.62899999999991</v>
      </c>
      <c r="E9" s="172">
        <f t="shared" si="2"/>
        <v>-667.3400000000006</v>
      </c>
      <c r="F9" s="172">
        <f t="shared" si="2"/>
        <v>-1632.0859999999989</v>
      </c>
      <c r="G9" s="172">
        <f t="shared" si="0"/>
        <v>-388.07299999999941</v>
      </c>
      <c r="H9" s="172">
        <f t="shared" si="0"/>
        <v>-69</v>
      </c>
      <c r="I9" s="172">
        <f t="shared" si="0"/>
        <v>1994</v>
      </c>
      <c r="J9" s="171">
        <f t="shared" si="0"/>
        <v>2974.2284352921588</v>
      </c>
      <c r="K9" s="171">
        <f t="shared" si="0"/>
        <v>3853.7273283881559</v>
      </c>
      <c r="L9" s="171">
        <f t="shared" si="0"/>
        <v>5626.4344717509302</v>
      </c>
      <c r="M9" s="171">
        <f t="shared" si="0"/>
        <v>7211.0151709831389</v>
      </c>
      <c r="N9" s="171">
        <f t="shared" si="0"/>
        <v>8859.1007459405791</v>
      </c>
      <c r="O9" s="171">
        <f t="shared" si="0"/>
        <v>10118.949347664384</v>
      </c>
      <c r="P9" s="171">
        <f t="shared" si="0"/>
        <v>11024.858296855153</v>
      </c>
      <c r="Q9" s="171">
        <f t="shared" si="0"/>
        <v>11840.711821894118</v>
      </c>
      <c r="R9" s="171">
        <f t="shared" ref="R9:U9" si="3">SUM(R7:R8)</f>
        <v>12474.699404625535</v>
      </c>
      <c r="S9" s="171">
        <f t="shared" si="3"/>
        <v>12988.115968644943</v>
      </c>
      <c r="T9" s="171">
        <f t="shared" si="3"/>
        <v>13300.002062674117</v>
      </c>
      <c r="U9" s="171">
        <f t="shared" si="3"/>
        <v>13614.770354083477</v>
      </c>
    </row>
    <row r="10" spans="2:21" x14ac:dyDescent="0.35">
      <c r="B10" s="7" t="s">
        <v>324</v>
      </c>
      <c r="C10" s="125">
        <f>Financing!C12+('P&amp;L Input'!C16+'P&amp;L Input'!C18)/1000</f>
        <v>-97.947000000000003</v>
      </c>
      <c r="D10" s="125">
        <f>Financing!D12+('P&amp;L Input'!D16+'P&amp;L Input'!D18)/1000</f>
        <v>-158.995</v>
      </c>
      <c r="E10" s="125">
        <f>Financing!E12+('P&amp;L Input'!E16+'P&amp;L Input'!E18)/1000</f>
        <v>-79.007999999999996</v>
      </c>
      <c r="F10" s="125">
        <f>Financing!F12+('P&amp;L Input'!F16+'P&amp;L Input'!F18)/1000</f>
        <v>-576.94600000000003</v>
      </c>
      <c r="G10" s="125">
        <f>Financing!G12+('P&amp;L Input'!G16+'P&amp;L Input'!G18)/1000</f>
        <v>-616.67200000000003</v>
      </c>
      <c r="H10" s="125">
        <f>Financing!H12+('P&amp;L Input'!H16+'P&amp;L Input'!H18)/1000</f>
        <v>-596</v>
      </c>
      <c r="I10" s="125">
        <f>Financing!I12+('P&amp;L Input'!I16+'P&amp;L Input'!I18)/1000</f>
        <v>-840</v>
      </c>
      <c r="J10" s="163">
        <f>Financing!J12+('P&amp;L Input'!J16+'P&amp;L Input'!J18)/1000</f>
        <v>-406.89447999999999</v>
      </c>
      <c r="K10" s="163">
        <f>Financing!K12+('P&amp;L Input'!K16+'P&amp;L Input'!K18)/1000</f>
        <v>-519.917609418148</v>
      </c>
      <c r="L10" s="163">
        <f>Financing!L12+('P&amp;L Input'!L16+'P&amp;L Input'!L18)/1000</f>
        <v>-531.76841883692123</v>
      </c>
      <c r="M10" s="163">
        <f>Financing!M12+('P&amp;L Input'!M16+'P&amp;L Input'!M18)/1000</f>
        <v>-585.04707580667628</v>
      </c>
      <c r="N10" s="163">
        <f>Financing!N12+('P&amp;L Input'!N16+'P&amp;L Input'!N18)/1000</f>
        <v>-592.28949138698363</v>
      </c>
      <c r="O10" s="163">
        <f>Financing!O12+('P&amp;L Input'!O16+'P&amp;L Input'!O18)/1000</f>
        <v>-592.28949138698363</v>
      </c>
      <c r="P10" s="163">
        <f>Financing!P12+('P&amp;L Input'!P16+'P&amp;L Input'!P18)/1000</f>
        <v>-592.28949138698363</v>
      </c>
      <c r="Q10" s="163">
        <f>Financing!Q12+('P&amp;L Input'!Q16+'P&amp;L Input'!Q18)/1000</f>
        <v>-592.28949138698363</v>
      </c>
      <c r="R10" s="163">
        <f>Financing!R12+('P&amp;L Input'!R16+'P&amp;L Input'!R18)/1000</f>
        <v>-592.28949138698363</v>
      </c>
      <c r="S10" s="163">
        <f>Financing!S12+('P&amp;L Input'!S16+'P&amp;L Input'!S18)/1000</f>
        <v>-592.28949138698363</v>
      </c>
      <c r="T10" s="163">
        <f>Financing!T12+('P&amp;L Input'!T16+'P&amp;L Input'!T18)/1000</f>
        <v>-592.28949138698363</v>
      </c>
      <c r="U10" s="163">
        <f>Financing!U12+('P&amp;L Input'!U16+'P&amp;L Input'!U18)/1000</f>
        <v>-592.28949138698363</v>
      </c>
    </row>
    <row r="11" spans="2:21" x14ac:dyDescent="0.35">
      <c r="B11" s="169" t="s">
        <v>80</v>
      </c>
      <c r="C11" s="172">
        <f t="shared" ref="C11:Q11" si="4">SUM(C9:C10)</f>
        <v>-284.63599999999963</v>
      </c>
      <c r="D11" s="172">
        <f t="shared" si="4"/>
        <v>-875.62399999999991</v>
      </c>
      <c r="E11" s="172">
        <f t="shared" si="4"/>
        <v>-746.34800000000064</v>
      </c>
      <c r="F11" s="172">
        <f t="shared" si="4"/>
        <v>-2209.0319999999988</v>
      </c>
      <c r="G11" s="172">
        <f t="shared" si="4"/>
        <v>-1004.7449999999994</v>
      </c>
      <c r="H11" s="172">
        <f t="shared" si="4"/>
        <v>-665</v>
      </c>
      <c r="I11" s="172">
        <f t="shared" si="4"/>
        <v>1154</v>
      </c>
      <c r="J11" s="171">
        <f t="shared" si="4"/>
        <v>2567.3339552921589</v>
      </c>
      <c r="K11" s="171">
        <f t="shared" si="4"/>
        <v>3333.8097189700079</v>
      </c>
      <c r="L11" s="171">
        <f t="shared" si="4"/>
        <v>5094.666052914009</v>
      </c>
      <c r="M11" s="171">
        <f t="shared" si="4"/>
        <v>6625.9680951764622</v>
      </c>
      <c r="N11" s="171">
        <f t="shared" si="4"/>
        <v>8266.8112545535951</v>
      </c>
      <c r="O11" s="171">
        <f t="shared" si="4"/>
        <v>9526.6598562773997</v>
      </c>
      <c r="P11" s="171">
        <f t="shared" si="4"/>
        <v>10432.568805468169</v>
      </c>
      <c r="Q11" s="171">
        <f t="shared" si="4"/>
        <v>11248.422330507134</v>
      </c>
      <c r="R11" s="171">
        <f t="shared" ref="R11:U11" si="5">SUM(R9:R10)</f>
        <v>11882.409913238551</v>
      </c>
      <c r="S11" s="171">
        <f t="shared" si="5"/>
        <v>12395.826477257959</v>
      </c>
      <c r="T11" s="171">
        <f t="shared" si="5"/>
        <v>12707.712571287133</v>
      </c>
      <c r="U11" s="171">
        <f t="shared" si="5"/>
        <v>13022.480862696493</v>
      </c>
    </row>
    <row r="12" spans="2:21" x14ac:dyDescent="0.35">
      <c r="B12" s="7" t="s">
        <v>325</v>
      </c>
      <c r="C12" s="125">
        <f>'P&amp;L Input'!C20/1000</f>
        <v>-9.4039999999999999</v>
      </c>
      <c r="D12" s="125">
        <f>'P&amp;L Input'!D20/1000</f>
        <v>-13.039</v>
      </c>
      <c r="E12" s="125">
        <f>'P&amp;L Input'!E20/1000</f>
        <v>-26.698</v>
      </c>
      <c r="F12" s="125">
        <f>'P&amp;L Input'!F20/1000</f>
        <v>-31.545999999999999</v>
      </c>
      <c r="G12" s="125">
        <f>'P&amp;L Input'!G20/1000</f>
        <v>-57.837000000000003</v>
      </c>
      <c r="H12" s="125">
        <f>'P&amp;L Input'!H20/1000</f>
        <v>-110</v>
      </c>
      <c r="I12" s="125">
        <f>'P&amp;L Input'!I20/1000</f>
        <v>-292</v>
      </c>
      <c r="J12" s="163">
        <f>IF(J11&gt;0,-J11*Drivers!$C$12,0)</f>
        <v>-577.65013994073581</v>
      </c>
      <c r="K12" s="163">
        <f>IF(K11&gt;0,-K11*Drivers!$C$12,0)</f>
        <v>-750.10718676825184</v>
      </c>
      <c r="L12" s="163">
        <f>IF(L11&gt;0,-L11*Drivers!$C$12,0)</f>
        <v>-1146.2998619056521</v>
      </c>
      <c r="M12" s="163">
        <f>IF(M11&gt;0,-M11*Drivers!$C$12,0)</f>
        <v>-1490.8428214147041</v>
      </c>
      <c r="N12" s="163">
        <f>IF(N11&gt;0,-N11*Drivers!$C$12,0)</f>
        <v>-1860.0325322745589</v>
      </c>
      <c r="O12" s="163">
        <f>IF(O11&gt;0,-O11*Drivers!$C$12,0)</f>
        <v>-2143.4984676624149</v>
      </c>
      <c r="P12" s="163">
        <f>IF(P11&gt;0,-P11*Drivers!$C$12,0)</f>
        <v>-2347.3279812303381</v>
      </c>
      <c r="Q12" s="163">
        <f>IF(Q11&gt;0,-Q11*Drivers!$C$12,0)</f>
        <v>-2530.8950243641052</v>
      </c>
      <c r="R12" s="163">
        <f>IF(R11&gt;0,-R11*Drivers!$C$12,0)</f>
        <v>-2673.5422304786739</v>
      </c>
      <c r="S12" s="163">
        <f>IF(S11&gt;0,-S11*Drivers!$C$12,0)</f>
        <v>-2789.0609573830407</v>
      </c>
      <c r="T12" s="163">
        <f>IF(T11&gt;0,-T11*Drivers!$C$12,0)</f>
        <v>-2859.2353285396048</v>
      </c>
      <c r="U12" s="163">
        <f>IF(U11&gt;0,-U11*Drivers!$C$12,0)</f>
        <v>-2930.0581941067112</v>
      </c>
    </row>
    <row r="13" spans="2:21" x14ac:dyDescent="0.35">
      <c r="B13" s="7" t="s">
        <v>326</v>
      </c>
      <c r="C13" s="125">
        <f>'P&amp;L Input'!C22/1000</f>
        <v>0</v>
      </c>
      <c r="D13" s="125">
        <f>'P&amp;L Input'!D22/1000</f>
        <v>0</v>
      </c>
      <c r="E13" s="125">
        <f>'P&amp;L Input'!E22/1000</f>
        <v>98.132000000000005</v>
      </c>
      <c r="F13" s="125">
        <f>'P&amp;L Input'!F22/1000</f>
        <v>279.178</v>
      </c>
      <c r="G13" s="125">
        <f>'P&amp;L Input'!G22/1000</f>
        <v>86.491</v>
      </c>
      <c r="H13" s="125">
        <f>'P&amp;L Input'!H22/1000</f>
        <v>-87</v>
      </c>
      <c r="I13" s="125">
        <f>'P&amp;L Input'!I22/1000</f>
        <v>-141</v>
      </c>
      <c r="J13" s="163">
        <f>I13</f>
        <v>-141</v>
      </c>
      <c r="K13" s="163">
        <f t="shared" ref="K13:U13" si="6">J13</f>
        <v>-141</v>
      </c>
      <c r="L13" s="163">
        <f t="shared" si="6"/>
        <v>-141</v>
      </c>
      <c r="M13" s="163">
        <f t="shared" si="6"/>
        <v>-141</v>
      </c>
      <c r="N13" s="163">
        <f t="shared" si="6"/>
        <v>-141</v>
      </c>
      <c r="O13" s="163">
        <f t="shared" si="6"/>
        <v>-141</v>
      </c>
      <c r="P13" s="163">
        <f t="shared" si="6"/>
        <v>-141</v>
      </c>
      <c r="Q13" s="163">
        <f t="shared" si="6"/>
        <v>-141</v>
      </c>
      <c r="R13" s="163">
        <f t="shared" si="6"/>
        <v>-141</v>
      </c>
      <c r="S13" s="163">
        <f t="shared" si="6"/>
        <v>-141</v>
      </c>
      <c r="T13" s="163">
        <f t="shared" si="6"/>
        <v>-141</v>
      </c>
      <c r="U13" s="163">
        <f t="shared" si="6"/>
        <v>-141</v>
      </c>
    </row>
    <row r="14" spans="2:21" ht="13.15" thickBot="1" x14ac:dyDescent="0.4">
      <c r="B14" s="45" t="s">
        <v>327</v>
      </c>
      <c r="C14" s="46">
        <f>SUM(C11:C12)</f>
        <v>-294.03999999999962</v>
      </c>
      <c r="D14" s="46">
        <f t="shared" ref="D14" si="7">SUM(D11:D12)</f>
        <v>-888.6629999999999</v>
      </c>
      <c r="E14" s="46">
        <f>SUM(E11:E13)</f>
        <v>-674.91400000000067</v>
      </c>
      <c r="F14" s="46">
        <f>SUM(F11:F13)</f>
        <v>-1961.3999999999987</v>
      </c>
      <c r="G14" s="46">
        <f t="shared" ref="G14:Q14" si="8">SUM(G11:G13)</f>
        <v>-976.09099999999944</v>
      </c>
      <c r="H14" s="46">
        <f t="shared" si="8"/>
        <v>-862</v>
      </c>
      <c r="I14" s="46">
        <f t="shared" si="8"/>
        <v>721</v>
      </c>
      <c r="J14" s="178">
        <f t="shared" si="8"/>
        <v>1848.6838153514232</v>
      </c>
      <c r="K14" s="178">
        <f t="shared" si="8"/>
        <v>2442.7025322017562</v>
      </c>
      <c r="L14" s="178">
        <f t="shared" si="8"/>
        <v>3807.366191008357</v>
      </c>
      <c r="M14" s="178">
        <f t="shared" si="8"/>
        <v>4994.1252737617579</v>
      </c>
      <c r="N14" s="178">
        <f t="shared" si="8"/>
        <v>6265.7787222790357</v>
      </c>
      <c r="O14" s="178">
        <f t="shared" si="8"/>
        <v>7242.1613886149844</v>
      </c>
      <c r="P14" s="178">
        <f t="shared" si="8"/>
        <v>7944.2408242378306</v>
      </c>
      <c r="Q14" s="178">
        <f t="shared" si="8"/>
        <v>8576.5273061430289</v>
      </c>
      <c r="R14" s="178">
        <f t="shared" ref="R14:U14" si="9">SUM(R11:R13)</f>
        <v>9067.8676827598774</v>
      </c>
      <c r="S14" s="178">
        <f t="shared" si="9"/>
        <v>9465.765519874918</v>
      </c>
      <c r="T14" s="178">
        <f t="shared" si="9"/>
        <v>9707.4772427475291</v>
      </c>
      <c r="U14" s="178">
        <f t="shared" si="9"/>
        <v>9951.4226685897811</v>
      </c>
    </row>
    <row r="15" spans="2:21" x14ac:dyDescent="0.35">
      <c r="C15" s="173"/>
    </row>
    <row r="16" spans="2:21" x14ac:dyDescent="0.35">
      <c r="B16" s="174" t="s">
        <v>328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</row>
    <row r="17" spans="2:21" x14ac:dyDescent="0.35">
      <c r="B17" s="175" t="s">
        <v>329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</row>
    <row r="18" spans="2:21" x14ac:dyDescent="0.35">
      <c r="B18" s="175" t="s">
        <v>177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</row>
  </sheetData>
  <mergeCells count="1">
    <mergeCell ref="C3:Q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C281-5E8C-4976-A89B-F7118C7059CD}">
  <dimension ref="B1:W46"/>
  <sheetViews>
    <sheetView tabSelected="1" topLeftCell="A13" workbookViewId="0">
      <selection activeCell="K5" sqref="K5"/>
    </sheetView>
  </sheetViews>
  <sheetFormatPr defaultColWidth="9.1328125" defaultRowHeight="12.75" x14ac:dyDescent="0.35"/>
  <cols>
    <col min="1" max="1" width="2" style="1" customWidth="1"/>
    <col min="2" max="2" width="29.53125" style="1" bestFit="1" customWidth="1"/>
    <col min="3" max="3" width="9.53125" style="1" bestFit="1" customWidth="1"/>
    <col min="4" max="4" width="9.33203125" style="1" bestFit="1" customWidth="1"/>
    <col min="5" max="6" width="10.33203125" style="1" bestFit="1" customWidth="1"/>
    <col min="7" max="7" width="11.53125" style="1" bestFit="1" customWidth="1"/>
    <col min="8" max="8" width="10.06640625" style="1" customWidth="1"/>
    <col min="9" max="9" width="9.33203125" style="1" bestFit="1" customWidth="1"/>
    <col min="10" max="11" width="9.86328125" style="1" bestFit="1" customWidth="1"/>
    <col min="12" max="14" width="10" style="1" bestFit="1" customWidth="1"/>
    <col min="15" max="17" width="9.796875" style="1" customWidth="1"/>
    <col min="18" max="18" width="9.6640625" style="1" customWidth="1"/>
    <col min="19" max="21" width="9.796875" style="1" customWidth="1"/>
    <col min="22" max="22" width="1.1328125" style="1" customWidth="1"/>
    <col min="23" max="23" width="11.86328125" style="1" customWidth="1"/>
    <col min="24" max="16384" width="9.1328125" style="1"/>
  </cols>
  <sheetData>
    <row r="1" spans="2:23" ht="15" x14ac:dyDescent="0.4">
      <c r="B1" s="121" t="s">
        <v>330</v>
      </c>
    </row>
    <row r="2" spans="2:23" ht="15" x14ac:dyDescent="0.4">
      <c r="B2" s="121"/>
    </row>
    <row r="3" spans="2:23" x14ac:dyDescent="0.35">
      <c r="C3" s="242" t="s">
        <v>331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2:23" s="4" customFormat="1" ht="23.25" x14ac:dyDescent="0.35">
      <c r="B4" s="14" t="s">
        <v>241</v>
      </c>
      <c r="C4" s="31" t="s">
        <v>261</v>
      </c>
      <c r="D4" s="31" t="s">
        <v>262</v>
      </c>
      <c r="E4" s="31" t="s">
        <v>263</v>
      </c>
      <c r="F4" s="31" t="s">
        <v>264</v>
      </c>
      <c r="G4" s="31" t="s">
        <v>287</v>
      </c>
      <c r="H4" s="31" t="s">
        <v>288</v>
      </c>
      <c r="I4" s="31" t="s">
        <v>289</v>
      </c>
      <c r="J4" s="32" t="s">
        <v>265</v>
      </c>
      <c r="K4" s="32" t="s">
        <v>266</v>
      </c>
      <c r="L4" s="32" t="s">
        <v>267</v>
      </c>
      <c r="M4" s="32" t="s">
        <v>268</v>
      </c>
      <c r="N4" s="32" t="s">
        <v>269</v>
      </c>
      <c r="O4" s="32" t="s">
        <v>270</v>
      </c>
      <c r="P4" s="32" t="s">
        <v>271</v>
      </c>
      <c r="Q4" s="32" t="s">
        <v>272</v>
      </c>
      <c r="R4" s="32" t="s">
        <v>283</v>
      </c>
      <c r="S4" s="32" t="s">
        <v>284</v>
      </c>
      <c r="T4" s="32" t="s">
        <v>285</v>
      </c>
      <c r="U4" s="32" t="s">
        <v>286</v>
      </c>
      <c r="W4" s="44" t="s">
        <v>332</v>
      </c>
    </row>
    <row r="5" spans="2:23" s="4" customFormat="1" x14ac:dyDescent="0.35">
      <c r="B5" s="4" t="s">
        <v>333</v>
      </c>
      <c r="C5" s="125">
        <f>'Balance Sheet Input'!C4/1000</f>
        <v>1905.713</v>
      </c>
      <c r="D5" s="125">
        <f>'Balance Sheet Input'!D4/1000</f>
        <v>1196.9079999999999</v>
      </c>
      <c r="E5" s="125">
        <f>'Balance Sheet Input'!E4/1000</f>
        <v>3393.2159999999999</v>
      </c>
      <c r="F5" s="125">
        <f>'Balance Sheet Input'!F4/1000</f>
        <v>3367.9140000000002</v>
      </c>
      <c r="G5" s="125">
        <f>'Balance Sheet Input'!G4/1000</f>
        <v>3685.6179999999999</v>
      </c>
      <c r="H5" s="125">
        <f>'Balance Sheet Input'!H4/1000</f>
        <v>6268</v>
      </c>
      <c r="I5" s="125">
        <f>'Balance Sheet Input'!I4/1000</f>
        <v>19384</v>
      </c>
      <c r="J5" s="168">
        <f>23702.3</f>
        <v>23702.3</v>
      </c>
      <c r="K5" s="168">
        <v>27453.9</v>
      </c>
      <c r="L5" s="168">
        <v>36036.199999999997</v>
      </c>
      <c r="M5" s="168">
        <v>44337.5</v>
      </c>
      <c r="N5" s="168">
        <v>53759.8</v>
      </c>
      <c r="O5" s="168">
        <v>54377.7</v>
      </c>
      <c r="P5" s="168">
        <v>65031</v>
      </c>
      <c r="Q5" s="168">
        <v>76530.2</v>
      </c>
      <c r="R5" s="168">
        <v>88583</v>
      </c>
      <c r="S5" s="168">
        <v>101253.8</v>
      </c>
      <c r="T5" s="168">
        <v>114693.4</v>
      </c>
      <c r="U5" s="168">
        <v>128506.4</v>
      </c>
      <c r="V5" s="1">
        <f>U5+'Cash Flow'!V28</f>
        <v>128506.4</v>
      </c>
      <c r="W5" s="4" t="s">
        <v>334</v>
      </c>
    </row>
    <row r="6" spans="2:23" s="4" customFormat="1" ht="11.65" x14ac:dyDescent="0.35">
      <c r="B6" s="4" t="s">
        <v>335</v>
      </c>
      <c r="C6" s="125">
        <f>'Balance Sheet Input'!C5/1000</f>
        <v>17.946999999999999</v>
      </c>
      <c r="D6" s="125">
        <f>'Balance Sheet Input'!D5/1000</f>
        <v>22.628</v>
      </c>
      <c r="E6" s="125">
        <f>'Balance Sheet Input'!E5/1000</f>
        <v>105.51900000000001</v>
      </c>
      <c r="F6" s="125">
        <f>'Balance Sheet Input'!F5/1000</f>
        <v>155.32300000000001</v>
      </c>
      <c r="G6" s="125">
        <f>'Balance Sheet Input'!G5/1000</f>
        <v>192.55099999999999</v>
      </c>
      <c r="H6" s="125">
        <f>'Balance Sheet Input'!H5/1000</f>
        <v>246</v>
      </c>
      <c r="I6" s="125">
        <f>'Balance Sheet Input'!I5/1000</f>
        <v>0</v>
      </c>
      <c r="J6" s="168">
        <v>0</v>
      </c>
      <c r="K6" s="168">
        <v>0</v>
      </c>
      <c r="L6" s="168">
        <v>0</v>
      </c>
      <c r="M6" s="168">
        <v>0</v>
      </c>
      <c r="N6" s="168">
        <v>0</v>
      </c>
      <c r="O6" s="168">
        <v>0</v>
      </c>
      <c r="P6" s="168">
        <v>0</v>
      </c>
      <c r="Q6" s="168">
        <v>0</v>
      </c>
      <c r="R6" s="168">
        <v>0</v>
      </c>
      <c r="S6" s="168">
        <v>0</v>
      </c>
      <c r="T6" s="168">
        <v>0</v>
      </c>
      <c r="U6" s="168">
        <v>0</v>
      </c>
      <c r="W6" s="4" t="s">
        <v>336</v>
      </c>
    </row>
    <row r="7" spans="2:23" s="4" customFormat="1" ht="11.65" x14ac:dyDescent="0.35">
      <c r="B7" s="4" t="s">
        <v>302</v>
      </c>
      <c r="C7" s="125">
        <f>'Balance Sheet Input'!C6/1000</f>
        <v>226.60400000000001</v>
      </c>
      <c r="D7" s="125">
        <f>'Balance Sheet Input'!D6/1000</f>
        <v>168.965</v>
      </c>
      <c r="E7" s="125">
        <f>'Balance Sheet Input'!E6/1000</f>
        <v>499.142</v>
      </c>
      <c r="F7" s="125">
        <f>'Balance Sheet Input'!F6/1000</f>
        <v>515.38099999999997</v>
      </c>
      <c r="G7" s="125">
        <f>'Balance Sheet Input'!G6/1000</f>
        <v>949.02200000000005</v>
      </c>
      <c r="H7" s="125">
        <f>'Balance Sheet Input'!H6/1000</f>
        <v>1324</v>
      </c>
      <c r="I7" s="125">
        <f>'Balance Sheet Input'!I6/1000</f>
        <v>1886</v>
      </c>
      <c r="J7" s="168">
        <f>'Working Capital'!J5</f>
        <v>2466.8469661480267</v>
      </c>
      <c r="K7" s="168">
        <f>'Working Capital'!K5</f>
        <v>3002.1748282215694</v>
      </c>
      <c r="L7" s="168">
        <f>'Working Capital'!L5</f>
        <v>4217.825115675676</v>
      </c>
      <c r="M7" s="168">
        <f>'Working Capital'!M5</f>
        <v>5278.8860443487483</v>
      </c>
      <c r="N7" s="168">
        <f>'Working Capital'!N5</f>
        <v>6288.6719603640431</v>
      </c>
      <c r="O7" s="168">
        <f>'Working Capital'!O5</f>
        <v>7150.0890461177887</v>
      </c>
      <c r="P7" s="168">
        <f>'Working Capital'!P5</f>
        <v>7774.9127499733213</v>
      </c>
      <c r="Q7" s="168">
        <f>'Working Capital'!Q5</f>
        <v>8365.7910659269965</v>
      </c>
      <c r="R7" s="168">
        <f>'Working Capital'!R5</f>
        <v>8840.5493620571997</v>
      </c>
      <c r="S7" s="168">
        <f>'Working Capital'!S5</f>
        <v>9275.1848463126844</v>
      </c>
      <c r="T7" s="168">
        <f>'Working Capital'!T5</f>
        <v>9585.294252233547</v>
      </c>
      <c r="U7" s="168">
        <f>'Working Capital'!U5</f>
        <v>9907.2552491745537</v>
      </c>
      <c r="W7" s="4" t="s">
        <v>337</v>
      </c>
    </row>
    <row r="8" spans="2:23" s="4" customFormat="1" ht="11.65" x14ac:dyDescent="0.35">
      <c r="B8" s="4" t="s">
        <v>25</v>
      </c>
      <c r="C8" s="125">
        <f>'Balance Sheet Input'!C7/1000</f>
        <v>953.67499999999995</v>
      </c>
      <c r="D8" s="125">
        <f>'Balance Sheet Input'!D7/1000</f>
        <v>1277.838</v>
      </c>
      <c r="E8" s="125">
        <f>'Balance Sheet Input'!E7/1000</f>
        <v>2067.4540000000002</v>
      </c>
      <c r="F8" s="125">
        <f>'Balance Sheet Input'!F7/1000</f>
        <v>2263.5369999999998</v>
      </c>
      <c r="G8" s="125">
        <f>'Balance Sheet Input'!G7/1000</f>
        <v>3113.4459999999999</v>
      </c>
      <c r="H8" s="125">
        <f>'Balance Sheet Input'!H7/1000</f>
        <v>3552</v>
      </c>
      <c r="I8" s="125">
        <f>'Balance Sheet Input'!I7/1000</f>
        <v>4101</v>
      </c>
      <c r="J8" s="168">
        <f>'Working Capital'!J6</f>
        <v>11671.742605722373</v>
      </c>
      <c r="K8" s="168">
        <f>'Working Capital'!K6</f>
        <v>14128.788299299305</v>
      </c>
      <c r="L8" s="168">
        <f>'Working Capital'!L6</f>
        <v>19781.104962822421</v>
      </c>
      <c r="M8" s="168">
        <f>'Working Capital'!M6</f>
        <v>24702.555136109924</v>
      </c>
      <c r="N8" s="168">
        <f>'Working Capital'!N6</f>
        <v>29340.800309222926</v>
      </c>
      <c r="O8" s="168">
        <f>'Working Capital'!O6</f>
        <v>33344.867911365887</v>
      </c>
      <c r="P8" s="168">
        <f>'Working Capital'!P6</f>
        <v>36251.758280393769</v>
      </c>
      <c r="Q8" s="168">
        <f>'Working Capital'!Q6</f>
        <v>39013.953426221487</v>
      </c>
      <c r="R8" s="168">
        <f>'Working Capital'!R6</f>
        <v>41240.295061040844</v>
      </c>
      <c r="S8" s="168">
        <f>'Working Capital'!S6</f>
        <v>43300.186258308633</v>
      </c>
      <c r="T8" s="168">
        <f>'Working Capital'!T6</f>
        <v>44787.53831914172</v>
      </c>
      <c r="U8" s="168">
        <f>'Working Capital'!U6</f>
        <v>46334.660878168601</v>
      </c>
      <c r="W8" s="4" t="s">
        <v>337</v>
      </c>
    </row>
    <row r="9" spans="2:23" s="4" customFormat="1" ht="11.65" x14ac:dyDescent="0.35">
      <c r="B9" s="4" t="s">
        <v>338</v>
      </c>
      <c r="C9" s="125">
        <f>'Balance Sheet Input'!C8/1000</f>
        <v>76.134</v>
      </c>
      <c r="D9" s="125">
        <f>'Balance Sheet Input'!D8/1000</f>
        <v>115.667</v>
      </c>
      <c r="E9" s="125">
        <f>'Balance Sheet Input'!E8/1000</f>
        <v>194.465</v>
      </c>
      <c r="F9" s="125">
        <f>'Balance Sheet Input'!F8/1000</f>
        <v>268.36500000000001</v>
      </c>
      <c r="G9" s="125">
        <f>'Balance Sheet Input'!G8/1000</f>
        <v>365.67099999999999</v>
      </c>
      <c r="H9" s="125">
        <f>'Balance Sheet Input'!H8/1000</f>
        <v>713</v>
      </c>
      <c r="I9" s="125">
        <f>'Balance Sheet Input'!I8/1000</f>
        <v>1346</v>
      </c>
      <c r="J9" s="168">
        <f>$J$10*'P&amp;L'!J5</f>
        <v>1625.6748502114892</v>
      </c>
      <c r="K9" s="168">
        <f>$J$10*'P&amp;L'!K5</f>
        <v>1978.4608373168689</v>
      </c>
      <c r="L9" s="168">
        <f>$J$10*'P&amp;L'!L5</f>
        <v>2779.5855629630728</v>
      </c>
      <c r="M9" s="168">
        <f>$J$10*'P&amp;L'!M5</f>
        <v>3478.8344786667285</v>
      </c>
      <c r="N9" s="168">
        <f>$J$10*'P&amp;L'!N5</f>
        <v>4144.292689204678</v>
      </c>
      <c r="O9" s="168">
        <f>$J$10*'P&amp;L'!O5</f>
        <v>4711.9744753347004</v>
      </c>
      <c r="P9" s="168">
        <f>$J$10*'P&amp;L'!P5</f>
        <v>5123.739045700423</v>
      </c>
      <c r="Q9" s="168">
        <f>$J$10*'P&amp;L'!Q5</f>
        <v>5513.1332930789486</v>
      </c>
      <c r="R9" s="168">
        <f>$J$10*'P&amp;L'!R5</f>
        <v>5826.0033788764867</v>
      </c>
      <c r="S9" s="168">
        <f>$J$10*'P&amp;L'!S5</f>
        <v>6112.4321624450713</v>
      </c>
      <c r="T9" s="168">
        <f>$J$10*'P&amp;L'!T5</f>
        <v>6316.7971145226538</v>
      </c>
      <c r="U9" s="168">
        <f>$J$10*'P&amp;L'!U5</f>
        <v>6528.9723741389025</v>
      </c>
      <c r="W9" s="4" t="s">
        <v>339</v>
      </c>
    </row>
    <row r="10" spans="2:23" s="4" customFormat="1" ht="11.65" x14ac:dyDescent="0.35">
      <c r="B10" s="179" t="s">
        <v>340</v>
      </c>
      <c r="C10" s="180">
        <f>C9/'P&amp;L'!C$5</f>
        <v>2.3804104358614235E-2</v>
      </c>
      <c r="D10" s="180">
        <f>D9/'P&amp;L'!D$5</f>
        <v>2.8587811493997195E-2</v>
      </c>
      <c r="E10" s="180">
        <f>E9/'P&amp;L'!E$5</f>
        <v>2.7780190430694737E-2</v>
      </c>
      <c r="F10" s="180">
        <f>F9/'P&amp;L'!F$5</f>
        <v>2.2822576989681983E-2</v>
      </c>
      <c r="G10" s="180">
        <f>G9/'P&amp;L'!G$5</f>
        <v>1.7038648415368559E-2</v>
      </c>
      <c r="H10" s="180">
        <f>H9/'P&amp;L'!H$5</f>
        <v>2.9009683456749938E-2</v>
      </c>
      <c r="I10" s="180">
        <f>I9/'P&amp;L'!I$5</f>
        <v>4.2681380010147131E-2</v>
      </c>
      <c r="J10" s="181">
        <f>AVERAGE($H$10:$I$10)</f>
        <v>3.5845531733448538E-2</v>
      </c>
      <c r="K10" s="181">
        <f t="shared" ref="K10:U10" si="0">AVERAGE($H$10:$I$10)</f>
        <v>3.5845531733448538E-2</v>
      </c>
      <c r="L10" s="181">
        <f t="shared" si="0"/>
        <v>3.5845531733448538E-2</v>
      </c>
      <c r="M10" s="181">
        <f t="shared" si="0"/>
        <v>3.5845531733448538E-2</v>
      </c>
      <c r="N10" s="181">
        <f t="shared" si="0"/>
        <v>3.5845531733448538E-2</v>
      </c>
      <c r="O10" s="181">
        <f t="shared" si="0"/>
        <v>3.5845531733448538E-2</v>
      </c>
      <c r="P10" s="181">
        <f t="shared" si="0"/>
        <v>3.5845531733448538E-2</v>
      </c>
      <c r="Q10" s="181">
        <f t="shared" si="0"/>
        <v>3.5845531733448538E-2</v>
      </c>
      <c r="R10" s="181">
        <f t="shared" si="0"/>
        <v>3.5845531733448538E-2</v>
      </c>
      <c r="S10" s="181">
        <f t="shared" si="0"/>
        <v>3.5845531733448538E-2</v>
      </c>
      <c r="T10" s="181">
        <f t="shared" si="0"/>
        <v>3.5845531733448538E-2</v>
      </c>
      <c r="U10" s="181">
        <f t="shared" si="0"/>
        <v>3.5845531733448538E-2</v>
      </c>
    </row>
    <row r="11" spans="2:23" s="4" customFormat="1" ht="11.65" x14ac:dyDescent="0.35">
      <c r="B11" s="4" t="s">
        <v>341</v>
      </c>
      <c r="C11" s="125">
        <f>'Balance Sheet Input'!C10/1000</f>
        <v>766.74400000000003</v>
      </c>
      <c r="D11" s="125">
        <f>'Balance Sheet Input'!D10/1000</f>
        <v>1791.403</v>
      </c>
      <c r="E11" s="125">
        <f>'Balance Sheet Input'!E10/1000</f>
        <v>3134.08</v>
      </c>
      <c r="F11" s="125">
        <f>'Balance Sheet Input'!F10/1000</f>
        <v>4116.6040000000003</v>
      </c>
      <c r="G11" s="125">
        <f>'Balance Sheet Input'!G10/1000</f>
        <v>2089.7579999999998</v>
      </c>
      <c r="H11" s="125">
        <f>'Balance Sheet Input'!H10/1000</f>
        <v>2447</v>
      </c>
      <c r="I11" s="125">
        <f>'Balance Sheet Input'!I10/1000</f>
        <v>3091</v>
      </c>
      <c r="J11" s="168">
        <f>I11</f>
        <v>3091</v>
      </c>
      <c r="K11" s="168">
        <f t="shared" ref="K11:U11" si="1">J11</f>
        <v>3091</v>
      </c>
      <c r="L11" s="168">
        <f t="shared" si="1"/>
        <v>3091</v>
      </c>
      <c r="M11" s="168">
        <f t="shared" si="1"/>
        <v>3091</v>
      </c>
      <c r="N11" s="168">
        <f t="shared" si="1"/>
        <v>3091</v>
      </c>
      <c r="O11" s="168">
        <f t="shared" si="1"/>
        <v>3091</v>
      </c>
      <c r="P11" s="168">
        <f t="shared" si="1"/>
        <v>3091</v>
      </c>
      <c r="Q11" s="168">
        <f t="shared" si="1"/>
        <v>3091</v>
      </c>
      <c r="R11" s="168">
        <f t="shared" si="1"/>
        <v>3091</v>
      </c>
      <c r="S11" s="168">
        <f t="shared" si="1"/>
        <v>3091</v>
      </c>
      <c r="T11" s="168">
        <f t="shared" si="1"/>
        <v>3091</v>
      </c>
      <c r="U11" s="168">
        <f t="shared" si="1"/>
        <v>3091</v>
      </c>
      <c r="W11" s="4" t="s">
        <v>336</v>
      </c>
    </row>
    <row r="12" spans="2:23" s="4" customFormat="1" ht="11.65" x14ac:dyDescent="0.35">
      <c r="B12" s="4" t="s">
        <v>342</v>
      </c>
      <c r="C12" s="125">
        <f>'Balance Sheet Input'!C11/1000</f>
        <v>0</v>
      </c>
      <c r="D12" s="125">
        <f>'Balance Sheet Input'!D11/1000</f>
        <v>0</v>
      </c>
      <c r="E12" s="125">
        <f>'Balance Sheet Input'!E11/1000</f>
        <v>5919.88</v>
      </c>
      <c r="F12" s="125">
        <f>'Balance Sheet Input'!F11/1000</f>
        <v>6347.49</v>
      </c>
      <c r="G12" s="125">
        <f>'Balance Sheet Input'!G11/1000</f>
        <v>6271.3959999999997</v>
      </c>
      <c r="H12" s="125">
        <f>'Balance Sheet Input'!H11/1000</f>
        <v>6138</v>
      </c>
      <c r="I12" s="125">
        <f>'Balance Sheet Input'!I11/1000</f>
        <v>5979</v>
      </c>
      <c r="J12" s="168">
        <f>I12</f>
        <v>5979</v>
      </c>
      <c r="K12" s="168">
        <f t="shared" ref="K12:U12" si="2">J12</f>
        <v>5979</v>
      </c>
      <c r="L12" s="168">
        <f t="shared" si="2"/>
        <v>5979</v>
      </c>
      <c r="M12" s="168">
        <f t="shared" si="2"/>
        <v>5979</v>
      </c>
      <c r="N12" s="168">
        <f t="shared" si="2"/>
        <v>5979</v>
      </c>
      <c r="O12" s="168">
        <f t="shared" si="2"/>
        <v>5979</v>
      </c>
      <c r="P12" s="168">
        <f t="shared" si="2"/>
        <v>5979</v>
      </c>
      <c r="Q12" s="168">
        <f t="shared" si="2"/>
        <v>5979</v>
      </c>
      <c r="R12" s="168">
        <f t="shared" si="2"/>
        <v>5979</v>
      </c>
      <c r="S12" s="168">
        <f t="shared" si="2"/>
        <v>5979</v>
      </c>
      <c r="T12" s="168">
        <f t="shared" si="2"/>
        <v>5979</v>
      </c>
      <c r="U12" s="168">
        <f t="shared" si="2"/>
        <v>5979</v>
      </c>
      <c r="W12" s="4" t="s">
        <v>336</v>
      </c>
    </row>
    <row r="13" spans="2:23" s="4" customFormat="1" ht="11.65" x14ac:dyDescent="0.35">
      <c r="B13" s="4" t="s">
        <v>343</v>
      </c>
      <c r="C13" s="125">
        <f>'Balance Sheet Input'!C12/1000</f>
        <v>1829.2670000000001</v>
      </c>
      <c r="D13" s="125">
        <f>'Balance Sheet Input'!D12/1000</f>
        <v>3403.3339999999998</v>
      </c>
      <c r="E13" s="125">
        <f>'Balance Sheet Input'!E12/1000</f>
        <v>5982.9570000000003</v>
      </c>
      <c r="F13" s="125">
        <f>'Balance Sheet Input'!F12/1000</f>
        <v>10027.522000000001</v>
      </c>
      <c r="G13" s="125">
        <f>'Balance Sheet Input'!G12/1000</f>
        <v>11330.076999999999</v>
      </c>
      <c r="H13" s="125">
        <f>'Balance Sheet Input'!H12/1000</f>
        <v>10396</v>
      </c>
      <c r="I13" s="125">
        <f>'Balance Sheet Input'!I12/1000</f>
        <v>12747</v>
      </c>
      <c r="J13" s="168">
        <f>'PP&amp;E'!G10</f>
        <v>13677.530999999999</v>
      </c>
      <c r="K13" s="168">
        <f>'PP&amp;E'!H10</f>
        <v>14524.018196333333</v>
      </c>
      <c r="L13" s="168">
        <f>'PP&amp;E'!I10</f>
        <v>15254.035137299001</v>
      </c>
      <c r="M13" s="168">
        <f>'PP&amp;E'!J10</f>
        <v>15831.161103722208</v>
      </c>
      <c r="N13" s="168">
        <f>'PP&amp;E'!K10</f>
        <v>16214.913409141885</v>
      </c>
      <c r="O13" s="168">
        <f>'PP&amp;E'!L10</f>
        <v>15014.90695366884</v>
      </c>
      <c r="P13" s="168">
        <f>'PP&amp;E'!M10</f>
        <v>13544.750783111802</v>
      </c>
      <c r="Q13" s="168">
        <f>'PP&amp;E'!N10</f>
        <v>11792.131487667941</v>
      </c>
      <c r="R13" s="168">
        <f>'PP&amp;E'!O10</f>
        <v>9746.3289478030147</v>
      </c>
      <c r="S13" s="168">
        <f>'PP&amp;E'!P10</f>
        <v>7398.4828644735662</v>
      </c>
      <c r="T13" s="168">
        <f>'PP&amp;E'!Q10</f>
        <v>4275.7629237046021</v>
      </c>
      <c r="U13" s="168">
        <f>'PP&amp;E'!R10</f>
        <v>1046.5340959414557</v>
      </c>
      <c r="W13" s="4" t="s">
        <v>344</v>
      </c>
    </row>
    <row r="14" spans="2:23" s="4" customFormat="1" ht="11.65" x14ac:dyDescent="0.35">
      <c r="B14" s="4" t="s">
        <v>112</v>
      </c>
      <c r="C14" s="125">
        <f>'Balance Sheet Input'!C13/1000</f>
        <v>0</v>
      </c>
      <c r="D14" s="125">
        <f>'Balance Sheet Input'!D13/1000</f>
        <v>0</v>
      </c>
      <c r="E14" s="125">
        <f>'Balance Sheet Input'!E13/1000</f>
        <v>0</v>
      </c>
      <c r="F14" s="125">
        <f>'Balance Sheet Input'!F13/1000</f>
        <v>0</v>
      </c>
      <c r="G14" s="125">
        <f>'Balance Sheet Input'!G13/1000</f>
        <v>0</v>
      </c>
      <c r="H14" s="125">
        <f>'Balance Sheet Input'!H13/1000</f>
        <v>1218</v>
      </c>
      <c r="I14" s="125">
        <f>'Balance Sheet Input'!I13/1000</f>
        <v>1558</v>
      </c>
      <c r="J14" s="168">
        <f>I14</f>
        <v>1558</v>
      </c>
      <c r="K14" s="168">
        <f t="shared" ref="K14:U14" si="3">J14</f>
        <v>1558</v>
      </c>
      <c r="L14" s="168">
        <f t="shared" si="3"/>
        <v>1558</v>
      </c>
      <c r="M14" s="168">
        <f t="shared" si="3"/>
        <v>1558</v>
      </c>
      <c r="N14" s="168">
        <f t="shared" si="3"/>
        <v>1558</v>
      </c>
      <c r="O14" s="168">
        <f t="shared" si="3"/>
        <v>1558</v>
      </c>
      <c r="P14" s="168">
        <f t="shared" si="3"/>
        <v>1558</v>
      </c>
      <c r="Q14" s="168">
        <f t="shared" si="3"/>
        <v>1558</v>
      </c>
      <c r="R14" s="168">
        <f t="shared" si="3"/>
        <v>1558</v>
      </c>
      <c r="S14" s="168">
        <f t="shared" si="3"/>
        <v>1558</v>
      </c>
      <c r="T14" s="168">
        <f t="shared" si="3"/>
        <v>1558</v>
      </c>
      <c r="U14" s="168">
        <f t="shared" si="3"/>
        <v>1558</v>
      </c>
    </row>
    <row r="15" spans="2:23" s="4" customFormat="1" ht="11.65" x14ac:dyDescent="0.35">
      <c r="B15" s="4" t="s">
        <v>345</v>
      </c>
      <c r="C15" s="125">
        <f>'Balance Sheet Input'!C14/1000</f>
        <v>0</v>
      </c>
      <c r="D15" s="125">
        <f>'Balance Sheet Input'!D14/1000</f>
        <v>12.816000000000001</v>
      </c>
      <c r="E15" s="125">
        <f>'Balance Sheet Input'!E14/1000</f>
        <v>376.14499999999998</v>
      </c>
      <c r="F15" s="125">
        <f>'Balance Sheet Input'!F14/1000</f>
        <v>361.50200000000001</v>
      </c>
      <c r="G15" s="125">
        <f>'Balance Sheet Input'!G14/1000</f>
        <v>282.49200000000002</v>
      </c>
      <c r="H15" s="125">
        <f>'Balance Sheet Input'!H14/1000</f>
        <v>339</v>
      </c>
      <c r="I15" s="125">
        <f>'Balance Sheet Input'!I14/1000</f>
        <v>313</v>
      </c>
      <c r="J15" s="168">
        <f>I15</f>
        <v>313</v>
      </c>
      <c r="K15" s="168">
        <f t="shared" ref="K15:U15" si="4">J15</f>
        <v>313</v>
      </c>
      <c r="L15" s="168">
        <f t="shared" si="4"/>
        <v>313</v>
      </c>
      <c r="M15" s="168">
        <f t="shared" si="4"/>
        <v>313</v>
      </c>
      <c r="N15" s="168">
        <f t="shared" si="4"/>
        <v>313</v>
      </c>
      <c r="O15" s="168">
        <f t="shared" si="4"/>
        <v>313</v>
      </c>
      <c r="P15" s="168">
        <f t="shared" si="4"/>
        <v>313</v>
      </c>
      <c r="Q15" s="168">
        <f t="shared" si="4"/>
        <v>313</v>
      </c>
      <c r="R15" s="168">
        <f t="shared" si="4"/>
        <v>313</v>
      </c>
      <c r="S15" s="168">
        <f t="shared" si="4"/>
        <v>313</v>
      </c>
      <c r="T15" s="168">
        <f t="shared" si="4"/>
        <v>313</v>
      </c>
      <c r="U15" s="168">
        <f t="shared" si="4"/>
        <v>313</v>
      </c>
      <c r="W15" s="4" t="s">
        <v>336</v>
      </c>
    </row>
    <row r="16" spans="2:23" s="4" customFormat="1" ht="11.65" x14ac:dyDescent="0.35">
      <c r="B16" s="4" t="s">
        <v>362</v>
      </c>
      <c r="C16" s="125">
        <f>'Balance Sheet Input'!C15/1000</f>
        <v>0</v>
      </c>
      <c r="D16" s="125">
        <f>'Balance Sheet Input'!D15/1000</f>
        <v>0</v>
      </c>
      <c r="E16" s="125">
        <f>'Balance Sheet Input'!E15/1000</f>
        <v>0</v>
      </c>
      <c r="F16" s="125">
        <f>'Balance Sheet Input'!F15/1000</f>
        <v>0</v>
      </c>
      <c r="G16" s="125">
        <f>'Balance Sheet Input'!G15/1000</f>
        <v>68.159000000000006</v>
      </c>
      <c r="H16" s="125">
        <f>'Balance Sheet Input'!H15/1000</f>
        <v>198</v>
      </c>
      <c r="I16" s="125">
        <f>'Balance Sheet Input'!I15/1000</f>
        <v>207</v>
      </c>
      <c r="J16" s="168">
        <f>I16</f>
        <v>207</v>
      </c>
      <c r="K16" s="168">
        <f t="shared" ref="K16:U16" si="5">J16</f>
        <v>207</v>
      </c>
      <c r="L16" s="168">
        <f t="shared" si="5"/>
        <v>207</v>
      </c>
      <c r="M16" s="168">
        <f t="shared" si="5"/>
        <v>207</v>
      </c>
      <c r="N16" s="168">
        <f t="shared" si="5"/>
        <v>207</v>
      </c>
      <c r="O16" s="168">
        <f t="shared" si="5"/>
        <v>207</v>
      </c>
      <c r="P16" s="168">
        <f t="shared" si="5"/>
        <v>207</v>
      </c>
      <c r="Q16" s="168">
        <f t="shared" si="5"/>
        <v>207</v>
      </c>
      <c r="R16" s="168">
        <f t="shared" si="5"/>
        <v>207</v>
      </c>
      <c r="S16" s="168">
        <f t="shared" si="5"/>
        <v>207</v>
      </c>
      <c r="T16" s="168">
        <f t="shared" si="5"/>
        <v>207</v>
      </c>
      <c r="U16" s="168">
        <f t="shared" si="5"/>
        <v>207</v>
      </c>
    </row>
    <row r="17" spans="2:23" s="4" customFormat="1" ht="11.65" x14ac:dyDescent="0.35">
      <c r="B17" s="4" t="s">
        <v>363</v>
      </c>
      <c r="C17" s="125">
        <f>'Balance Sheet Input'!C16/1000</f>
        <v>0</v>
      </c>
      <c r="D17" s="125">
        <f>'Balance Sheet Input'!D16/1000</f>
        <v>0</v>
      </c>
      <c r="E17" s="125">
        <f>'Balance Sheet Input'!E16/1000</f>
        <v>506.30200000000002</v>
      </c>
      <c r="F17" s="125">
        <f>'Balance Sheet Input'!F16/1000</f>
        <v>516.88900000000001</v>
      </c>
      <c r="G17" s="125">
        <f>'Balance Sheet Input'!G16/1000</f>
        <v>421.548</v>
      </c>
      <c r="H17" s="125">
        <f>'Balance Sheet Input'!H16/1000</f>
        <v>393</v>
      </c>
      <c r="I17" s="125">
        <f>'Balance Sheet Input'!I16/1000</f>
        <v>0</v>
      </c>
      <c r="J17" s="168">
        <v>0</v>
      </c>
      <c r="K17" s="168">
        <v>0</v>
      </c>
      <c r="L17" s="168">
        <v>0</v>
      </c>
      <c r="M17" s="168">
        <v>0</v>
      </c>
      <c r="N17" s="168">
        <v>0</v>
      </c>
      <c r="O17" s="168">
        <v>0</v>
      </c>
      <c r="P17" s="168">
        <v>0</v>
      </c>
      <c r="Q17" s="168">
        <v>0</v>
      </c>
      <c r="R17" s="168">
        <v>0</v>
      </c>
      <c r="S17" s="168">
        <v>0</v>
      </c>
      <c r="T17" s="168">
        <v>0</v>
      </c>
      <c r="U17" s="168">
        <v>0</v>
      </c>
    </row>
    <row r="18" spans="2:23" s="4" customFormat="1" ht="11.65" x14ac:dyDescent="0.35">
      <c r="B18" s="4" t="s">
        <v>32</v>
      </c>
      <c r="C18" s="125">
        <f>'Balance Sheet Input'!C17/1000</f>
        <v>11.374000000000001</v>
      </c>
      <c r="D18" s="125">
        <f>'Balance Sheet Input'!D17/1000</f>
        <v>31.521999999999998</v>
      </c>
      <c r="E18" s="125">
        <f>'Balance Sheet Input'!E17/1000</f>
        <v>268.16500000000002</v>
      </c>
      <c r="F18" s="125">
        <f>'Balance Sheet Input'!F17/1000</f>
        <v>441.72199999999998</v>
      </c>
      <c r="G18" s="125">
        <f>'Balance Sheet Input'!G17/1000</f>
        <v>398.21899999999999</v>
      </c>
      <c r="H18" s="125">
        <f>'Balance Sheet Input'!H17/1000</f>
        <v>269</v>
      </c>
      <c r="I18" s="125">
        <f>'Balance Sheet Input'!I17/1000</f>
        <v>0</v>
      </c>
      <c r="J18" s="168">
        <v>0</v>
      </c>
      <c r="K18" s="168">
        <v>0</v>
      </c>
      <c r="L18" s="168">
        <v>0</v>
      </c>
      <c r="M18" s="168">
        <v>0</v>
      </c>
      <c r="N18" s="168">
        <v>0</v>
      </c>
      <c r="O18" s="168">
        <v>0</v>
      </c>
      <c r="P18" s="168">
        <v>0</v>
      </c>
      <c r="Q18" s="168">
        <v>0</v>
      </c>
      <c r="R18" s="168">
        <v>0</v>
      </c>
      <c r="S18" s="168">
        <v>0</v>
      </c>
      <c r="T18" s="168">
        <v>0</v>
      </c>
      <c r="U18" s="168">
        <v>0</v>
      </c>
    </row>
    <row r="19" spans="2:23" s="4" customFormat="1" ht="11.65" x14ac:dyDescent="0.35">
      <c r="B19" s="4" t="s">
        <v>33</v>
      </c>
      <c r="C19" s="125">
        <f>'Balance Sheet Input'!C18/1000</f>
        <v>43.209000000000003</v>
      </c>
      <c r="D19" s="125">
        <f>'Balance Sheet Input'!D18/1000</f>
        <v>46.857999999999997</v>
      </c>
      <c r="E19" s="125">
        <f>'Balance Sheet Input'!E18/1000</f>
        <v>216.751</v>
      </c>
      <c r="F19" s="125">
        <f>'Balance Sheet Input'!F18/1000</f>
        <v>273.12299999999999</v>
      </c>
      <c r="G19" s="125">
        <f>'Balance Sheet Input'!G18/1000</f>
        <v>571.65700000000004</v>
      </c>
      <c r="H19" s="125">
        <f>'Balance Sheet Input'!H18/1000</f>
        <v>808</v>
      </c>
      <c r="I19" s="125">
        <f>'Balance Sheet Input'!I18/1000</f>
        <v>1536</v>
      </c>
      <c r="J19" s="168">
        <f>$J$20*'P&amp;L'!J5</f>
        <v>1849.9440340844269</v>
      </c>
      <c r="K19" s="168">
        <f>$J$20*'P&amp;L'!K5</f>
        <v>2251.3984405847668</v>
      </c>
      <c r="L19" s="168">
        <f>$J$20*'P&amp;L'!L5</f>
        <v>3163.0419384059428</v>
      </c>
      <c r="M19" s="168">
        <f>$J$20*'P&amp;L'!M5</f>
        <v>3958.7553984362171</v>
      </c>
      <c r="N19" s="168">
        <f>$J$20*'P&amp;L'!N5</f>
        <v>4716.0165729921418</v>
      </c>
      <c r="O19" s="168">
        <f>$J$20*'P&amp;L'!O5</f>
        <v>5362.0126240308873</v>
      </c>
      <c r="P19" s="168">
        <f>$J$20*'P&amp;L'!P5</f>
        <v>5830.5819755812963</v>
      </c>
      <c r="Q19" s="168">
        <f>$J$20*'P&amp;L'!Q5</f>
        <v>6273.6949171089236</v>
      </c>
      <c r="R19" s="168">
        <f>$J$20*'P&amp;L'!R5</f>
        <v>6629.7268435358728</v>
      </c>
      <c r="S19" s="168">
        <f>$J$20*'P&amp;L'!S5</f>
        <v>6955.6697707355088</v>
      </c>
      <c r="T19" s="168">
        <f>$J$20*'P&amp;L'!T5</f>
        <v>7188.2277904543298</v>
      </c>
      <c r="U19" s="168">
        <f>$J$20*'P&amp;L'!U5</f>
        <v>7429.6735848924545</v>
      </c>
      <c r="W19" s="4" t="s">
        <v>339</v>
      </c>
    </row>
    <row r="20" spans="2:23" s="4" customFormat="1" ht="11.65" x14ac:dyDescent="0.35">
      <c r="B20" s="179" t="s">
        <v>340</v>
      </c>
      <c r="C20" s="180">
        <f>C19/('P&amp;L'!C$5)</f>
        <v>1.3509753135673453E-2</v>
      </c>
      <c r="D20" s="180">
        <f>D19/('P&amp;L'!D$5)</f>
        <v>1.1581243319060065E-2</v>
      </c>
      <c r="E20" s="180">
        <f>E19/('P&amp;L'!E$5)</f>
        <v>3.0963844681786003E-2</v>
      </c>
      <c r="F20" s="180">
        <f>F19/('P&amp;L'!F$5)</f>
        <v>2.3227211801661585E-2</v>
      </c>
      <c r="G20" s="180">
        <f>G19/('P&amp;L'!G$5)</f>
        <v>2.6636683349744294E-2</v>
      </c>
      <c r="H20" s="180">
        <f>H19/('P&amp;L'!H$5)</f>
        <v>3.287492879811213E-2</v>
      </c>
      <c r="I20" s="180">
        <f>I19/('P&amp;L'!I$5)</f>
        <v>4.8706240487062402E-2</v>
      </c>
      <c r="J20" s="181">
        <f>AVERAGE($H$20:$I$20)</f>
        <v>4.0790584642587266E-2</v>
      </c>
      <c r="K20" s="181">
        <f t="shared" ref="K20:U20" si="6">AVERAGE($H$20:$I$20)</f>
        <v>4.0790584642587266E-2</v>
      </c>
      <c r="L20" s="181">
        <f t="shared" si="6"/>
        <v>4.0790584642587266E-2</v>
      </c>
      <c r="M20" s="181">
        <f t="shared" si="6"/>
        <v>4.0790584642587266E-2</v>
      </c>
      <c r="N20" s="181">
        <f t="shared" si="6"/>
        <v>4.0790584642587266E-2</v>
      </c>
      <c r="O20" s="181">
        <f t="shared" si="6"/>
        <v>4.0790584642587266E-2</v>
      </c>
      <c r="P20" s="181">
        <f t="shared" si="6"/>
        <v>4.0790584642587266E-2</v>
      </c>
      <c r="Q20" s="181">
        <f t="shared" si="6"/>
        <v>4.0790584642587266E-2</v>
      </c>
      <c r="R20" s="181">
        <f t="shared" si="6"/>
        <v>4.0790584642587266E-2</v>
      </c>
      <c r="S20" s="181">
        <f t="shared" si="6"/>
        <v>4.0790584642587266E-2</v>
      </c>
      <c r="T20" s="181">
        <f t="shared" si="6"/>
        <v>4.0790584642587266E-2</v>
      </c>
      <c r="U20" s="181">
        <f t="shared" si="6"/>
        <v>4.0790584642587266E-2</v>
      </c>
    </row>
    <row r="21" spans="2:23" s="4" customFormat="1" ht="12" thickBot="1" x14ac:dyDescent="0.4">
      <c r="B21" s="45" t="s">
        <v>34</v>
      </c>
      <c r="C21" s="46">
        <f t="shared" ref="C21:H21" si="7">C5+C6+C7+C8+C9+C11+C13+C19+C12+C15+C14+C16+C17+C18</f>
        <v>5830.6669999999995</v>
      </c>
      <c r="D21" s="46">
        <f t="shared" si="7"/>
        <v>8067.9389999999994</v>
      </c>
      <c r="E21" s="46">
        <f t="shared" si="7"/>
        <v>22664.076000000001</v>
      </c>
      <c r="F21" s="46">
        <f t="shared" si="7"/>
        <v>28655.371999999999</v>
      </c>
      <c r="G21" s="46">
        <f t="shared" si="7"/>
        <v>29739.613999999994</v>
      </c>
      <c r="H21" s="46">
        <f t="shared" si="7"/>
        <v>34309</v>
      </c>
      <c r="I21" s="46">
        <f>I5+I6+I7+I8+I9+I11+I13+I19+I12+I15+I14+I16+I17+I18</f>
        <v>52148</v>
      </c>
      <c r="J21" s="46">
        <f>J5+J6+J7+J8+J9+J11+J13+J19+J12+J15+J14+J16+J17+J18</f>
        <v>66142.039456166312</v>
      </c>
      <c r="K21" s="46">
        <f t="shared" ref="K21:U21" si="8">K5+K6+K7+K8+K9+K11+K13+K19+K12+K15+K14+K16+K17+K18</f>
        <v>74486.740601755839</v>
      </c>
      <c r="L21" s="46">
        <f t="shared" si="8"/>
        <v>92379.792717166114</v>
      </c>
      <c r="M21" s="46">
        <f t="shared" si="8"/>
        <v>108735.69216128382</v>
      </c>
      <c r="N21" s="46">
        <f t="shared" si="8"/>
        <v>125612.49494092568</v>
      </c>
      <c r="O21" s="46">
        <f t="shared" si="8"/>
        <v>131109.5510105181</v>
      </c>
      <c r="P21" s="46">
        <f t="shared" si="8"/>
        <v>144704.7428347606</v>
      </c>
      <c r="Q21" s="46">
        <f t="shared" si="8"/>
        <v>158636.90419000431</v>
      </c>
      <c r="R21" s="46">
        <f t="shared" si="8"/>
        <v>172013.90359331339</v>
      </c>
      <c r="S21" s="46">
        <f t="shared" si="8"/>
        <v>185443.75590227547</v>
      </c>
      <c r="T21" s="46">
        <f t="shared" si="8"/>
        <v>197995.02040005685</v>
      </c>
      <c r="U21" s="46">
        <f t="shared" si="8"/>
        <v>210901.49618231595</v>
      </c>
    </row>
    <row r="22" spans="2:23" s="4" customFormat="1" ht="11.65" x14ac:dyDescent="0.35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2:23" s="4" customFormat="1" ht="11.65" x14ac:dyDescent="0.35">
      <c r="B23" s="4" t="s">
        <v>35</v>
      </c>
      <c r="C23" s="125">
        <f>'Balance Sheet Input'!C20/1000</f>
        <v>777.94600000000003</v>
      </c>
      <c r="D23" s="125">
        <f>'Balance Sheet Input'!D20/1000</f>
        <v>916.14800000000002</v>
      </c>
      <c r="E23" s="125">
        <f>'Balance Sheet Input'!E20/1000</f>
        <v>1860.3409999999999</v>
      </c>
      <c r="F23" s="125">
        <f>'Balance Sheet Input'!F20/1000</f>
        <v>2390.25</v>
      </c>
      <c r="G23" s="125">
        <f>'Balance Sheet Input'!G20/1000</f>
        <v>3404.451</v>
      </c>
      <c r="H23" s="125">
        <f>'Balance Sheet Input'!H20/1000</f>
        <v>3771</v>
      </c>
      <c r="I23" s="125">
        <f>'Balance Sheet Input'!I20/1000</f>
        <v>6051</v>
      </c>
      <c r="J23" s="168">
        <f>'Working Capital'!J7</f>
        <v>10230.300226574771</v>
      </c>
      <c r="K23" s="168">
        <f>'Working Capital'!K7</f>
        <v>12383.904530989514</v>
      </c>
      <c r="L23" s="168">
        <f>'Working Capital'!L7</f>
        <v>17338.168722453323</v>
      </c>
      <c r="M23" s="168">
        <f>'Working Capital'!M7</f>
        <v>21651.827318572057</v>
      </c>
      <c r="N23" s="168">
        <f>'Working Capital'!N7</f>
        <v>25717.256299343393</v>
      </c>
      <c r="O23" s="168">
        <f>'Working Capital'!O7</f>
        <v>29226.827670231985</v>
      </c>
      <c r="P23" s="168">
        <f>'Working Capital'!P7</f>
        <v>31774.721519974173</v>
      </c>
      <c r="Q23" s="168">
        <f>'Working Capital'!Q7</f>
        <v>34195.78978550899</v>
      </c>
      <c r="R23" s="168">
        <f>'Working Capital'!R7</f>
        <v>36147.18162994177</v>
      </c>
      <c r="S23" s="168">
        <f>'Working Capital'!S7</f>
        <v>37952.679411549499</v>
      </c>
      <c r="T23" s="168">
        <f>'Working Capital'!T7</f>
        <v>39256.345765318903</v>
      </c>
      <c r="U23" s="168">
        <f>'Working Capital'!U7</f>
        <v>40612.401052075467</v>
      </c>
      <c r="V23" s="26"/>
      <c r="W23" s="4" t="s">
        <v>337</v>
      </c>
    </row>
    <row r="24" spans="2:23" s="4" customFormat="1" ht="11.65" x14ac:dyDescent="0.35">
      <c r="B24" s="4" t="s">
        <v>36</v>
      </c>
      <c r="C24" s="125">
        <f>'Balance Sheet Input'!C21/1000</f>
        <v>268.88299999999998</v>
      </c>
      <c r="D24" s="125">
        <f>'Balance Sheet Input'!D21/1000</f>
        <v>422.798</v>
      </c>
      <c r="E24" s="125">
        <f>'Balance Sheet Input'!E21/1000</f>
        <v>1210.028</v>
      </c>
      <c r="F24" s="125">
        <f>'Balance Sheet Input'!F21/1000</f>
        <v>1731.366</v>
      </c>
      <c r="G24" s="125">
        <f>'Balance Sheet Input'!G21/1000</f>
        <v>2094.2530000000002</v>
      </c>
      <c r="H24" s="125">
        <f>'Balance Sheet Input'!H21/1000</f>
        <v>2905</v>
      </c>
      <c r="I24" s="125">
        <f>'Balance Sheet Input'!I21/1000</f>
        <v>3855</v>
      </c>
      <c r="J24" s="168">
        <f>J25*'P&amp;L'!J5</f>
        <v>5452.1632170201883</v>
      </c>
      <c r="K24" s="168">
        <f>K25*'P&amp;L'!K5</f>
        <v>6635.3314146003395</v>
      </c>
      <c r="L24" s="168">
        <f>L25*'P&amp;L'!L5</f>
        <v>9322.131152472517</v>
      </c>
      <c r="M24" s="168">
        <f>M25*'P&amp;L'!M5</f>
        <v>11667.261371621047</v>
      </c>
      <c r="N24" s="168">
        <f>N25*'P&amp;L'!N5</f>
        <v>13899.064845413535</v>
      </c>
      <c r="O24" s="168">
        <f>O25*'P&amp;L'!O5</f>
        <v>15802.947256405978</v>
      </c>
      <c r="P24" s="168">
        <f>P25*'P&amp;L'!P5</f>
        <v>17183.916916069506</v>
      </c>
      <c r="Q24" s="168">
        <f>Q25*'P&amp;L'!Q5</f>
        <v>18489.861331830296</v>
      </c>
      <c r="R24" s="168">
        <f>R25*'P&amp;L'!R5</f>
        <v>19539.160195787852</v>
      </c>
      <c r="S24" s="168">
        <f>S25*'P&amp;L'!S5</f>
        <v>20499.780628505574</v>
      </c>
      <c r="T24" s="168">
        <f>T25*'P&amp;L'!T5</f>
        <v>21185.176649991994</v>
      </c>
      <c r="U24" s="168">
        <f>U25*'P&amp;L'!U5</f>
        <v>21896.76676033351</v>
      </c>
      <c r="V24" s="26">
        <f>V25*'P&amp;L'!V5</f>
        <v>0</v>
      </c>
      <c r="W24" s="4" t="s">
        <v>339</v>
      </c>
    </row>
    <row r="25" spans="2:23" s="4" customFormat="1" ht="11.65" x14ac:dyDescent="0.35">
      <c r="B25" s="179" t="s">
        <v>340</v>
      </c>
      <c r="C25" s="180">
        <f>C24/('P&amp;L'!C$5)</f>
        <v>8.406912801451745E-2</v>
      </c>
      <c r="D25" s="180">
        <f>D24/('P&amp;L'!D$5)</f>
        <v>0.1044971298990985</v>
      </c>
      <c r="E25" s="180">
        <f>E24/('P&amp;L'!E$5)</f>
        <v>0.17285788325134441</v>
      </c>
      <c r="F25" s="180">
        <f>F24/('P&amp;L'!F$5)</f>
        <v>0.14724063805756241</v>
      </c>
      <c r="G25" s="180">
        <f>G24/('P&amp;L'!G$5)</f>
        <v>9.758291075811551E-2</v>
      </c>
      <c r="H25" s="180">
        <f>H24/('P&amp;L'!H$5)</f>
        <v>0.11819513385954919</v>
      </c>
      <c r="I25" s="180">
        <f>I24/('P&amp;L'!I$5)</f>
        <v>0.12224124809741248</v>
      </c>
      <c r="J25" s="181">
        <f>AVERAGE($H25:$I25)</f>
        <v>0.12021819097848083</v>
      </c>
      <c r="K25" s="181">
        <f>AVERAGE($H25:$I25)</f>
        <v>0.12021819097848083</v>
      </c>
      <c r="L25" s="181">
        <f t="shared" ref="L25:V25" si="9">AVERAGE($H25:$I25)</f>
        <v>0.12021819097848083</v>
      </c>
      <c r="M25" s="181">
        <f t="shared" si="9"/>
        <v>0.12021819097848083</v>
      </c>
      <c r="N25" s="181">
        <f t="shared" si="9"/>
        <v>0.12021819097848083</v>
      </c>
      <c r="O25" s="181">
        <f t="shared" si="9"/>
        <v>0.12021819097848083</v>
      </c>
      <c r="P25" s="181">
        <f t="shared" si="9"/>
        <v>0.12021819097848083</v>
      </c>
      <c r="Q25" s="181">
        <f t="shared" si="9"/>
        <v>0.12021819097848083</v>
      </c>
      <c r="R25" s="181">
        <f t="shared" si="9"/>
        <v>0.12021819097848083</v>
      </c>
      <c r="S25" s="181">
        <f t="shared" si="9"/>
        <v>0.12021819097848083</v>
      </c>
      <c r="T25" s="181">
        <f t="shared" si="9"/>
        <v>0.12021819097848083</v>
      </c>
      <c r="U25" s="181">
        <f t="shared" si="9"/>
        <v>0.12021819097848083</v>
      </c>
      <c r="V25" s="26">
        <f t="shared" si="9"/>
        <v>0.12021819097848083</v>
      </c>
    </row>
    <row r="26" spans="2:23" s="4" customFormat="1" ht="11.65" x14ac:dyDescent="0.35">
      <c r="B26" s="4" t="s">
        <v>37</v>
      </c>
      <c r="C26" s="125">
        <f>'Balance Sheet Input'!C22/1000</f>
        <v>191.65100000000001</v>
      </c>
      <c r="D26" s="125">
        <f>'Balance Sheet Input'!D22/1000</f>
        <v>423.96100000000001</v>
      </c>
      <c r="E26" s="125">
        <f>'Balance Sheet Input'!E22/1000</f>
        <v>763.12599999999998</v>
      </c>
      <c r="F26" s="125">
        <f>'Balance Sheet Input'!F22/1000</f>
        <v>1015.253</v>
      </c>
      <c r="G26" s="125">
        <f>'Balance Sheet Input'!G22/1000</f>
        <v>630.29200000000003</v>
      </c>
      <c r="H26" s="125">
        <f>'Balance Sheet Input'!H22/1000</f>
        <v>1163</v>
      </c>
      <c r="I26" s="125">
        <f>'Balance Sheet Input'!I22/1000</f>
        <v>1458</v>
      </c>
      <c r="J26" s="168">
        <f>J27*'P&amp;L'!J5</f>
        <v>2121.3872926260883</v>
      </c>
      <c r="K26" s="168">
        <f>K27*'P&amp;L'!K5</f>
        <v>2581.7473147821443</v>
      </c>
      <c r="L26" s="168">
        <f>L27*'P&amp;L'!L5</f>
        <v>3627.1567412571403</v>
      </c>
      <c r="M26" s="168">
        <f>M27*'P&amp;L'!M5</f>
        <v>4539.62565468305</v>
      </c>
      <c r="N26" s="168">
        <f>N27*'P&amp;L'!N5</f>
        <v>5408.0001586161407</v>
      </c>
      <c r="O26" s="168">
        <f>O27*'P&amp;L'!O5</f>
        <v>6148.7835490923126</v>
      </c>
      <c r="P26" s="168">
        <f>P27*'P&amp;L'!P5</f>
        <v>6686.1063273919508</v>
      </c>
      <c r="Q26" s="168">
        <f>Q27*'P&amp;L'!Q5</f>
        <v>7194.2374632725587</v>
      </c>
      <c r="R26" s="168">
        <f>R27*'P&amp;L'!R5</f>
        <v>7602.5101410268999</v>
      </c>
      <c r="S26" s="168">
        <f>S27*'P&amp;L'!S5</f>
        <v>7976.2788449135942</v>
      </c>
      <c r="T26" s="168">
        <f>T27*'P&amp;L'!T5</f>
        <v>8242.9602248581286</v>
      </c>
      <c r="U26" s="168">
        <f>U27*'P&amp;L'!U5</f>
        <v>8519.8334873687691</v>
      </c>
      <c r="V26" s="26">
        <f>V27*'P&amp;L'!V5</f>
        <v>0</v>
      </c>
      <c r="W26" s="4" t="s">
        <v>339</v>
      </c>
    </row>
    <row r="27" spans="2:23" s="4" customFormat="1" ht="11.65" x14ac:dyDescent="0.35">
      <c r="B27" s="179" t="s">
        <v>340</v>
      </c>
      <c r="C27" s="180">
        <f>C26/('P&amp;L'!C$5)</f>
        <v>5.9921722284823828E-2</v>
      </c>
      <c r="D27" s="180">
        <f>D26/('P&amp;L'!D$5)</f>
        <v>0.10478457251252773</v>
      </c>
      <c r="E27" s="180">
        <f>E26/('P&amp;L'!E$5)</f>
        <v>0.10901594427076518</v>
      </c>
      <c r="F27" s="180">
        <f>F26/('P&amp;L'!F$5)</f>
        <v>8.6340207391074106E-2</v>
      </c>
      <c r="G27" s="180">
        <f>G26/('P&amp;L'!G$5)</f>
        <v>2.9368814554666577E-2</v>
      </c>
      <c r="H27" s="180">
        <f>H26/('P&amp;L'!H$5)</f>
        <v>4.7318740336886649E-2</v>
      </c>
      <c r="I27" s="180">
        <f>I26/('P&amp;L'!I$5)</f>
        <v>4.6232876712328765E-2</v>
      </c>
      <c r="J27" s="181">
        <f>AVERAGE($H27:$I27)</f>
        <v>4.6775808524607707E-2</v>
      </c>
      <c r="K27" s="181">
        <f>AVERAGE($H27:$I27)</f>
        <v>4.6775808524607707E-2</v>
      </c>
      <c r="L27" s="181">
        <f t="shared" ref="L27:V27" si="10">AVERAGE($H27:$I27)</f>
        <v>4.6775808524607707E-2</v>
      </c>
      <c r="M27" s="181">
        <f t="shared" si="10"/>
        <v>4.6775808524607707E-2</v>
      </c>
      <c r="N27" s="181">
        <f t="shared" si="10"/>
        <v>4.6775808524607707E-2</v>
      </c>
      <c r="O27" s="181">
        <f t="shared" si="10"/>
        <v>4.6775808524607707E-2</v>
      </c>
      <c r="P27" s="181">
        <f t="shared" si="10"/>
        <v>4.6775808524607707E-2</v>
      </c>
      <c r="Q27" s="181">
        <f t="shared" si="10"/>
        <v>4.6775808524607707E-2</v>
      </c>
      <c r="R27" s="181">
        <f t="shared" si="10"/>
        <v>4.6775808524607707E-2</v>
      </c>
      <c r="S27" s="181">
        <f t="shared" si="10"/>
        <v>4.6775808524607707E-2</v>
      </c>
      <c r="T27" s="181">
        <f t="shared" si="10"/>
        <v>4.6775808524607707E-2</v>
      </c>
      <c r="U27" s="181">
        <f t="shared" si="10"/>
        <v>4.6775808524607707E-2</v>
      </c>
      <c r="V27" s="26">
        <f t="shared" si="10"/>
        <v>4.6775808524607707E-2</v>
      </c>
    </row>
    <row r="28" spans="2:23" s="4" customFormat="1" ht="11.65" x14ac:dyDescent="0.35">
      <c r="B28" s="4" t="s">
        <v>38</v>
      </c>
      <c r="C28" s="125">
        <f>'Balance Sheet Input'!C23/1000</f>
        <v>0</v>
      </c>
      <c r="D28" s="125">
        <f>'Balance Sheet Input'!D23/1000</f>
        <v>136.83099999999999</v>
      </c>
      <c r="E28" s="125">
        <f>'Balance Sheet Input'!E23/1000</f>
        <v>179.50399999999999</v>
      </c>
      <c r="F28" s="125">
        <f>'Balance Sheet Input'!F23/1000</f>
        <v>787.33299999999997</v>
      </c>
      <c r="G28" s="125">
        <f>'Balance Sheet Input'!G23/1000</f>
        <v>502.84</v>
      </c>
      <c r="H28" s="125">
        <f>'Balance Sheet Input'!H23/1000</f>
        <v>317</v>
      </c>
      <c r="I28" s="125">
        <f>'Balance Sheet Input'!I23/1000</f>
        <v>0</v>
      </c>
      <c r="J28" s="168">
        <f>J29*'P&amp;L'!J5</f>
        <v>292.47004144278031</v>
      </c>
      <c r="K28" s="168">
        <f>K29*'P&amp;L'!K5</f>
        <v>355.93865711074102</v>
      </c>
      <c r="L28" s="168">
        <f>L29*'P&amp;L'!L5</f>
        <v>500.06648296724592</v>
      </c>
      <c r="M28" s="168">
        <f>M29*'P&amp;L'!M5</f>
        <v>625.86615276472241</v>
      </c>
      <c r="N28" s="168">
        <f>N29*'P&amp;L'!N5</f>
        <v>745.58664323620451</v>
      </c>
      <c r="O28" s="168">
        <f>O29*'P&amp;L'!O5</f>
        <v>847.71648518717006</v>
      </c>
      <c r="P28" s="168">
        <f>P29*'P&amp;L'!P5</f>
        <v>921.79575198757891</v>
      </c>
      <c r="Q28" s="168">
        <f>Q29*'P&amp;L'!Q5</f>
        <v>991.85044444564437</v>
      </c>
      <c r="R28" s="168">
        <f>R29*'P&amp;L'!R5</f>
        <v>1048.1379160439828</v>
      </c>
      <c r="S28" s="168">
        <f>S29*'P&amp;L'!S5</f>
        <v>1099.6684162481356</v>
      </c>
      <c r="T28" s="168">
        <f>T29*'P&amp;L'!T5</f>
        <v>1136.4350710289527</v>
      </c>
      <c r="U28" s="168">
        <f>U29*'P&amp;L'!U5</f>
        <v>1174.6068536366643</v>
      </c>
      <c r="V28" s="26">
        <f>V29*'P&amp;L'!V5</f>
        <v>0</v>
      </c>
      <c r="W28" s="4" t="s">
        <v>339</v>
      </c>
    </row>
    <row r="29" spans="2:23" s="4" customFormat="1" ht="11.65" x14ac:dyDescent="0.35">
      <c r="B29" s="179" t="s">
        <v>340</v>
      </c>
      <c r="C29" s="180">
        <f>C28/('P&amp;L'!C$5)</f>
        <v>0</v>
      </c>
      <c r="D29" s="180">
        <f>D28/('P&amp;L'!D$5)</f>
        <v>3.3818624452394634E-2</v>
      </c>
      <c r="E29" s="180">
        <f>E28/('P&amp;L'!E$5)</f>
        <v>2.5642945018751074E-2</v>
      </c>
      <c r="F29" s="180">
        <f>F28/('P&amp;L'!F$5)</f>
        <v>6.6957196389310386E-2</v>
      </c>
      <c r="G29" s="180">
        <f>G28/('P&amp;L'!G$5)</f>
        <v>2.3430116058380145E-2</v>
      </c>
      <c r="H29" s="180">
        <f>H28/('P&amp;L'!H$5)</f>
        <v>1.2897713402229637E-2</v>
      </c>
      <c r="I29" s="180">
        <f>I28/('P&amp;L'!I$5)</f>
        <v>0</v>
      </c>
      <c r="J29" s="181">
        <f>AVERAGE($H29:$I29)</f>
        <v>6.4488567011148183E-3</v>
      </c>
      <c r="K29" s="181">
        <f>AVERAGE($H29:$I29)</f>
        <v>6.4488567011148183E-3</v>
      </c>
      <c r="L29" s="181">
        <f t="shared" ref="L29:V29" si="11">AVERAGE($H29:$I29)</f>
        <v>6.4488567011148183E-3</v>
      </c>
      <c r="M29" s="181">
        <f t="shared" si="11"/>
        <v>6.4488567011148183E-3</v>
      </c>
      <c r="N29" s="181">
        <f t="shared" si="11"/>
        <v>6.4488567011148183E-3</v>
      </c>
      <c r="O29" s="181">
        <f t="shared" si="11"/>
        <v>6.4488567011148183E-3</v>
      </c>
      <c r="P29" s="181">
        <f t="shared" si="11"/>
        <v>6.4488567011148183E-3</v>
      </c>
      <c r="Q29" s="181">
        <f t="shared" si="11"/>
        <v>6.4488567011148183E-3</v>
      </c>
      <c r="R29" s="181">
        <f t="shared" si="11"/>
        <v>6.4488567011148183E-3</v>
      </c>
      <c r="S29" s="181">
        <f t="shared" si="11"/>
        <v>6.4488567011148183E-3</v>
      </c>
      <c r="T29" s="181">
        <f t="shared" si="11"/>
        <v>6.4488567011148183E-3</v>
      </c>
      <c r="U29" s="181">
        <f t="shared" si="11"/>
        <v>6.4488567011148183E-3</v>
      </c>
      <c r="V29" s="26">
        <f t="shared" si="11"/>
        <v>6.4488567011148183E-3</v>
      </c>
    </row>
    <row r="30" spans="2:23" s="4" customFormat="1" ht="11.65" x14ac:dyDescent="0.35">
      <c r="B30" s="4" t="s">
        <v>39</v>
      </c>
      <c r="C30" s="125">
        <f>'Balance Sheet Input'!C24/1000</f>
        <v>257.58699999999999</v>
      </c>
      <c r="D30" s="125">
        <f>'Balance Sheet Input'!D24/1000</f>
        <v>283.37</v>
      </c>
      <c r="E30" s="125">
        <f>'Balance Sheet Input'!E24/1000</f>
        <v>663.85900000000004</v>
      </c>
      <c r="F30" s="125">
        <f>'Balance Sheet Input'!F24/1000</f>
        <v>853.91899999999998</v>
      </c>
      <c r="G30" s="125">
        <f>'Balance Sheet Input'!G24/1000</f>
        <v>792.601</v>
      </c>
      <c r="H30" s="125">
        <f>'Balance Sheet Input'!H24/1000</f>
        <v>726</v>
      </c>
      <c r="I30" s="125">
        <f>'Balance Sheet Input'!I24/1000</f>
        <v>752</v>
      </c>
      <c r="J30" s="168">
        <f>J31*'P&amp;L'!J5</f>
        <v>1210.5502720290767</v>
      </c>
      <c r="K30" s="168">
        <f>K31*'P&amp;L'!K5</f>
        <v>1473.2505116267464</v>
      </c>
      <c r="L30" s="168">
        <f>L31*'P&amp;L'!L5</f>
        <v>2069.8038472670601</v>
      </c>
      <c r="M30" s="168">
        <f>M31*'P&amp;L'!M5</f>
        <v>2590.4958940259658</v>
      </c>
      <c r="N30" s="168">
        <f>N31*'P&amp;L'!N5</f>
        <v>3086.0258689689249</v>
      </c>
      <c r="O30" s="168">
        <f>O31*'P&amp;L'!O5</f>
        <v>3508.7471410217277</v>
      </c>
      <c r="P30" s="168">
        <f>P31*'P&amp;L'!P5</f>
        <v>3815.3654740809584</v>
      </c>
      <c r="Q30" s="168">
        <f>Q31*'P&amp;L'!Q5</f>
        <v>4105.3258631644876</v>
      </c>
      <c r="R30" s="168">
        <f>R31*'P&amp;L'!R5</f>
        <v>4338.3029356846773</v>
      </c>
      <c r="S30" s="168">
        <f>S31*'P&amp;L'!S5</f>
        <v>4551.5906308352787</v>
      </c>
      <c r="T30" s="168">
        <f>T31*'P&amp;L'!T5</f>
        <v>4703.7699232064087</v>
      </c>
      <c r="U30" s="168">
        <f>U31*'P&amp;L'!U5</f>
        <v>4861.7651202243578</v>
      </c>
      <c r="V30" s="26">
        <f>V31*'P&amp;L'!V5</f>
        <v>0</v>
      </c>
      <c r="W30" s="4" t="s">
        <v>339</v>
      </c>
    </row>
    <row r="31" spans="2:23" s="4" customFormat="1" ht="11.65" x14ac:dyDescent="0.35">
      <c r="B31" s="179" t="s">
        <v>340</v>
      </c>
      <c r="C31" s="180">
        <f>C30/('P&amp;L'!C$5)</f>
        <v>8.053731354483365E-2</v>
      </c>
      <c r="D31" s="180">
        <f>D30/('P&amp;L'!D$5)</f>
        <v>7.0036640900637048E-2</v>
      </c>
      <c r="E31" s="180">
        <f>E30/('P&amp;L'!E$5)</f>
        <v>9.4835211678865494E-2</v>
      </c>
      <c r="F31" s="180">
        <f>F30/('P&amp;L'!F$5)</f>
        <v>7.2619872637833732E-2</v>
      </c>
      <c r="G31" s="180">
        <f>G30/('P&amp;L'!G$5)</f>
        <v>3.6931694809458605E-2</v>
      </c>
      <c r="H31" s="180">
        <f>H30/('P&amp;L'!H$5)</f>
        <v>2.9538611766620555E-2</v>
      </c>
      <c r="I31" s="180">
        <f>I30/('P&amp;L'!I$5)</f>
        <v>2.3845763571790968E-2</v>
      </c>
      <c r="J31" s="181">
        <f>AVERAGE($H31:$I31)</f>
        <v>2.6692187669205759E-2</v>
      </c>
      <c r="K31" s="181">
        <f>AVERAGE($H31:$I31)</f>
        <v>2.6692187669205759E-2</v>
      </c>
      <c r="L31" s="181">
        <f t="shared" ref="L31:V31" si="12">AVERAGE($H31:$I31)</f>
        <v>2.6692187669205759E-2</v>
      </c>
      <c r="M31" s="181">
        <f t="shared" si="12"/>
        <v>2.6692187669205759E-2</v>
      </c>
      <c r="N31" s="181">
        <f t="shared" si="12"/>
        <v>2.6692187669205759E-2</v>
      </c>
      <c r="O31" s="181">
        <f t="shared" si="12"/>
        <v>2.6692187669205759E-2</v>
      </c>
      <c r="P31" s="181">
        <f t="shared" si="12"/>
        <v>2.6692187669205759E-2</v>
      </c>
      <c r="Q31" s="181">
        <f t="shared" si="12"/>
        <v>2.6692187669205759E-2</v>
      </c>
      <c r="R31" s="181">
        <f t="shared" si="12"/>
        <v>2.6692187669205759E-2</v>
      </c>
      <c r="S31" s="181">
        <f t="shared" si="12"/>
        <v>2.6692187669205759E-2</v>
      </c>
      <c r="T31" s="181">
        <f t="shared" si="12"/>
        <v>2.6692187669205759E-2</v>
      </c>
      <c r="U31" s="181">
        <f t="shared" si="12"/>
        <v>2.6692187669205759E-2</v>
      </c>
      <c r="V31" s="26">
        <f t="shared" si="12"/>
        <v>2.6692187669205759E-2</v>
      </c>
    </row>
    <row r="32" spans="2:23" s="4" customFormat="1" ht="11.65" x14ac:dyDescent="0.35">
      <c r="B32" s="4" t="s">
        <v>346</v>
      </c>
      <c r="C32" s="125">
        <f>('Balance Sheet Input'!C25+'Balance Sheet Input'!C28)/1000</f>
        <v>2429.884</v>
      </c>
      <c r="D32" s="125">
        <f>('Balance Sheet Input'!D25+'Balance Sheet Input'!D28)/1000</f>
        <v>2649.02</v>
      </c>
      <c r="E32" s="125">
        <f>('Balance Sheet Input'!E25+'Balance Sheet Input'!E28)/1000</f>
        <v>6844.26</v>
      </c>
      <c r="F32" s="125">
        <f>('Balance Sheet Input'!F25+'Balance Sheet Input'!F28)/1000</f>
        <v>10212.249</v>
      </c>
      <c r="G32" s="125">
        <f>('Balance Sheet Input'!G25+'Balance Sheet Input'!G28)/1000</f>
        <v>11971.370999999999</v>
      </c>
      <c r="H32" s="125">
        <f>('Balance Sheet Input'!H25+'Balance Sheet Input'!H28)/1000</f>
        <v>13419</v>
      </c>
      <c r="I32" s="125">
        <f>('Balance Sheet Input'!I25+'Balance Sheet Input'!I28)/1000</f>
        <v>11688</v>
      </c>
      <c r="J32" s="168">
        <f>I32</f>
        <v>11688</v>
      </c>
      <c r="K32" s="168">
        <f t="shared" ref="K32:U32" si="13">J32</f>
        <v>11688</v>
      </c>
      <c r="L32" s="168">
        <f t="shared" si="13"/>
        <v>11688</v>
      </c>
      <c r="M32" s="168">
        <f t="shared" si="13"/>
        <v>11688</v>
      </c>
      <c r="N32" s="168">
        <f t="shared" si="13"/>
        <v>11688</v>
      </c>
      <c r="O32" s="168">
        <f t="shared" si="13"/>
        <v>11688</v>
      </c>
      <c r="P32" s="168">
        <f t="shared" si="13"/>
        <v>11688</v>
      </c>
      <c r="Q32" s="168">
        <f t="shared" si="13"/>
        <v>11688</v>
      </c>
      <c r="R32" s="168">
        <f t="shared" si="13"/>
        <v>11688</v>
      </c>
      <c r="S32" s="168">
        <f t="shared" si="13"/>
        <v>11688</v>
      </c>
      <c r="T32" s="168">
        <f t="shared" si="13"/>
        <v>11688</v>
      </c>
      <c r="U32" s="168">
        <f t="shared" si="13"/>
        <v>11688</v>
      </c>
      <c r="V32" s="26"/>
      <c r="W32" s="4" t="s">
        <v>347</v>
      </c>
    </row>
    <row r="33" spans="2:23" s="4" customFormat="1" ht="11.65" x14ac:dyDescent="0.35">
      <c r="B33" s="4" t="s">
        <v>43</v>
      </c>
      <c r="C33" s="26">
        <f>('Balance Sheet Input'!C26+'Balance Sheet Input'!C29+'Balance Sheet Input'!C30+'Balance Sheet Input'!C31)/1000</f>
        <v>993.00599999999997</v>
      </c>
      <c r="D33" s="26">
        <f>('Balance Sheet Input'!D26+'Balance Sheet Input'!D29+'Balance Sheet Input'!D30+'Balance Sheet Input'!D31)/1000</f>
        <v>2152.107</v>
      </c>
      <c r="E33" s="26">
        <f>('Balance Sheet Input'!E26+'Balance Sheet Input'!E29+'Balance Sheet Input'!E30+'Balance Sheet Input'!E31)/1000</f>
        <v>5604.8720000000003</v>
      </c>
      <c r="F33" s="26">
        <f>('Balance Sheet Input'!F26+'Balance Sheet Input'!F29+'Balance Sheet Input'!F30+'Balance Sheet Input'!F31)/1000</f>
        <v>6430.4139999999998</v>
      </c>
      <c r="G33" s="26">
        <f>('Balance Sheet Input'!G26+'Balance Sheet Input'!G29+'Balance Sheet Input'!G30+'Balance Sheet Input'!G31)/1000</f>
        <v>4030.2020000000002</v>
      </c>
      <c r="H33" s="26">
        <f>('Balance Sheet Input'!H26+'Balance Sheet Input'!H29+'Balance Sheet Input'!H30+'Balance Sheet Input'!H31)/1000</f>
        <v>3898</v>
      </c>
      <c r="I33" s="26">
        <f>('Balance Sheet Input'!I26+'Balance Sheet Input'!I29+'Balance Sheet Input'!I30+'Balance Sheet Input'!I31)/1000</f>
        <v>4614</v>
      </c>
      <c r="J33" s="168">
        <f>J34*'P&amp;L'!J5</f>
        <v>6914.0859935129347</v>
      </c>
      <c r="K33" s="168">
        <f>K34*'P&amp;L'!K5</f>
        <v>8414.5045131422557</v>
      </c>
      <c r="L33" s="168">
        <f>L34*'P&amp;L'!L5</f>
        <v>11821.732744499048</v>
      </c>
      <c r="M33" s="168">
        <f>M34*'P&amp;L'!M5</f>
        <v>14795.677462544478</v>
      </c>
      <c r="N33" s="168">
        <f>N34*'P&amp;L'!N5</f>
        <v>17625.908423028399</v>
      </c>
      <c r="O33" s="168">
        <f>O34*'P&amp;L'!O5</f>
        <v>9201.6549154897075</v>
      </c>
      <c r="P33" s="168">
        <f>P34*'P&amp;L'!P5</f>
        <v>10005.758482426185</v>
      </c>
      <c r="Q33" s="168">
        <f>Q34*'P&amp;L'!Q5</f>
        <v>10766.176754895605</v>
      </c>
      <c r="R33" s="168">
        <f>R34*'P&amp;L'!R5</f>
        <v>11377.156839350351</v>
      </c>
      <c r="S33" s="168">
        <f>S34*'P&amp;L'!S5</f>
        <v>11936.501725036387</v>
      </c>
      <c r="T33" s="168">
        <f>T34*'P&amp;L'!T5</f>
        <v>12335.590424621274</v>
      </c>
      <c r="U33" s="168">
        <f>U34*'P&amp;L'!U5</f>
        <v>12749.931277020412</v>
      </c>
      <c r="W33" s="4" t="s">
        <v>339</v>
      </c>
    </row>
    <row r="34" spans="2:23" s="4" customFormat="1" ht="11.65" x14ac:dyDescent="0.35">
      <c r="B34" s="179" t="s">
        <v>340</v>
      </c>
      <c r="C34" s="180">
        <f>C33/('P&amp;L'!C$5)</f>
        <v>0.31047388095634126</v>
      </c>
      <c r="D34" s="180">
        <f>D33/('P&amp;L'!D$5)</f>
        <v>0.53190650082488367</v>
      </c>
      <c r="E34" s="180">
        <f>E33/('P&amp;L'!E$5)</f>
        <v>0.80068090144585857</v>
      </c>
      <c r="F34" s="180">
        <f>F33/('P&amp;L'!F$5)</f>
        <v>0.54686199240038336</v>
      </c>
      <c r="G34" s="180">
        <f>G33/('P&amp;L'!G$5)</f>
        <v>0.18778955651641832</v>
      </c>
      <c r="H34" s="180">
        <f>H33/('P&amp;L'!H$5)</f>
        <v>0.15859711937505086</v>
      </c>
      <c r="I34" s="180">
        <f>I33/('P&amp;L'!I$5)</f>
        <v>0.1463089802130898</v>
      </c>
      <c r="J34" s="181">
        <f>AVERAGE($H34:$I34)</f>
        <v>0.15245304979407032</v>
      </c>
      <c r="K34" s="181">
        <f t="shared" ref="K34:N34" si="14">AVERAGE($H34:$I34)</f>
        <v>0.15245304979407032</v>
      </c>
      <c r="L34" s="181">
        <f t="shared" si="14"/>
        <v>0.15245304979407032</v>
      </c>
      <c r="M34" s="181">
        <f t="shared" si="14"/>
        <v>0.15245304979407032</v>
      </c>
      <c r="N34" s="181">
        <f t="shared" si="14"/>
        <v>0.15245304979407032</v>
      </c>
      <c r="O34" s="181">
        <v>7.0000000000000007E-2</v>
      </c>
      <c r="P34" s="181">
        <v>7.0000000000000007E-2</v>
      </c>
      <c r="Q34" s="181">
        <v>7.0000000000000007E-2</v>
      </c>
      <c r="R34" s="181">
        <v>7.0000000000000007E-2</v>
      </c>
      <c r="S34" s="181">
        <v>7.0000000000000007E-2</v>
      </c>
      <c r="T34" s="181">
        <v>7.0000000000000007E-2</v>
      </c>
      <c r="U34" s="181">
        <v>7.0000000000000007E-2</v>
      </c>
    </row>
    <row r="35" spans="2:23" s="4" customFormat="1" ht="11.65" x14ac:dyDescent="0.35">
      <c r="B35" s="24" t="s">
        <v>44</v>
      </c>
      <c r="C35" s="182">
        <f>C23+C24+C26+C28+C30+C32+C33</f>
        <v>4918.9570000000003</v>
      </c>
      <c r="D35" s="182">
        <f t="shared" ref="D35:U35" si="15">D23+D24+D26+D28+D30+D32+D33</f>
        <v>6984.2349999999997</v>
      </c>
      <c r="E35" s="182">
        <f t="shared" si="15"/>
        <v>17125.990000000002</v>
      </c>
      <c r="F35" s="182">
        <f t="shared" si="15"/>
        <v>23420.784</v>
      </c>
      <c r="G35" s="182">
        <f t="shared" si="15"/>
        <v>23426.01</v>
      </c>
      <c r="H35" s="182">
        <f t="shared" si="15"/>
        <v>26199</v>
      </c>
      <c r="I35" s="182">
        <f t="shared" si="15"/>
        <v>28418</v>
      </c>
      <c r="J35" s="182">
        <f t="shared" si="15"/>
        <v>37908.957043205839</v>
      </c>
      <c r="K35" s="182">
        <f t="shared" si="15"/>
        <v>43532.676942251739</v>
      </c>
      <c r="L35" s="182">
        <f t="shared" si="15"/>
        <v>56367.059690916329</v>
      </c>
      <c r="M35" s="182">
        <f t="shared" si="15"/>
        <v>67558.753854211318</v>
      </c>
      <c r="N35" s="182">
        <f t="shared" si="15"/>
        <v>78169.842238606594</v>
      </c>
      <c r="O35" s="182">
        <f t="shared" si="15"/>
        <v>76424.677017428869</v>
      </c>
      <c r="P35" s="182">
        <f t="shared" si="15"/>
        <v>82075.664471930344</v>
      </c>
      <c r="Q35" s="182">
        <f t="shared" si="15"/>
        <v>87431.241643117566</v>
      </c>
      <c r="R35" s="182">
        <f t="shared" si="15"/>
        <v>91740.449657835532</v>
      </c>
      <c r="S35" s="182">
        <f t="shared" si="15"/>
        <v>95704.499657088483</v>
      </c>
      <c r="T35" s="182">
        <f t="shared" si="15"/>
        <v>98548.278059025673</v>
      </c>
      <c r="U35" s="182">
        <f t="shared" si="15"/>
        <v>101503.30455065919</v>
      </c>
    </row>
    <row r="36" spans="2:23" s="4" customFormat="1" ht="11.65" x14ac:dyDescent="0.35">
      <c r="B36" s="24" t="s">
        <v>307</v>
      </c>
      <c r="C36" s="182">
        <f>('Balance Sheet Input'!C33+'Balance Sheet Input'!C34+'Balance Sheet Input'!C35+'Balance Sheet Input'!C36)/1000</f>
        <v>911.71</v>
      </c>
      <c r="D36" s="182">
        <f>('Balance Sheet Input'!D33+'Balance Sheet Input'!D34+'Balance Sheet Input'!D35+'Balance Sheet Input'!D36)/1000</f>
        <v>1083.704</v>
      </c>
      <c r="E36" s="182">
        <f>('Balance Sheet Input'!E33+'Balance Sheet Input'!E34+'Balance Sheet Input'!E35+'Balance Sheet Input'!E36)/1000</f>
        <v>5538.0860000000002</v>
      </c>
      <c r="F36" s="182">
        <f>('Balance Sheet Input'!F33+'Balance Sheet Input'!F34+'Balance Sheet Input'!F35+'Balance Sheet Input'!F36)/1000</f>
        <v>5234.5879999999997</v>
      </c>
      <c r="G36" s="182">
        <f>('Balance Sheet Input'!G33+'Balance Sheet Input'!G34+'Balance Sheet Input'!G35+'Balance Sheet Input'!G36)/1000</f>
        <v>6313.6040000000003</v>
      </c>
      <c r="H36" s="182">
        <f>('Balance Sheet Input'!H33+'Balance Sheet Input'!H34+'Balance Sheet Input'!H35+'Balance Sheet Input'!H36)/1000</f>
        <v>8110</v>
      </c>
      <c r="I36" s="182">
        <f>('Balance Sheet Input'!I33+'Balance Sheet Input'!I34+'Balance Sheet Input'!I35+'Balance Sheet Input'!I36)/1000</f>
        <v>23730</v>
      </c>
      <c r="J36" s="183">
        <f>I36+'P&amp;L'!J14+Financing!J20</f>
        <v>28233.055102766826</v>
      </c>
      <c r="K36" s="183">
        <f>J36+'P&amp;L'!K14+Financing!K20</f>
        <v>30954.076315540995</v>
      </c>
      <c r="L36" s="183">
        <f>K36+'P&amp;L'!L14+Financing!L20</f>
        <v>36012.702651447311</v>
      </c>
      <c r="M36" s="183">
        <f>L36+'P&amp;L'!M14+Financing!M20</f>
        <v>41176.917534892193</v>
      </c>
      <c r="N36" s="183">
        <f>M36+'P&amp;L'!N14+Financing!N20</f>
        <v>47442.696257171228</v>
      </c>
      <c r="O36" s="183">
        <f>N36+'P&amp;L'!O14+Financing!O20</f>
        <v>54684.857645786215</v>
      </c>
      <c r="P36" s="183">
        <f>O36+'P&amp;L'!P14+Financing!P20</f>
        <v>62629.098470024044</v>
      </c>
      <c r="Q36" s="183">
        <f>P36+'P&amp;L'!Q14+Financing!Q20</f>
        <v>71205.625776167071</v>
      </c>
      <c r="R36" s="183">
        <f>Q36+'P&amp;L'!R14+Financing!R20</f>
        <v>80273.493458926954</v>
      </c>
      <c r="S36" s="183">
        <f>R36+'P&amp;L'!S14+Financing!S20</f>
        <v>89739.258978801867</v>
      </c>
      <c r="T36" s="183">
        <f>S36+'P&amp;L'!T14+Financing!T20</f>
        <v>99446.736221549392</v>
      </c>
      <c r="U36" s="183">
        <f>T36+'P&amp;L'!U14+Financing!U20</f>
        <v>109398.15889013917</v>
      </c>
    </row>
    <row r="37" spans="2:23" s="4" customFormat="1" ht="11.65" x14ac:dyDescent="0.35"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</row>
    <row r="38" spans="2:23" s="4" customFormat="1" ht="12" thickBot="1" x14ac:dyDescent="0.4">
      <c r="B38" s="45" t="s">
        <v>348</v>
      </c>
      <c r="C38" s="46">
        <f>C35+C36</f>
        <v>5830.6670000000004</v>
      </c>
      <c r="D38" s="46">
        <f t="shared" ref="D38:V38" si="16">D35+D36</f>
        <v>8067.9389999999994</v>
      </c>
      <c r="E38" s="46">
        <f t="shared" si="16"/>
        <v>22664.076000000001</v>
      </c>
      <c r="F38" s="46">
        <f t="shared" si="16"/>
        <v>28655.371999999999</v>
      </c>
      <c r="G38" s="46">
        <f t="shared" si="16"/>
        <v>29739.613999999998</v>
      </c>
      <c r="H38" s="46">
        <f t="shared" si="16"/>
        <v>34309</v>
      </c>
      <c r="I38" s="46">
        <f t="shared" si="16"/>
        <v>52148</v>
      </c>
      <c r="J38" s="46">
        <f t="shared" si="16"/>
        <v>66142.012145972665</v>
      </c>
      <c r="K38" s="46">
        <f t="shared" si="16"/>
        <v>74486.753257792734</v>
      </c>
      <c r="L38" s="46">
        <f t="shared" si="16"/>
        <v>92379.76234236364</v>
      </c>
      <c r="M38" s="46">
        <f t="shared" si="16"/>
        <v>108735.67138910352</v>
      </c>
      <c r="N38" s="46">
        <f t="shared" si="16"/>
        <v>125612.53849577782</v>
      </c>
      <c r="O38" s="46">
        <f t="shared" si="16"/>
        <v>131109.53466321508</v>
      </c>
      <c r="P38" s="46">
        <f t="shared" si="16"/>
        <v>144704.7629419544</v>
      </c>
      <c r="Q38" s="46">
        <f t="shared" si="16"/>
        <v>158636.86741928465</v>
      </c>
      <c r="R38" s="46">
        <f t="shared" si="16"/>
        <v>172013.9431167625</v>
      </c>
      <c r="S38" s="46">
        <f t="shared" si="16"/>
        <v>185443.75863589035</v>
      </c>
      <c r="T38" s="46">
        <f t="shared" si="16"/>
        <v>197995.01428057507</v>
      </c>
      <c r="U38" s="46">
        <f t="shared" si="16"/>
        <v>210901.46344079834</v>
      </c>
      <c r="V38" s="46">
        <f t="shared" si="16"/>
        <v>0</v>
      </c>
    </row>
    <row r="39" spans="2:23" s="4" customFormat="1" ht="11.65" x14ac:dyDescent="0.35"/>
    <row r="40" spans="2:23" s="4" customFormat="1" ht="11.65" x14ac:dyDescent="0.35">
      <c r="B40" s="4" t="s">
        <v>328</v>
      </c>
      <c r="C40" s="56">
        <f>C21-C38</f>
        <v>0</v>
      </c>
      <c r="D40" s="56">
        <f>D21-D38</f>
        <v>0</v>
      </c>
      <c r="E40" s="56">
        <f>E21-E38</f>
        <v>0</v>
      </c>
      <c r="F40" s="56">
        <f>F21-F38</f>
        <v>0</v>
      </c>
      <c r="G40" s="56">
        <f>G21-G38</f>
        <v>0</v>
      </c>
      <c r="H40" s="56"/>
      <c r="I40" s="56">
        <f t="shared" ref="I40:U40" si="17">I21-I38</f>
        <v>0</v>
      </c>
      <c r="J40" s="56">
        <f t="shared" si="17"/>
        <v>2.7310193647281267E-2</v>
      </c>
      <c r="K40" s="56">
        <f t="shared" si="17"/>
        <v>-1.2656036895350553E-2</v>
      </c>
      <c r="L40" s="56">
        <f t="shared" si="17"/>
        <v>3.0374802474398166E-2</v>
      </c>
      <c r="M40" s="56">
        <f t="shared" si="17"/>
        <v>2.0772180301719345E-2</v>
      </c>
      <c r="N40" s="56">
        <f t="shared" si="17"/>
        <v>-4.3554852134548128E-2</v>
      </c>
      <c r="O40" s="56">
        <f t="shared" si="17"/>
        <v>1.6347303026122972E-2</v>
      </c>
      <c r="P40" s="56">
        <f t="shared" si="17"/>
        <v>-2.010719379177317E-2</v>
      </c>
      <c r="Q40" s="56">
        <f t="shared" si="17"/>
        <v>3.6770719656487927E-2</v>
      </c>
      <c r="R40" s="56">
        <f t="shared" si="17"/>
        <v>-3.952344911522232E-2</v>
      </c>
      <c r="S40" s="56">
        <f t="shared" si="17"/>
        <v>-2.7336148777976632E-3</v>
      </c>
      <c r="T40" s="56">
        <f t="shared" si="17"/>
        <v>6.1194817826617509E-3</v>
      </c>
      <c r="U40" s="56">
        <f t="shared" si="17"/>
        <v>3.274151761434041E-2</v>
      </c>
    </row>
    <row r="41" spans="2:23" s="4" customFormat="1" ht="11.65" x14ac:dyDescent="0.35">
      <c r="H41" s="56"/>
      <c r="I41" s="56"/>
      <c r="J41" s="56"/>
      <c r="K41" s="56"/>
      <c r="L41" s="56"/>
    </row>
    <row r="42" spans="2:23" s="4" customFormat="1" ht="11.65" x14ac:dyDescent="0.35"/>
    <row r="43" spans="2:23" s="4" customFormat="1" ht="11.65" x14ac:dyDescent="0.35">
      <c r="J43" s="57"/>
    </row>
    <row r="44" spans="2:23" s="4" customFormat="1" ht="11.65" x14ac:dyDescent="0.35"/>
    <row r="45" spans="2:23" x14ac:dyDescent="0.35">
      <c r="B45" s="1" t="s">
        <v>333</v>
      </c>
    </row>
    <row r="46" spans="2:23" x14ac:dyDescent="0.35">
      <c r="B46" s="241">
        <f>I5+'Cash Flow'!J28</f>
        <v>28517.914203169188</v>
      </c>
    </row>
  </sheetData>
  <mergeCells count="1">
    <mergeCell ref="C3:U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BAD6-9B97-4F44-B077-6C13F522E092}">
  <dimension ref="B1:U36"/>
  <sheetViews>
    <sheetView workbookViewId="0">
      <selection activeCell="D34" sqref="D34"/>
    </sheetView>
  </sheetViews>
  <sheetFormatPr defaultColWidth="9.1328125" defaultRowHeight="12.75" outlineLevelRow="1" x14ac:dyDescent="0.35"/>
  <cols>
    <col min="1" max="1" width="2" style="120" customWidth="1"/>
    <col min="2" max="2" width="32.53125" style="120" bestFit="1" customWidth="1"/>
    <col min="3" max="12" width="9.796875" style="120" customWidth="1"/>
    <col min="13" max="16384" width="9.1328125" style="120"/>
  </cols>
  <sheetData>
    <row r="1" spans="2:21" ht="15" x14ac:dyDescent="0.4">
      <c r="B1" s="121" t="s">
        <v>349</v>
      </c>
      <c r="C1" s="121"/>
    </row>
    <row r="2" spans="2:21" ht="15" x14ac:dyDescent="0.4">
      <c r="B2" s="121"/>
      <c r="C2" s="121"/>
    </row>
    <row r="3" spans="2:21" x14ac:dyDescent="0.35">
      <c r="C3" s="242" t="s">
        <v>310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2"/>
      <c r="S3" s="52"/>
      <c r="T3" s="52"/>
      <c r="U3" s="52"/>
    </row>
    <row r="4" spans="2:21" s="129" customFormat="1" ht="23.25" x14ac:dyDescent="0.35">
      <c r="B4" s="14" t="s">
        <v>241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110</v>
      </c>
      <c r="I4" s="31" t="s">
        <v>111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140</v>
      </c>
      <c r="S4" s="32" t="s">
        <v>141</v>
      </c>
      <c r="T4" s="32" t="s">
        <v>142</v>
      </c>
      <c r="U4" s="32" t="s">
        <v>143</v>
      </c>
    </row>
    <row r="5" spans="2:21" s="129" customFormat="1" ht="11.65" x14ac:dyDescent="0.35">
      <c r="B5" s="185" t="s">
        <v>76</v>
      </c>
      <c r="C5" s="211"/>
      <c r="D5" s="186">
        <f>'P&amp;L'!D9</f>
        <v>-716.62899999999991</v>
      </c>
      <c r="E5" s="186">
        <f>'P&amp;L'!E9</f>
        <v>-667.3400000000006</v>
      </c>
      <c r="F5" s="186">
        <f>'P&amp;L'!F9</f>
        <v>-1632.0859999999989</v>
      </c>
      <c r="G5" s="186">
        <f>'P&amp;L'!G9</f>
        <v>-388.07299999999941</v>
      </c>
      <c r="H5" s="186">
        <f>'P&amp;L'!H9</f>
        <v>-69</v>
      </c>
      <c r="I5" s="186">
        <f>'P&amp;L'!I9</f>
        <v>1994</v>
      </c>
      <c r="J5" s="163">
        <f>'P&amp;L'!J9</f>
        <v>2974.2284352921588</v>
      </c>
      <c r="K5" s="163">
        <f>'P&amp;L'!K9</f>
        <v>3853.7273283881559</v>
      </c>
      <c r="L5" s="163">
        <f>'P&amp;L'!L9</f>
        <v>5626.4344717509302</v>
      </c>
      <c r="M5" s="163">
        <f>'P&amp;L'!M9</f>
        <v>7211.0151709831389</v>
      </c>
      <c r="N5" s="163">
        <f>'P&amp;L'!N9</f>
        <v>8859.1007459405791</v>
      </c>
      <c r="O5" s="163">
        <f>'P&amp;L'!O9</f>
        <v>10118.949347664384</v>
      </c>
      <c r="P5" s="163">
        <f>'P&amp;L'!P9</f>
        <v>11024.858296855153</v>
      </c>
      <c r="Q5" s="163">
        <f>'P&amp;L'!Q9</f>
        <v>11840.711821894118</v>
      </c>
      <c r="R5" s="163">
        <f>'P&amp;L'!R9</f>
        <v>12474.699404625535</v>
      </c>
      <c r="S5" s="163">
        <f>'P&amp;L'!S9</f>
        <v>12988.115968644943</v>
      </c>
      <c r="T5" s="163">
        <f>'P&amp;L'!T9</f>
        <v>13300.002062674117</v>
      </c>
      <c r="U5" s="163">
        <f>'P&amp;L'!U9</f>
        <v>13614.770354083477</v>
      </c>
    </row>
    <row r="6" spans="2:21" s="129" customFormat="1" x14ac:dyDescent="0.35">
      <c r="B6" s="185" t="s">
        <v>368</v>
      </c>
      <c r="C6" s="212"/>
      <c r="D6" s="42">
        <f>'P&amp;L'!D12</f>
        <v>-13.039</v>
      </c>
      <c r="E6" s="42">
        <f>'P&amp;L'!E12</f>
        <v>-26.698</v>
      </c>
      <c r="F6" s="42">
        <f>'P&amp;L'!F12</f>
        <v>-31.545999999999999</v>
      </c>
      <c r="G6" s="42">
        <f>'P&amp;L'!G12</f>
        <v>-57.837000000000003</v>
      </c>
      <c r="H6" s="42">
        <f>'P&amp;L'!H12</f>
        <v>-110</v>
      </c>
      <c r="I6" s="42">
        <f>'P&amp;L'!I12</f>
        <v>-292</v>
      </c>
      <c r="J6" s="163">
        <f>IF(J5*Drivers!$C$12&gt;0,-J5*Drivers!$C$12,0)</f>
        <v>-669.20139794073577</v>
      </c>
      <c r="K6" s="163">
        <f>IF(K5*Drivers!$C$12&gt;0,-K5*Drivers!$C$12,0)</f>
        <v>-867.08864888733513</v>
      </c>
      <c r="L6" s="163">
        <f>IF(L5*Drivers!$C$12&gt;0,-L5*Drivers!$C$12,0)</f>
        <v>-1265.9477561439594</v>
      </c>
      <c r="M6" s="163">
        <f>IF(M5*Drivers!$C$12&gt;0,-M5*Drivers!$C$12,0)</f>
        <v>-1622.4784134712063</v>
      </c>
      <c r="N6" s="163">
        <f>IF(N5*Drivers!$C$12&gt;0,-N5*Drivers!$C$12,0)</f>
        <v>-1993.2976678366304</v>
      </c>
      <c r="O6" s="163">
        <f>IF(O5*Drivers!$C$12&gt;0,-O5*Drivers!$C$12,0)</f>
        <v>-2276.7636032244864</v>
      </c>
      <c r="P6" s="163">
        <f>IF(P5*Drivers!$C$12&gt;0,-P5*Drivers!$C$12,0)</f>
        <v>-2480.5931167924095</v>
      </c>
      <c r="Q6" s="163">
        <f>IF(Q5*Drivers!$C$12&gt;0,-Q5*Drivers!$C$12,0)</f>
        <v>-2664.1601599261767</v>
      </c>
      <c r="R6" s="163">
        <f>IF(R5*Drivers!$C$12&gt;0,-R5*Drivers!$C$12,0)</f>
        <v>-2806.8073660407454</v>
      </c>
      <c r="S6" s="163">
        <f>IF(S5*Drivers!$C$12&gt;0,-S5*Drivers!$C$12,0)</f>
        <v>-2922.3260929451121</v>
      </c>
      <c r="T6" s="163">
        <f>IF(T5*Drivers!$C$12&gt;0,-T5*Drivers!$C$12,0)</f>
        <v>-2992.5004641016762</v>
      </c>
      <c r="U6" s="163">
        <f>IF(U5*Drivers!$C$12&gt;0,-U5*Drivers!$C$12,0)</f>
        <v>-3063.3233296687827</v>
      </c>
    </row>
    <row r="7" spans="2:21" s="129" customFormat="1" ht="11.65" x14ac:dyDescent="0.35">
      <c r="B7" s="188" t="s">
        <v>350</v>
      </c>
      <c r="C7" s="213"/>
      <c r="D7" s="189">
        <f t="shared" ref="D7:I7" si="0">SUM(D5:D6)</f>
        <v>-729.66799999999989</v>
      </c>
      <c r="E7" s="189">
        <f t="shared" si="0"/>
        <v>-694.03800000000058</v>
      </c>
      <c r="F7" s="189">
        <f t="shared" si="0"/>
        <v>-1663.6319999999989</v>
      </c>
      <c r="G7" s="189">
        <f t="shared" si="0"/>
        <v>-445.9099999999994</v>
      </c>
      <c r="H7" s="189">
        <f t="shared" si="0"/>
        <v>-179</v>
      </c>
      <c r="I7" s="189">
        <f t="shared" si="0"/>
        <v>1702</v>
      </c>
      <c r="J7" s="190">
        <f t="shared" ref="G7:Q9" si="1">SUM(J5:J6)</f>
        <v>2305.0270373514231</v>
      </c>
      <c r="K7" s="190">
        <f t="shared" si="1"/>
        <v>2986.6386795008207</v>
      </c>
      <c r="L7" s="190">
        <f t="shared" si="1"/>
        <v>4360.4867156069704</v>
      </c>
      <c r="M7" s="190">
        <f t="shared" si="1"/>
        <v>5588.5367575119326</v>
      </c>
      <c r="N7" s="190">
        <f t="shared" si="1"/>
        <v>6865.8030781039488</v>
      </c>
      <c r="O7" s="190">
        <f t="shared" si="1"/>
        <v>7842.1857444398975</v>
      </c>
      <c r="P7" s="190">
        <f t="shared" si="1"/>
        <v>8544.2651800627427</v>
      </c>
      <c r="Q7" s="190">
        <f t="shared" si="1"/>
        <v>9176.5516619679402</v>
      </c>
      <c r="R7" s="190">
        <f t="shared" ref="R7:U7" si="2">SUM(R5:R6)</f>
        <v>9667.8920385847887</v>
      </c>
      <c r="S7" s="190">
        <f t="shared" si="2"/>
        <v>10065.789875699831</v>
      </c>
      <c r="T7" s="190">
        <f t="shared" si="2"/>
        <v>10307.50159857244</v>
      </c>
      <c r="U7" s="190">
        <f t="shared" si="2"/>
        <v>10551.447024414694</v>
      </c>
    </row>
    <row r="8" spans="2:21" s="129" customFormat="1" ht="11.65" x14ac:dyDescent="0.35">
      <c r="B8" s="185" t="s">
        <v>351</v>
      </c>
      <c r="C8" s="214"/>
      <c r="D8" s="187">
        <f>E8*0.87</f>
        <v>1195.5888</v>
      </c>
      <c r="E8" s="187">
        <f>F8*0.84</f>
        <v>1374.24</v>
      </c>
      <c r="F8" s="187">
        <f>-'PP&amp;E'!C9</f>
        <v>1636</v>
      </c>
      <c r="G8" s="187">
        <f>-'PP&amp;E'!D9</f>
        <v>1901</v>
      </c>
      <c r="H8" s="187">
        <f>-'PP&amp;E'!E9</f>
        <v>2154</v>
      </c>
      <c r="I8" s="187">
        <f>-'PP&amp;E'!F9</f>
        <v>2477.1</v>
      </c>
      <c r="J8" s="163">
        <f>-'PP&amp;E'!G9</f>
        <v>1519.7256666666667</v>
      </c>
      <c r="K8" s="163">
        <f>-'PP&amp;E'!H9</f>
        <v>1782.638207</v>
      </c>
      <c r="L8" s="163">
        <f>-'PP&amp;E'!I9</f>
        <v>2061.8221123295184</v>
      </c>
      <c r="M8" s="163">
        <f>-'PP&amp;E'!J9</f>
        <v>2355.0385655242658</v>
      </c>
      <c r="N8" s="163">
        <f>-'PP&amp;E'!K9</f>
        <v>2659.3486622958148</v>
      </c>
      <c r="O8" s="163">
        <f>-'PP&amp;E'!L9</f>
        <v>2821.4977963872338</v>
      </c>
      <c r="P8" s="163">
        <f>-'PP&amp;E'!M9</f>
        <v>2971.6468659239222</v>
      </c>
      <c r="Q8" s="163">
        <f>-'PP&amp;E'!N9</f>
        <v>3107.0943737550401</v>
      </c>
      <c r="R8" s="163">
        <f>-'PP&amp;E'!O9</f>
        <v>3225.0156886317195</v>
      </c>
      <c r="S8" s="163">
        <f>-'PP&amp;E'!P9</f>
        <v>3322.4789781097497</v>
      </c>
      <c r="T8" s="163">
        <f>-'PP&amp;E'!Q9</f>
        <v>3344.6744267031704</v>
      </c>
      <c r="U8" s="163">
        <f>-'PP&amp;E'!R9</f>
        <v>3357.5017154742841</v>
      </c>
    </row>
    <row r="9" spans="2:21" s="129" customFormat="1" ht="11.65" x14ac:dyDescent="0.35">
      <c r="B9" s="188" t="s">
        <v>352</v>
      </c>
      <c r="C9" s="213"/>
      <c r="D9" s="189">
        <f>SUM(D7:D8)</f>
        <v>465.9208000000001</v>
      </c>
      <c r="E9" s="189">
        <f>SUM(E7:E8)</f>
        <v>680.20199999999943</v>
      </c>
      <c r="F9" s="189">
        <f t="shared" ref="F9" si="3">SUM(F7:F8)</f>
        <v>-27.631999999998925</v>
      </c>
      <c r="G9" s="189">
        <f t="shared" si="1"/>
        <v>1455.0900000000006</v>
      </c>
      <c r="H9" s="189">
        <f t="shared" si="1"/>
        <v>1975</v>
      </c>
      <c r="I9" s="189">
        <f t="shared" si="1"/>
        <v>4179.1000000000004</v>
      </c>
      <c r="J9" s="190">
        <f t="shared" si="1"/>
        <v>3824.7527040180898</v>
      </c>
      <c r="K9" s="190">
        <f t="shared" si="1"/>
        <v>4769.2768865008202</v>
      </c>
      <c r="L9" s="190">
        <f t="shared" si="1"/>
        <v>6422.3088279364893</v>
      </c>
      <c r="M9" s="190">
        <f t="shared" si="1"/>
        <v>7943.5753230361988</v>
      </c>
      <c r="N9" s="190">
        <f t="shared" si="1"/>
        <v>9525.1517403997641</v>
      </c>
      <c r="O9" s="190">
        <f t="shared" si="1"/>
        <v>10663.683540827131</v>
      </c>
      <c r="P9" s="190">
        <f t="shared" si="1"/>
        <v>11515.912045986664</v>
      </c>
      <c r="Q9" s="190">
        <f t="shared" si="1"/>
        <v>12283.646035722981</v>
      </c>
      <c r="R9" s="190">
        <f t="shared" ref="R9:U9" si="4">SUM(R7:R8)</f>
        <v>12892.907727216509</v>
      </c>
      <c r="S9" s="190">
        <f t="shared" si="4"/>
        <v>13388.268853809581</v>
      </c>
      <c r="T9" s="190">
        <f t="shared" si="4"/>
        <v>13652.17602527561</v>
      </c>
      <c r="U9" s="190">
        <f t="shared" si="4"/>
        <v>13908.948739888978</v>
      </c>
    </row>
    <row r="10" spans="2:21" s="129" customFormat="1" ht="11.65" x14ac:dyDescent="0.35">
      <c r="B10" s="185"/>
      <c r="C10" s="211"/>
      <c r="D10" s="187"/>
      <c r="E10" s="187"/>
      <c r="F10" s="187"/>
      <c r="G10" s="187"/>
      <c r="H10" s="187"/>
      <c r="I10" s="187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</row>
    <row r="11" spans="2:21" s="129" customFormat="1" ht="11.65" x14ac:dyDescent="0.35">
      <c r="B11" s="185" t="s">
        <v>302</v>
      </c>
      <c r="C11" s="215"/>
      <c r="D11" s="187">
        <f>-('Balance Sheet'!D7-'Balance Sheet'!C7)</f>
        <v>57.63900000000001</v>
      </c>
      <c r="E11" s="187">
        <f>-('Balance Sheet'!E7-'Balance Sheet'!D7)</f>
        <v>-330.17700000000002</v>
      </c>
      <c r="F11" s="187">
        <f>-('Balance Sheet'!F7-'Balance Sheet'!E7)</f>
        <v>-16.238999999999976</v>
      </c>
      <c r="G11" s="187">
        <f>-('Balance Sheet'!G7-'Balance Sheet'!F7)</f>
        <v>-433.64100000000008</v>
      </c>
      <c r="H11" s="187">
        <f>-('Balance Sheet'!H7-'Balance Sheet'!G7)</f>
        <v>-374.97799999999995</v>
      </c>
      <c r="I11" s="187">
        <f>-('Balance Sheet'!I7-'Balance Sheet'!H7)</f>
        <v>-562</v>
      </c>
      <c r="J11" s="163">
        <f>-('Balance Sheet'!J7-'Balance Sheet'!I7)</f>
        <v>-580.8469661480267</v>
      </c>
      <c r="K11" s="163">
        <f>-('Balance Sheet'!K7-'Balance Sheet'!J7)</f>
        <v>-535.32786207354275</v>
      </c>
      <c r="L11" s="163">
        <f>-('Balance Sheet'!L7-'Balance Sheet'!K7)</f>
        <v>-1215.6502874541065</v>
      </c>
      <c r="M11" s="163">
        <f>-('Balance Sheet'!M7-'Balance Sheet'!L7)</f>
        <v>-1061.0609286730723</v>
      </c>
      <c r="N11" s="163">
        <f>-('Balance Sheet'!N7-'Balance Sheet'!M7)</f>
        <v>-1009.7859160152948</v>
      </c>
      <c r="O11" s="163">
        <f>-('Balance Sheet'!O7-'Balance Sheet'!N7)</f>
        <v>-861.4170857537456</v>
      </c>
      <c r="P11" s="163">
        <f>-('Balance Sheet'!P7-'Balance Sheet'!O7)</f>
        <v>-624.82370385553259</v>
      </c>
      <c r="Q11" s="163">
        <f>-('Balance Sheet'!Q7-'Balance Sheet'!P7)</f>
        <v>-590.87831595367516</v>
      </c>
      <c r="R11" s="163">
        <f>-('Balance Sheet'!R7-'Balance Sheet'!Q7)</f>
        <v>-474.75829613020323</v>
      </c>
      <c r="S11" s="163">
        <f>-('Balance Sheet'!S7-'Balance Sheet'!R7)</f>
        <v>-434.6354842554847</v>
      </c>
      <c r="T11" s="163">
        <f>-('Balance Sheet'!T7-'Balance Sheet'!S7)</f>
        <v>-310.10940592086263</v>
      </c>
      <c r="U11" s="163">
        <f>-('Balance Sheet'!U7-'Balance Sheet'!T7)</f>
        <v>-321.96099694100667</v>
      </c>
    </row>
    <row r="12" spans="2:21" s="129" customFormat="1" ht="11.65" x14ac:dyDescent="0.35">
      <c r="B12" s="185" t="s">
        <v>25</v>
      </c>
      <c r="C12" s="215"/>
      <c r="D12" s="187">
        <f>-('Balance Sheet'!D8-'Balance Sheet'!C8)</f>
        <v>-324.16300000000001</v>
      </c>
      <c r="E12" s="187">
        <f>-('Balance Sheet'!E8-'Balance Sheet'!D8)</f>
        <v>-789.61600000000021</v>
      </c>
      <c r="F12" s="187">
        <f>-('Balance Sheet'!F8-'Balance Sheet'!E8)</f>
        <v>-196.08299999999963</v>
      </c>
      <c r="G12" s="187">
        <f>-('Balance Sheet'!G8-'Balance Sheet'!F8)</f>
        <v>-849.90900000000011</v>
      </c>
      <c r="H12" s="187">
        <f>-('Balance Sheet'!H8-'Balance Sheet'!G8)</f>
        <v>-438.55400000000009</v>
      </c>
      <c r="I12" s="187">
        <f>-('Balance Sheet'!I8-'Balance Sheet'!H8)</f>
        <v>-549</v>
      </c>
      <c r="J12" s="163">
        <f>-('Balance Sheet'!J8-'Balance Sheet'!I8)</f>
        <v>-7570.7426057223729</v>
      </c>
      <c r="K12" s="163">
        <f>-('Balance Sheet'!K8-'Balance Sheet'!J8)</f>
        <v>-2457.0456935769325</v>
      </c>
      <c r="L12" s="163">
        <f>-('Balance Sheet'!L8-'Balance Sheet'!K8)</f>
        <v>-5652.3166635231155</v>
      </c>
      <c r="M12" s="163">
        <f>-('Balance Sheet'!M8-'Balance Sheet'!L8)</f>
        <v>-4921.4501732875033</v>
      </c>
      <c r="N12" s="163">
        <f>-('Balance Sheet'!N8-'Balance Sheet'!M8)</f>
        <v>-4638.2451731130022</v>
      </c>
      <c r="O12" s="163">
        <f>-('Balance Sheet'!O8-'Balance Sheet'!N8)</f>
        <v>-4004.0676021429608</v>
      </c>
      <c r="P12" s="163">
        <f>-('Balance Sheet'!P8-'Balance Sheet'!O8)</f>
        <v>-2906.8903690278821</v>
      </c>
      <c r="Q12" s="163">
        <f>-('Balance Sheet'!Q8-'Balance Sheet'!P8)</f>
        <v>-2762.1951458277181</v>
      </c>
      <c r="R12" s="163">
        <f>-('Balance Sheet'!R8-'Balance Sheet'!Q8)</f>
        <v>-2226.3416348193568</v>
      </c>
      <c r="S12" s="163">
        <f>-('Balance Sheet'!S8-'Balance Sheet'!R8)</f>
        <v>-2059.8911972677888</v>
      </c>
      <c r="T12" s="163">
        <f>-('Balance Sheet'!T8-'Balance Sheet'!S8)</f>
        <v>-1487.3520608330873</v>
      </c>
      <c r="U12" s="163">
        <f>-('Balance Sheet'!U8-'Balance Sheet'!T8)</f>
        <v>-1547.1225590268805</v>
      </c>
    </row>
    <row r="13" spans="2:21" s="129" customFormat="1" ht="11.65" x14ac:dyDescent="0.35">
      <c r="B13" s="185" t="s">
        <v>35</v>
      </c>
      <c r="C13" s="215"/>
      <c r="D13" s="187">
        <f>'Balance Sheet'!D23-'Balance Sheet'!C23</f>
        <v>138.202</v>
      </c>
      <c r="E13" s="187">
        <f>'Balance Sheet'!E23-'Balance Sheet'!D23</f>
        <v>944.19299999999987</v>
      </c>
      <c r="F13" s="187">
        <f>'Balance Sheet'!F23-'Balance Sheet'!E23</f>
        <v>529.90900000000011</v>
      </c>
      <c r="G13" s="187">
        <f>'Balance Sheet'!G23-'Balance Sheet'!F23</f>
        <v>1014.201</v>
      </c>
      <c r="H13" s="187">
        <f>'Balance Sheet'!H23-'Balance Sheet'!G23</f>
        <v>366.54899999999998</v>
      </c>
      <c r="I13" s="187">
        <f>'Balance Sheet'!I23-'Balance Sheet'!H23</f>
        <v>2280</v>
      </c>
      <c r="J13" s="163">
        <f>'Balance Sheet'!J23-'Balance Sheet'!I23</f>
        <v>4179.3002265747709</v>
      </c>
      <c r="K13" s="163">
        <f>'Balance Sheet'!K23-'Balance Sheet'!J23</f>
        <v>2153.6043044147427</v>
      </c>
      <c r="L13" s="163">
        <f>'Balance Sheet'!L23-'Balance Sheet'!K23</f>
        <v>4954.2641914638098</v>
      </c>
      <c r="M13" s="163">
        <f>'Balance Sheet'!M23-'Balance Sheet'!L23</f>
        <v>4313.6585961187338</v>
      </c>
      <c r="N13" s="163">
        <f>'Balance Sheet'!N23-'Balance Sheet'!M23</f>
        <v>4065.4289807713358</v>
      </c>
      <c r="O13" s="163">
        <f>'Balance Sheet'!O23-'Balance Sheet'!N23</f>
        <v>3509.5713708885924</v>
      </c>
      <c r="P13" s="163">
        <f>'Balance Sheet'!P23-'Balance Sheet'!O23</f>
        <v>2547.8938497421877</v>
      </c>
      <c r="Q13" s="163">
        <f>'Balance Sheet'!Q23-'Balance Sheet'!P23</f>
        <v>2421.0682655348173</v>
      </c>
      <c r="R13" s="163">
        <f>'Balance Sheet'!R23-'Balance Sheet'!Q23</f>
        <v>1951.3918444327792</v>
      </c>
      <c r="S13" s="163">
        <f>'Balance Sheet'!S23-'Balance Sheet'!R23</f>
        <v>1805.4977816077298</v>
      </c>
      <c r="T13" s="163">
        <f>'Balance Sheet'!T23-'Balance Sheet'!S23</f>
        <v>1303.6663537694039</v>
      </c>
      <c r="U13" s="163">
        <f>'Balance Sheet'!U23-'Balance Sheet'!T23</f>
        <v>1356.0552867565639</v>
      </c>
    </row>
    <row r="14" spans="2:21" s="129" customFormat="1" ht="11.65" x14ac:dyDescent="0.35">
      <c r="B14" s="191" t="s">
        <v>353</v>
      </c>
      <c r="C14" s="216"/>
      <c r="D14" s="192">
        <f t="shared" ref="D14:F14" si="5">SUM(D11:D13)</f>
        <v>-128.322</v>
      </c>
      <c r="E14" s="192">
        <f t="shared" si="5"/>
        <v>-175.60000000000025</v>
      </c>
      <c r="F14" s="192">
        <f t="shared" si="5"/>
        <v>317.5870000000005</v>
      </c>
      <c r="G14" s="192">
        <f t="shared" ref="G14:Q14" si="6">SUM(G11:G13)</f>
        <v>-269.34900000000016</v>
      </c>
      <c r="H14" s="192">
        <f t="shared" si="6"/>
        <v>-446.98300000000006</v>
      </c>
      <c r="I14" s="192">
        <f t="shared" si="6"/>
        <v>1169</v>
      </c>
      <c r="J14" s="193">
        <f t="shared" si="6"/>
        <v>-3972.2893452956287</v>
      </c>
      <c r="K14" s="193">
        <f t="shared" si="6"/>
        <v>-838.76925123573255</v>
      </c>
      <c r="L14" s="193">
        <f t="shared" si="6"/>
        <v>-1913.7027595134123</v>
      </c>
      <c r="M14" s="193">
        <f t="shared" si="6"/>
        <v>-1668.8525058418418</v>
      </c>
      <c r="N14" s="193">
        <f t="shared" si="6"/>
        <v>-1582.6021083569613</v>
      </c>
      <c r="O14" s="193">
        <f t="shared" si="6"/>
        <v>-1355.9133170081141</v>
      </c>
      <c r="P14" s="193">
        <f t="shared" si="6"/>
        <v>-983.82022314122696</v>
      </c>
      <c r="Q14" s="193">
        <f t="shared" si="6"/>
        <v>-932.00519624657591</v>
      </c>
      <c r="R14" s="193">
        <f t="shared" ref="R14:U14" si="7">SUM(R11:R13)</f>
        <v>-749.7080865167809</v>
      </c>
      <c r="S14" s="193">
        <f t="shared" si="7"/>
        <v>-689.02889991554366</v>
      </c>
      <c r="T14" s="193">
        <f t="shared" si="7"/>
        <v>-493.79511298454599</v>
      </c>
      <c r="U14" s="193">
        <f t="shared" si="7"/>
        <v>-513.02826921132328</v>
      </c>
    </row>
    <row r="15" spans="2:21" s="129" customFormat="1" ht="11.65" x14ac:dyDescent="0.35">
      <c r="B15" s="194"/>
      <c r="C15" s="215"/>
      <c r="D15" s="187"/>
      <c r="E15" s="187"/>
      <c r="F15" s="187"/>
      <c r="G15" s="187"/>
      <c r="H15" s="187"/>
      <c r="I15" s="187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</row>
    <row r="16" spans="2:21" s="129" customFormat="1" ht="11.65" x14ac:dyDescent="0.35">
      <c r="B16" s="195" t="s">
        <v>274</v>
      </c>
      <c r="C16" s="215"/>
      <c r="D16" s="187">
        <f>E16*1.5</f>
        <v>12782.25</v>
      </c>
      <c r="E16" s="187">
        <f>F16*1.5</f>
        <v>8521.5</v>
      </c>
      <c r="F16" s="187">
        <f>'PP&amp;E'!C8</f>
        <v>5681</v>
      </c>
      <c r="G16" s="187">
        <f>'PP&amp;E'!D8</f>
        <v>3204</v>
      </c>
      <c r="H16" s="187">
        <f>'PP&amp;E'!E8</f>
        <v>1220</v>
      </c>
      <c r="I16" s="187">
        <f>'PP&amp;E'!F8</f>
        <v>4505</v>
      </c>
      <c r="J16" s="163">
        <f>-'PP&amp;E'!G8</f>
        <v>-2450.2566666666667</v>
      </c>
      <c r="K16" s="163">
        <f>-'PP&amp;E'!H8</f>
        <v>-2629.1254033333335</v>
      </c>
      <c r="L16" s="163">
        <f>-'PP&amp;E'!I8</f>
        <v>-2791.8390532951853</v>
      </c>
      <c r="M16" s="163">
        <f>-'PP&amp;E'!J8</f>
        <v>-2932.1645319474746</v>
      </c>
      <c r="N16" s="163">
        <f>-'PP&amp;E'!K8</f>
        <v>-3043.1009677154916</v>
      </c>
      <c r="O16" s="163">
        <f>-'PP&amp;E'!L8</f>
        <v>-1621.4913409141884</v>
      </c>
      <c r="P16" s="163">
        <f>-'PP&amp;E'!M8</f>
        <v>-1501.490695366884</v>
      </c>
      <c r="Q16" s="163">
        <f>-'PP&amp;E'!N8</f>
        <v>-1354.4750783111801</v>
      </c>
      <c r="R16" s="163">
        <f>-'PP&amp;E'!O8</f>
        <v>-1179.2131487667939</v>
      </c>
      <c r="S16" s="163">
        <f>-'PP&amp;E'!P8</f>
        <v>-974.6328947803014</v>
      </c>
      <c r="T16" s="163">
        <f>-'PP&amp;E'!Q8</f>
        <v>-221.95448593420699</v>
      </c>
      <c r="U16" s="163">
        <f>-'PP&amp;E'!R8</f>
        <v>-128.27288771113805</v>
      </c>
    </row>
    <row r="17" spans="2:21" s="129" customFormat="1" ht="11.65" x14ac:dyDescent="0.35">
      <c r="B17" s="195" t="s">
        <v>33</v>
      </c>
      <c r="C17" s="215"/>
      <c r="D17" s="187">
        <f>-('Balance Sheet'!D6-'Balance Sheet'!C6)-('Balance Sheet'!D9-'Balance Sheet'!C9)-('Balance Sheet'!D11-'Balance Sheet'!C11)-('Balance Sheet'!D19-'Balance Sheet'!C19)-('Balance Sheet'!D18-'Balance Sheet'!C18)-('Balance Sheet'!D17-'Balance Sheet'!C17)-('Balance Sheet'!D12-'Balance Sheet'!C12)-('Balance Sheet'!D14-'Balance Sheet'!C14)-('Balance Sheet'!D15-'Balance Sheet'!C15)-('Balance Sheet'!D16-'Balance Sheet'!C16)</f>
        <v>-1105.4859999999999</v>
      </c>
      <c r="E17" s="187">
        <f>-('Balance Sheet'!E6-'Balance Sheet'!D6)-('Balance Sheet'!E9-'Balance Sheet'!D9)-('Balance Sheet'!E11-'Balance Sheet'!D11)-('Balance Sheet'!E19-'Balance Sheet'!D19)-('Balance Sheet'!E18-'Balance Sheet'!D18)-('Balance Sheet'!E17-'Balance Sheet'!D17)-('Balance Sheet'!E12-'Balance Sheet'!D12)-('Balance Sheet'!E14-'Balance Sheet'!D14)-('Balance Sheet'!E15-'Balance Sheet'!D15)-('Balance Sheet'!E16-'Balance Sheet'!D16)</f>
        <v>-8700.4130000000005</v>
      </c>
      <c r="F17" s="187">
        <f>-('Balance Sheet'!F6-'Balance Sheet'!E6)-('Balance Sheet'!F9-'Balance Sheet'!E9)-('Balance Sheet'!F11-'Balance Sheet'!E11)-('Balance Sheet'!F19-'Balance Sheet'!E19)-('Balance Sheet'!F18-'Balance Sheet'!E18)-('Balance Sheet'!F17-'Balance Sheet'!E17)-('Balance Sheet'!F12-'Balance Sheet'!E12)-('Balance Sheet'!F14-'Balance Sheet'!E14)-('Balance Sheet'!F15-'Balance Sheet'!E15)-('Balance Sheet'!F16-'Balance Sheet'!E16)</f>
        <v>-1759.711</v>
      </c>
      <c r="G17" s="187">
        <f>-('Balance Sheet'!G6-'Balance Sheet'!F6)-('Balance Sheet'!G9-'Balance Sheet'!F9)-('Balance Sheet'!G11-'Balance Sheet'!F11)-('Balance Sheet'!G19-'Balance Sheet'!F19)-('Balance Sheet'!G18-'Balance Sheet'!F18)-('Balance Sheet'!G17-'Balance Sheet'!F17)-('Balance Sheet'!G12-'Balance Sheet'!F12)-('Balance Sheet'!G14-'Balance Sheet'!F14)-('Balance Sheet'!G15-'Balance Sheet'!F15)-('Balance Sheet'!G16-'Balance Sheet'!F16)</f>
        <v>1819.5670000000002</v>
      </c>
      <c r="H17" s="187">
        <f>-('Balance Sheet'!H6-'Balance Sheet'!G6)-('Balance Sheet'!H9-'Balance Sheet'!G9)-('Balance Sheet'!H11-'Balance Sheet'!G11)-('Balance Sheet'!H19-'Balance Sheet'!G19)-('Balance Sheet'!H18-'Balance Sheet'!G18)-('Balance Sheet'!H17-'Balance Sheet'!G17)-('Balance Sheet'!H12-'Balance Sheet'!G12)-('Balance Sheet'!H14-'Balance Sheet'!G14)-('Balance Sheet'!H15-'Balance Sheet'!G15)-('Balance Sheet'!H16-'Balance Sheet'!G16)</f>
        <v>-2107.5490000000004</v>
      </c>
      <c r="I17" s="187">
        <f>-('Balance Sheet'!I6-'Balance Sheet'!H6)-('Balance Sheet'!I9-'Balance Sheet'!H9)-('Balance Sheet'!I11-'Balance Sheet'!H11)-('Balance Sheet'!I19-'Balance Sheet'!H19)-('Balance Sheet'!I18-'Balance Sheet'!H18)-('Balance Sheet'!I17-'Balance Sheet'!H17)-('Balance Sheet'!I12-'Balance Sheet'!H12)-('Balance Sheet'!I14-'Balance Sheet'!H14)-('Balance Sheet'!I15-'Balance Sheet'!H15)-('Balance Sheet'!I16-'Balance Sheet'!H16)</f>
        <v>-1261</v>
      </c>
      <c r="J17" s="163">
        <f>-('Balance Sheet'!J6-'Balance Sheet'!I6)-('Balance Sheet'!J9-'Balance Sheet'!I9)-('Balance Sheet'!J11-'Balance Sheet'!I11)-('Balance Sheet'!J19-'Balance Sheet'!I19)-('Balance Sheet'!J18-'Balance Sheet'!I18)-('Balance Sheet'!J17-'Balance Sheet'!I17)-('Balance Sheet'!J12-'Balance Sheet'!I12)-('Balance Sheet'!J14-'Balance Sheet'!I14)-('Balance Sheet'!J15-'Balance Sheet'!I15)-('Balance Sheet'!J16-'Balance Sheet'!I16)</f>
        <v>-593.61888429591613</v>
      </c>
      <c r="K17" s="163">
        <f>-('Balance Sheet'!K6-'Balance Sheet'!J6)-('Balance Sheet'!K9-'Balance Sheet'!J9)-('Balance Sheet'!K11-'Balance Sheet'!J11)-('Balance Sheet'!K19-'Balance Sheet'!J19)-('Balance Sheet'!K18-'Balance Sheet'!J18)-('Balance Sheet'!K17-'Balance Sheet'!J17)-('Balance Sheet'!K12-'Balance Sheet'!J12)-('Balance Sheet'!K14-'Balance Sheet'!J14)-('Balance Sheet'!K15-'Balance Sheet'!J15)-('Balance Sheet'!K16-'Balance Sheet'!J16)</f>
        <v>-754.24039360571965</v>
      </c>
      <c r="L17" s="163">
        <f>-('Balance Sheet'!L6-'Balance Sheet'!K6)-('Balance Sheet'!L9-'Balance Sheet'!K9)-('Balance Sheet'!L11-'Balance Sheet'!K11)-('Balance Sheet'!L19-'Balance Sheet'!K19)-('Balance Sheet'!L18-'Balance Sheet'!K18)-('Balance Sheet'!L17-'Balance Sheet'!K17)-('Balance Sheet'!L12-'Balance Sheet'!K12)-('Balance Sheet'!L14-'Balance Sheet'!K14)-('Balance Sheet'!L15-'Balance Sheet'!K15)-('Balance Sheet'!L16-'Balance Sheet'!K16)</f>
        <v>-1712.7682234673798</v>
      </c>
      <c r="M17" s="163">
        <f>-('Balance Sheet'!M6-'Balance Sheet'!L6)-('Balance Sheet'!M9-'Balance Sheet'!L9)-('Balance Sheet'!M11-'Balance Sheet'!L11)-('Balance Sheet'!M19-'Balance Sheet'!L19)-('Balance Sheet'!M18-'Balance Sheet'!L18)-('Balance Sheet'!M17-'Balance Sheet'!L17)-('Balance Sheet'!M12-'Balance Sheet'!L12)-('Balance Sheet'!M14-'Balance Sheet'!L14)-('Balance Sheet'!M15-'Balance Sheet'!L15)-('Balance Sheet'!M16-'Balance Sheet'!L16)</f>
        <v>-1494.96237573393</v>
      </c>
      <c r="N17" s="163">
        <f>-('Balance Sheet'!N6-'Balance Sheet'!M6)-('Balance Sheet'!N9-'Balance Sheet'!M9)-('Balance Sheet'!N11-'Balance Sheet'!M11)-('Balance Sheet'!N19-'Balance Sheet'!M19)-('Balance Sheet'!N18-'Balance Sheet'!M18)-('Balance Sheet'!N17-'Balance Sheet'!M17)-('Balance Sheet'!N12-'Balance Sheet'!M12)-('Balance Sheet'!N14-'Balance Sheet'!M14)-('Balance Sheet'!N15-'Balance Sheet'!M15)-('Balance Sheet'!N16-'Balance Sheet'!M16)</f>
        <v>-1422.7193850938743</v>
      </c>
      <c r="O17" s="163">
        <f>-('Balance Sheet'!O6-'Balance Sheet'!N6)-('Balance Sheet'!O9-'Balance Sheet'!N9)-('Balance Sheet'!O11-'Balance Sheet'!N11)-('Balance Sheet'!O19-'Balance Sheet'!N19)-('Balance Sheet'!O18-'Balance Sheet'!N18)-('Balance Sheet'!O17-'Balance Sheet'!N17)-('Balance Sheet'!O12-'Balance Sheet'!N12)-('Balance Sheet'!O14-'Balance Sheet'!N14)-('Balance Sheet'!O15-'Balance Sheet'!N15)-('Balance Sheet'!O16-'Balance Sheet'!N16)</f>
        <v>-1213.6778371687678</v>
      </c>
      <c r="P17" s="163">
        <f>-('Balance Sheet'!P6-'Balance Sheet'!O6)-('Balance Sheet'!P9-'Balance Sheet'!O9)-('Balance Sheet'!P11-'Balance Sheet'!O11)-('Balance Sheet'!P19-'Balance Sheet'!O19)-('Balance Sheet'!P18-'Balance Sheet'!O18)-('Balance Sheet'!P17-'Balance Sheet'!O17)-('Balance Sheet'!P12-'Balance Sheet'!O12)-('Balance Sheet'!P14-'Balance Sheet'!O14)-('Balance Sheet'!P15-'Balance Sheet'!O15)-('Balance Sheet'!P16-'Balance Sheet'!O16)</f>
        <v>-880.33392191613166</v>
      </c>
      <c r="Q17" s="163">
        <f>-('Balance Sheet'!Q6-'Balance Sheet'!P6)-('Balance Sheet'!Q9-'Balance Sheet'!P9)-('Balance Sheet'!Q11-'Balance Sheet'!P11)-('Balance Sheet'!Q19-'Balance Sheet'!P19)-('Balance Sheet'!Q18-'Balance Sheet'!P18)-('Balance Sheet'!Q17-'Balance Sheet'!P17)-('Balance Sheet'!Q12-'Balance Sheet'!P12)-('Balance Sheet'!Q14-'Balance Sheet'!P14)-('Balance Sheet'!Q15-'Balance Sheet'!P15)-('Balance Sheet'!Q16-'Balance Sheet'!P16)</f>
        <v>-832.50718890615281</v>
      </c>
      <c r="R17" s="163">
        <f>-('Balance Sheet'!R6-'Balance Sheet'!Q6)-('Balance Sheet'!R9-'Balance Sheet'!Q9)-('Balance Sheet'!R11-'Balance Sheet'!Q11)-('Balance Sheet'!R19-'Balance Sheet'!Q19)-('Balance Sheet'!R18-'Balance Sheet'!Q18)-('Balance Sheet'!R17-'Balance Sheet'!Q17)-('Balance Sheet'!R12-'Balance Sheet'!Q12)-('Balance Sheet'!R14-'Balance Sheet'!Q14)-('Balance Sheet'!R15-'Balance Sheet'!Q15)-('Balance Sheet'!R16-'Balance Sheet'!Q16)</f>
        <v>-668.90201222448741</v>
      </c>
      <c r="S17" s="163">
        <f>-('Balance Sheet'!S6-'Balance Sheet'!R6)-('Balance Sheet'!S9-'Balance Sheet'!R9)-('Balance Sheet'!S11-'Balance Sheet'!R11)-('Balance Sheet'!S19-'Balance Sheet'!R19)-('Balance Sheet'!S18-'Balance Sheet'!R18)-('Balance Sheet'!S17-'Balance Sheet'!R17)-('Balance Sheet'!S12-'Balance Sheet'!R12)-('Balance Sheet'!S14-'Balance Sheet'!R14)-('Balance Sheet'!S15-'Balance Sheet'!R15)-('Balance Sheet'!S16-'Balance Sheet'!R16)</f>
        <v>-612.37171076822051</v>
      </c>
      <c r="T17" s="163">
        <f>-('Balance Sheet'!T6-'Balance Sheet'!S6)-('Balance Sheet'!T9-'Balance Sheet'!S9)-('Balance Sheet'!T11-'Balance Sheet'!S11)-('Balance Sheet'!T19-'Balance Sheet'!S19)-('Balance Sheet'!T18-'Balance Sheet'!S18)-('Balance Sheet'!T17-'Balance Sheet'!S17)-('Balance Sheet'!T12-'Balance Sheet'!S12)-('Balance Sheet'!T14-'Balance Sheet'!S14)-('Balance Sheet'!T15-'Balance Sheet'!S15)-('Balance Sheet'!T16-'Balance Sheet'!S16)</f>
        <v>-436.92297179640354</v>
      </c>
      <c r="U17" s="163">
        <f>-('Balance Sheet'!U6-'Balance Sheet'!T6)-('Balance Sheet'!U9-'Balance Sheet'!T9)-('Balance Sheet'!U11-'Balance Sheet'!T11)-('Balance Sheet'!U19-'Balance Sheet'!T19)-('Balance Sheet'!U18-'Balance Sheet'!T18)-('Balance Sheet'!U17-'Balance Sheet'!T17)-('Balance Sheet'!U12-'Balance Sheet'!T12)-('Balance Sheet'!U14-'Balance Sheet'!T14)-('Balance Sheet'!U15-'Balance Sheet'!T15)-('Balance Sheet'!U16-'Balance Sheet'!T16)</f>
        <v>-453.62105405437342</v>
      </c>
    </row>
    <row r="18" spans="2:21" s="129" customFormat="1" ht="11.65" x14ac:dyDescent="0.35">
      <c r="B18" s="185" t="s">
        <v>354</v>
      </c>
      <c r="C18" s="215"/>
      <c r="D18" s="187">
        <f>('Balance Sheet'!D24-'Balance Sheet'!C24)-('Balance Sheet'!D26-'Balance Sheet'!C26)-('Balance Sheet'!D28-'Balance Sheet'!C28)-('Balance Sheet'!D30-'Balance Sheet'!C30)-('Balance Sheet'!D33-'Balance Sheet'!C33)</f>
        <v>-1400.1100000000001</v>
      </c>
      <c r="E18" s="187">
        <f>('Balance Sheet'!E24-'Balance Sheet'!D24)-('Balance Sheet'!E26-'Balance Sheet'!D26)-('Balance Sheet'!E28-'Balance Sheet'!D28)-('Balance Sheet'!E30-'Balance Sheet'!D30)-('Balance Sheet'!E33-'Balance Sheet'!D33)</f>
        <v>-3427.8620000000001</v>
      </c>
      <c r="F18" s="187">
        <f>('Balance Sheet'!F24-'Balance Sheet'!E24)-('Balance Sheet'!F26-'Balance Sheet'!E26)-('Balance Sheet'!F28-'Balance Sheet'!E28)-('Balance Sheet'!F30-'Balance Sheet'!E30)-('Balance Sheet'!F33-'Balance Sheet'!E33)</f>
        <v>-1354.2199999999993</v>
      </c>
      <c r="G18" s="187">
        <f>('Balance Sheet'!G24-'Balance Sheet'!F24)-('Balance Sheet'!G26-'Balance Sheet'!F26)-('Balance Sheet'!G28-'Balance Sheet'!F28)-('Balance Sheet'!G30-'Balance Sheet'!F30)-('Balance Sheet'!G33-'Balance Sheet'!F33)</f>
        <v>3493.8709999999996</v>
      </c>
      <c r="H18" s="187">
        <f>('Balance Sheet'!H24-'Balance Sheet'!G24)-('Balance Sheet'!H26-'Balance Sheet'!G26)-('Balance Sheet'!H28-'Balance Sheet'!G28)-('Balance Sheet'!H30-'Balance Sheet'!G30)-('Balance Sheet'!H33-'Balance Sheet'!G33)</f>
        <v>662.68200000000002</v>
      </c>
      <c r="I18" s="187">
        <f>('Balance Sheet'!I24-'Balance Sheet'!H24)-('Balance Sheet'!I26-'Balance Sheet'!H26)-('Balance Sheet'!I28-'Balance Sheet'!H28)-('Balance Sheet'!I30-'Balance Sheet'!H30)-('Balance Sheet'!I33-'Balance Sheet'!H33)</f>
        <v>230</v>
      </c>
      <c r="J18" s="163">
        <f>('Balance Sheet'!J24-'Balance Sheet'!I24)-('Balance Sheet'!J26-'Balance Sheet'!I26)-('Balance Sheet'!J28-'Balance Sheet'!I28)-('Balance Sheet'!J30-'Balance Sheet'!I30)-('Balance Sheet'!J33-'Balance Sheet'!I33)</f>
        <v>-2117.3303825906914</v>
      </c>
      <c r="K18" s="163">
        <f>('Balance Sheet'!K24-'Balance Sheet'!J24)-('Balance Sheet'!K26-'Balance Sheet'!J26)-('Balance Sheet'!K28-'Balance Sheet'!J28)-('Balance Sheet'!K30-'Balance Sheet'!J30)-('Balance Sheet'!K33-'Balance Sheet'!J33)</f>
        <v>-1103.7791994708562</v>
      </c>
      <c r="L18" s="163">
        <f>('Balance Sheet'!L24-'Balance Sheet'!K24)-('Balance Sheet'!L26-'Balance Sheet'!K26)-('Balance Sheet'!L28-'Balance Sheet'!K28)-('Balance Sheet'!L30-'Balance Sheet'!K30)-('Balance Sheet'!L33-'Balance Sheet'!K33)</f>
        <v>-2506.5190814564294</v>
      </c>
      <c r="M18" s="163">
        <f>('Balance Sheet'!M24-'Balance Sheet'!L24)-('Balance Sheet'!M26-'Balance Sheet'!L26)-('Balance Sheet'!M28-'Balance Sheet'!L28)-('Balance Sheet'!M30-'Balance Sheet'!L30)-('Balance Sheet'!M33-'Balance Sheet'!L33)</f>
        <v>-2187.7751288791915</v>
      </c>
      <c r="N18" s="163">
        <f>('Balance Sheet'!N24-'Balance Sheet'!M24)-('Balance Sheet'!N26-'Balance Sheet'!M26)-('Balance Sheet'!N28-'Balance Sheet'!M28)-('Balance Sheet'!N30-'Balance Sheet'!M30)-('Balance Sheet'!N33-'Balance Sheet'!M33)</f>
        <v>-2082.0524560389649</v>
      </c>
      <c r="O18" s="163">
        <f>('Balance Sheet'!O24-'Balance Sheet'!N24)-('Balance Sheet'!O26-'Balance Sheet'!N26)-('Balance Sheet'!O28-'Balance Sheet'!N28)-('Balance Sheet'!O30-'Balance Sheet'!N30)-('Balance Sheet'!O33-'Balance Sheet'!N33)</f>
        <v>9062.5014140511939</v>
      </c>
      <c r="P18" s="163">
        <f>('Balance Sheet'!P24-'Balance Sheet'!O24)-('Balance Sheet'!P26-'Balance Sheet'!O26)-('Balance Sheet'!P28-'Balance Sheet'!O28)-('Balance Sheet'!P30-'Balance Sheet'!O30)-('Balance Sheet'!P33-'Balance Sheet'!O33)</f>
        <v>-341.15428543222754</v>
      </c>
      <c r="Q18" s="163">
        <f>('Balance Sheet'!Q24-'Balance Sheet'!P24)-('Balance Sheet'!Q26-'Balance Sheet'!P26)-('Balance Sheet'!Q28-'Balance Sheet'!P28)-('Balance Sheet'!Q30-'Balance Sheet'!P30)-('Balance Sheet'!Q33-'Balance Sheet'!P33)</f>
        <v>-322.62007413083222</v>
      </c>
      <c r="R18" s="163">
        <f>('Balance Sheet'!R24-'Balance Sheet'!Q24)-('Balance Sheet'!R26-'Balance Sheet'!Q26)-('Balance Sheet'!R28-'Balance Sheet'!Q28)-('Balance Sheet'!R30-'Balance Sheet'!Q30)-('Balance Sheet'!R33-'Balance Sheet'!Q33)</f>
        <v>-259.21844237005962</v>
      </c>
      <c r="S18" s="163">
        <f>('Balance Sheet'!S24-'Balance Sheet'!R24)-('Balance Sheet'!S26-'Balance Sheet'!R26)-('Balance Sheet'!S28-'Balance Sheet'!R28)-('Balance Sheet'!S30-'Balance Sheet'!R30)-('Balance Sheet'!S33-'Balance Sheet'!R33)</f>
        <v>-237.31135220976239</v>
      </c>
      <c r="T18" s="163">
        <f>('Balance Sheet'!T24-'Balance Sheet'!S24)-('Balance Sheet'!T26-'Balance Sheet'!S26)-('Balance Sheet'!T28-'Balance Sheet'!S28)-('Balance Sheet'!T30-'Balance Sheet'!S30)-('Balance Sheet'!T33-'Balance Sheet'!S33)</f>
        <v>-169.32000519494841</v>
      </c>
      <c r="U18" s="163">
        <f>('Balance Sheet'!U24-'Balance Sheet'!T24)-('Balance Sheet'!U26-'Balance Sheet'!T26)-('Balance Sheet'!U28-'Balance Sheet'!T28)-('Balance Sheet'!U30-'Balance Sheet'!T30)-('Balance Sheet'!U33-'Balance Sheet'!T33)</f>
        <v>-175.79098419392312</v>
      </c>
    </row>
    <row r="19" spans="2:21" s="129" customFormat="1" ht="11.65" x14ac:dyDescent="0.35">
      <c r="B19" s="185"/>
      <c r="C19" s="215"/>
      <c r="D19" s="196"/>
      <c r="E19" s="196"/>
      <c r="F19" s="196"/>
      <c r="G19" s="196"/>
      <c r="H19" s="196"/>
      <c r="I19" s="196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</row>
    <row r="20" spans="2:21" s="129" customFormat="1" ht="12" thickBot="1" x14ac:dyDescent="0.4">
      <c r="B20" s="198" t="s">
        <v>311</v>
      </c>
      <c r="C20" s="217"/>
      <c r="D20" s="199">
        <f>D9+D14+D17+D18+D16</f>
        <v>10614.2528</v>
      </c>
      <c r="E20" s="199">
        <f>E9+E14+E17+E18+E16</f>
        <v>-3102.1730000000025</v>
      </c>
      <c r="F20" s="200">
        <f t="shared" ref="F20:Q20" si="8">F9+F14+F17+F18+F16</f>
        <v>2857.0240000000022</v>
      </c>
      <c r="G20" s="199">
        <f t="shared" si="8"/>
        <v>9703.1790000000001</v>
      </c>
      <c r="H20" s="199">
        <f t="shared" si="8"/>
        <v>1303.1499999999994</v>
      </c>
      <c r="I20" s="199">
        <f t="shared" si="8"/>
        <v>8822.1</v>
      </c>
      <c r="J20" s="201">
        <f>J9+J14+J17+J18+J16</f>
        <v>-5308.7425748308124</v>
      </c>
      <c r="K20" s="201">
        <f t="shared" si="8"/>
        <v>-556.63736114482163</v>
      </c>
      <c r="L20" s="201">
        <f t="shared" si="8"/>
        <v>-2502.5202897959175</v>
      </c>
      <c r="M20" s="201">
        <f t="shared" si="8"/>
        <v>-340.17921936623952</v>
      </c>
      <c r="N20" s="201">
        <f t="shared" si="8"/>
        <v>1394.6768231944716</v>
      </c>
      <c r="O20" s="201">
        <f t="shared" si="8"/>
        <v>15535.102459787257</v>
      </c>
      <c r="P20" s="201">
        <f t="shared" si="8"/>
        <v>7809.1129201301947</v>
      </c>
      <c r="Q20" s="201">
        <f t="shared" si="8"/>
        <v>8842.0384981282386</v>
      </c>
      <c r="R20" s="201">
        <f t="shared" ref="R20:U20" si="9">R9+R14+R17+R18+R16</f>
        <v>10035.866037338386</v>
      </c>
      <c r="S20" s="201">
        <f t="shared" si="9"/>
        <v>10874.923996135753</v>
      </c>
      <c r="T20" s="201">
        <f t="shared" si="9"/>
        <v>12330.183449365504</v>
      </c>
      <c r="U20" s="201">
        <f t="shared" si="9"/>
        <v>12638.23554471822</v>
      </c>
    </row>
    <row r="21" spans="2:21" s="129" customFormat="1" ht="11.65" x14ac:dyDescent="0.35">
      <c r="B21" s="185"/>
      <c r="C21" s="218"/>
      <c r="D21" s="196"/>
      <c r="E21" s="196"/>
      <c r="F21" s="196"/>
      <c r="G21" s="196"/>
      <c r="H21" s="196"/>
      <c r="I21" s="196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</row>
    <row r="22" spans="2:21" s="129" customFormat="1" ht="11.65" x14ac:dyDescent="0.35">
      <c r="B22" s="185" t="s">
        <v>355</v>
      </c>
      <c r="C22" s="218"/>
      <c r="D22" s="187">
        <f>'P&amp;L'!D10</f>
        <v>-158.995</v>
      </c>
      <c r="E22" s="187">
        <f>'P&amp;L'!E10</f>
        <v>-79.007999999999996</v>
      </c>
      <c r="F22" s="187">
        <f>'P&amp;L'!F10</f>
        <v>-576.94600000000003</v>
      </c>
      <c r="G22" s="187">
        <f>'P&amp;L'!G10</f>
        <v>-616.67200000000003</v>
      </c>
      <c r="H22" s="187">
        <f>'P&amp;L'!H10</f>
        <v>-596</v>
      </c>
      <c r="I22" s="187">
        <f>'P&amp;L'!I10</f>
        <v>-840</v>
      </c>
      <c r="J22" s="163">
        <f>Financing!J12</f>
        <v>-406.89447999999999</v>
      </c>
      <c r="K22" s="163">
        <f>Financing!K12</f>
        <v>-519.917609418148</v>
      </c>
      <c r="L22" s="163">
        <f>Financing!L12</f>
        <v>-531.76841883692123</v>
      </c>
      <c r="M22" s="163">
        <f>Financing!M12</f>
        <v>-585.04707580667628</v>
      </c>
      <c r="N22" s="163">
        <f>Financing!N12</f>
        <v>-592.28949138698363</v>
      </c>
      <c r="O22" s="163">
        <f>Financing!O12</f>
        <v>-592.28949138698363</v>
      </c>
      <c r="P22" s="163">
        <f>Financing!P12</f>
        <v>-592.28949138698363</v>
      </c>
      <c r="Q22" s="163">
        <f>Financing!Q12</f>
        <v>-592.28949138698363</v>
      </c>
      <c r="R22" s="163">
        <f>Financing!R12</f>
        <v>-592.28949138698363</v>
      </c>
      <c r="S22" s="163">
        <f>Financing!S12</f>
        <v>-592.28949138698363</v>
      </c>
      <c r="T22" s="163">
        <f>Financing!T12</f>
        <v>-592.28949138698363</v>
      </c>
      <c r="U22" s="163">
        <f>Financing!U12</f>
        <v>-592.28949138698363</v>
      </c>
    </row>
    <row r="23" spans="2:21" s="129" customFormat="1" ht="11.65" x14ac:dyDescent="0.35">
      <c r="B23" s="185" t="s">
        <v>356</v>
      </c>
      <c r="C23" s="218"/>
      <c r="D23" s="187">
        <f>'Balance Sheet'!D32-'Balance Sheet'!C32</f>
        <v>219.13599999999997</v>
      </c>
      <c r="E23" s="187">
        <f>'Balance Sheet'!E32-'Balance Sheet'!D32</f>
        <v>4195.24</v>
      </c>
      <c r="F23" s="187">
        <f>'Balance Sheet'!F32-'Balance Sheet'!E32</f>
        <v>3367.9889999999996</v>
      </c>
      <c r="G23" s="187">
        <f>'Balance Sheet'!G32-'Balance Sheet'!F32</f>
        <v>1759.1219999999994</v>
      </c>
      <c r="H23" s="187">
        <f>'Balance Sheet'!H32-'Balance Sheet'!G32</f>
        <v>1447.6290000000008</v>
      </c>
      <c r="I23" s="187">
        <f>'Balance Sheet'!I32-'Balance Sheet'!H32</f>
        <v>-1731</v>
      </c>
      <c r="J23" s="163">
        <f>'Balance Sheet'!J32-'Balance Sheet'!I32</f>
        <v>0</v>
      </c>
      <c r="K23" s="163">
        <f>'Balance Sheet'!K32-'Balance Sheet'!J32</f>
        <v>0</v>
      </c>
      <c r="L23" s="163">
        <f>'Balance Sheet'!L32-'Balance Sheet'!K32</f>
        <v>0</v>
      </c>
      <c r="M23" s="163">
        <f>'Balance Sheet'!M32-'Balance Sheet'!L32</f>
        <v>0</v>
      </c>
      <c r="N23" s="163">
        <f>'Balance Sheet'!N32-'Balance Sheet'!M32</f>
        <v>0</v>
      </c>
      <c r="O23" s="163">
        <f>'Balance Sheet'!O32-'Balance Sheet'!N32</f>
        <v>0</v>
      </c>
      <c r="P23" s="163">
        <f>'Balance Sheet'!P32-'Balance Sheet'!O32</f>
        <v>0</v>
      </c>
      <c r="Q23" s="163">
        <f>'Balance Sheet'!Q32-'Balance Sheet'!P32</f>
        <v>0</v>
      </c>
      <c r="R23" s="163">
        <f>'Balance Sheet'!R32-'Balance Sheet'!Q32</f>
        <v>0</v>
      </c>
      <c r="S23" s="163">
        <f>'Balance Sheet'!S32-'Balance Sheet'!R32</f>
        <v>0</v>
      </c>
      <c r="T23" s="163">
        <f>'Balance Sheet'!T32-'Balance Sheet'!S32</f>
        <v>0</v>
      </c>
      <c r="U23" s="163">
        <f>'Balance Sheet'!U32-'Balance Sheet'!T32</f>
        <v>0</v>
      </c>
    </row>
    <row r="24" spans="2:21" s="129" customFormat="1" ht="11.65" x14ac:dyDescent="0.35">
      <c r="B24" s="185" t="s">
        <v>357</v>
      </c>
      <c r="C24" s="218"/>
      <c r="D24" s="187"/>
      <c r="E24" s="187">
        <f>'Balance Sheet'!D36-'Balance Sheet'!C36-'P&amp;L'!D14</f>
        <v>1060.6569999999997</v>
      </c>
      <c r="F24" s="187">
        <f>'Balance Sheet'!E36-'Balance Sheet'!D36-'P&amp;L'!E14</f>
        <v>5129.2960000000012</v>
      </c>
      <c r="G24" s="187">
        <f>'Balance Sheet'!F36-'Balance Sheet'!E36-'P&amp;L'!F14</f>
        <v>1657.9019999999982</v>
      </c>
      <c r="H24" s="187">
        <f>'Balance Sheet'!G36-'Balance Sheet'!F36-'P&amp;L'!G14</f>
        <v>2055.107</v>
      </c>
      <c r="I24" s="187">
        <f>'Balance Sheet'!H36-'Balance Sheet'!G36-'P&amp;L'!H14</f>
        <v>2658.3959999999997</v>
      </c>
      <c r="J24" s="163">
        <f>'Balance Sheet'!I36-'Balance Sheet'!H36-'P&amp;L'!I14</f>
        <v>14899</v>
      </c>
      <c r="K24" s="163">
        <f>'Balance Sheet'!J36-'Balance Sheet'!I36-'P&amp;L'!J14</f>
        <v>2654.371287415403</v>
      </c>
      <c r="L24" s="163">
        <f>'Balance Sheet'!K36-'Balance Sheet'!J36-'P&amp;L'!K14</f>
        <v>278.31868057241263</v>
      </c>
      <c r="M24" s="163">
        <f>'Balance Sheet'!L36-'Balance Sheet'!K36-'P&amp;L'!L14</f>
        <v>1251.260144897959</v>
      </c>
      <c r="N24" s="163">
        <f>'Balance Sheet'!M36-'Balance Sheet'!L36-'P&amp;L'!M14</f>
        <v>170.08960968312385</v>
      </c>
      <c r="O24" s="163">
        <f>'Balance Sheet'!N36-'Balance Sheet'!M36-'P&amp;L'!N14</f>
        <v>0</v>
      </c>
      <c r="P24" s="163">
        <f>'Balance Sheet'!O36-'Balance Sheet'!N36-'P&amp;L'!O14</f>
        <v>0</v>
      </c>
      <c r="Q24" s="163">
        <f>'Balance Sheet'!P36-'Balance Sheet'!O36-'P&amp;L'!P14</f>
        <v>0</v>
      </c>
      <c r="R24" s="163">
        <f>'Balance Sheet'!Q36-'Balance Sheet'!P36-'P&amp;L'!Q14</f>
        <v>0</v>
      </c>
      <c r="S24" s="163">
        <f>'Balance Sheet'!R36-'Balance Sheet'!Q36-'P&amp;L'!R14</f>
        <v>0</v>
      </c>
      <c r="T24" s="163">
        <f>'Balance Sheet'!S36-'Balance Sheet'!R36-'P&amp;L'!S14</f>
        <v>0</v>
      </c>
      <c r="U24" s="163">
        <f>'Balance Sheet'!T36-'Balance Sheet'!S36-'P&amp;L'!T14</f>
        <v>0</v>
      </c>
    </row>
    <row r="25" spans="2:21" s="129" customFormat="1" ht="11.65" x14ac:dyDescent="0.35">
      <c r="B25" s="185" t="s">
        <v>358</v>
      </c>
      <c r="C25" s="218"/>
      <c r="D25" s="187">
        <f>'P&amp;L'!D12-'Cash Flow'!D6</f>
        <v>0</v>
      </c>
      <c r="E25" s="187">
        <f>'P&amp;L'!E12-'Cash Flow'!E6</f>
        <v>0</v>
      </c>
      <c r="F25" s="187">
        <f>'P&amp;L'!F12-'Cash Flow'!F6</f>
        <v>0</v>
      </c>
      <c r="G25" s="187">
        <f>'P&amp;L'!G12-'Cash Flow'!G6</f>
        <v>0</v>
      </c>
      <c r="H25" s="187">
        <f>'P&amp;L'!H12-'Cash Flow'!H6</f>
        <v>0</v>
      </c>
      <c r="I25" s="187">
        <f>'P&amp;L'!I12-'Cash Flow'!I6</f>
        <v>0</v>
      </c>
      <c r="J25" s="163">
        <f>'P&amp;L'!J12-'Cash Flow'!J6</f>
        <v>91.551257999999962</v>
      </c>
      <c r="K25" s="163">
        <f>'P&amp;L'!K12-'Cash Flow'!K6</f>
        <v>116.98146211908329</v>
      </c>
      <c r="L25" s="163">
        <f>'P&amp;L'!L12-'Cash Flow'!L6</f>
        <v>119.64789423830734</v>
      </c>
      <c r="M25" s="163">
        <f>'P&amp;L'!M12-'Cash Flow'!M6</f>
        <v>131.63559205650222</v>
      </c>
      <c r="N25" s="163">
        <f>'P&amp;L'!N12-'Cash Flow'!N6</f>
        <v>133.26513556207146</v>
      </c>
      <c r="O25" s="163">
        <f>'P&amp;L'!O12-'Cash Flow'!O6</f>
        <v>133.26513556207146</v>
      </c>
      <c r="P25" s="163">
        <f>'P&amp;L'!P12-'Cash Flow'!P6</f>
        <v>133.26513556207146</v>
      </c>
      <c r="Q25" s="163">
        <f>'P&amp;L'!Q12-'Cash Flow'!Q6</f>
        <v>133.26513556207146</v>
      </c>
      <c r="R25" s="163">
        <f>'P&amp;L'!R12-'Cash Flow'!R6</f>
        <v>133.26513556207146</v>
      </c>
      <c r="S25" s="163">
        <f>'P&amp;L'!S12-'Cash Flow'!S6</f>
        <v>133.26513556207146</v>
      </c>
      <c r="T25" s="163">
        <f>'P&amp;L'!T12-'Cash Flow'!T6</f>
        <v>133.26513556207146</v>
      </c>
      <c r="U25" s="163">
        <f>'P&amp;L'!U12-'Cash Flow'!U6</f>
        <v>133.26513556207146</v>
      </c>
    </row>
    <row r="26" spans="2:21" s="129" customFormat="1" ht="11.65" x14ac:dyDescent="0.35">
      <c r="B26" s="185" t="s">
        <v>326</v>
      </c>
      <c r="C26" s="218"/>
      <c r="D26" s="187">
        <f>'P&amp;L'!D13</f>
        <v>0</v>
      </c>
      <c r="E26" s="187">
        <f>'P&amp;L'!E13</f>
        <v>98.132000000000005</v>
      </c>
      <c r="F26" s="187">
        <f>'P&amp;L'!F13</f>
        <v>279.178</v>
      </c>
      <c r="G26" s="187">
        <f>'P&amp;L'!G13</f>
        <v>86.491</v>
      </c>
      <c r="H26" s="187">
        <f>'P&amp;L'!H13</f>
        <v>-87</v>
      </c>
      <c r="I26" s="187">
        <f>'P&amp;L'!I13</f>
        <v>-141</v>
      </c>
      <c r="J26" s="163">
        <f>I26</f>
        <v>-141</v>
      </c>
      <c r="K26" s="163">
        <f t="shared" ref="K26:U26" si="10">J26</f>
        <v>-141</v>
      </c>
      <c r="L26" s="163">
        <f t="shared" si="10"/>
        <v>-141</v>
      </c>
      <c r="M26" s="163">
        <f t="shared" si="10"/>
        <v>-141</v>
      </c>
      <c r="N26" s="163">
        <f t="shared" si="10"/>
        <v>-141</v>
      </c>
      <c r="O26" s="163">
        <f t="shared" si="10"/>
        <v>-141</v>
      </c>
      <c r="P26" s="163">
        <f t="shared" si="10"/>
        <v>-141</v>
      </c>
      <c r="Q26" s="163">
        <f t="shared" si="10"/>
        <v>-141</v>
      </c>
      <c r="R26" s="163">
        <f t="shared" si="10"/>
        <v>-141</v>
      </c>
      <c r="S26" s="163">
        <f t="shared" si="10"/>
        <v>-141</v>
      </c>
      <c r="T26" s="163">
        <f t="shared" si="10"/>
        <v>-141</v>
      </c>
      <c r="U26" s="163">
        <f t="shared" si="10"/>
        <v>-141</v>
      </c>
    </row>
    <row r="27" spans="2:21" s="129" customFormat="1" ht="11.65" x14ac:dyDescent="0.35">
      <c r="B27" s="185"/>
      <c r="C27" s="218"/>
      <c r="D27" s="196"/>
      <c r="E27" s="196"/>
      <c r="F27" s="196"/>
      <c r="G27" s="196"/>
      <c r="H27" s="196"/>
      <c r="I27" s="196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</row>
    <row r="28" spans="2:21" s="129" customFormat="1" ht="12" thickBot="1" x14ac:dyDescent="0.4">
      <c r="B28" s="198" t="s">
        <v>359</v>
      </c>
      <c r="C28" s="202"/>
      <c r="D28" s="199">
        <f t="shared" ref="D28:F28" si="11">SUM(D20:D27)</f>
        <v>10674.3938</v>
      </c>
      <c r="E28" s="199">
        <f t="shared" si="11"/>
        <v>2172.8479999999972</v>
      </c>
      <c r="F28" s="199">
        <f t="shared" si="11"/>
        <v>11056.541000000003</v>
      </c>
      <c r="G28" s="199">
        <f t="shared" ref="G28:Q28" si="12">SUM(G20:G27)</f>
        <v>12590.021999999997</v>
      </c>
      <c r="H28" s="199">
        <f t="shared" si="12"/>
        <v>4122.8860000000004</v>
      </c>
      <c r="I28" s="199">
        <f t="shared" si="12"/>
        <v>8768.4959999999992</v>
      </c>
      <c r="J28" s="201">
        <f t="shared" si="12"/>
        <v>9133.9142031691881</v>
      </c>
      <c r="K28" s="201">
        <f t="shared" si="12"/>
        <v>1553.7977789715167</v>
      </c>
      <c r="L28" s="201">
        <f t="shared" si="12"/>
        <v>-2777.3221338221188</v>
      </c>
      <c r="M28" s="201">
        <f t="shared" si="12"/>
        <v>316.6694417815454</v>
      </c>
      <c r="N28" s="201">
        <f t="shared" si="12"/>
        <v>964.74207705268327</v>
      </c>
      <c r="O28" s="201">
        <f t="shared" si="12"/>
        <v>14935.078103962343</v>
      </c>
      <c r="P28" s="201">
        <f t="shared" si="12"/>
        <v>7209.0885643052825</v>
      </c>
      <c r="Q28" s="201">
        <f t="shared" si="12"/>
        <v>8242.0141423033256</v>
      </c>
      <c r="R28" s="201">
        <f t="shared" ref="R28:U28" si="13">SUM(R20:R27)</f>
        <v>9435.8416815134733</v>
      </c>
      <c r="S28" s="201">
        <f t="shared" si="13"/>
        <v>10274.899640310839</v>
      </c>
      <c r="T28" s="201">
        <f t="shared" si="13"/>
        <v>11730.159093540591</v>
      </c>
      <c r="U28" s="201">
        <f t="shared" si="13"/>
        <v>12038.211188893307</v>
      </c>
    </row>
    <row r="30" spans="2:21" x14ac:dyDescent="0.35">
      <c r="B30" s="203" t="s">
        <v>360</v>
      </c>
      <c r="C30" s="203"/>
      <c r="D30" s="203">
        <f>C32</f>
        <v>1905.713</v>
      </c>
      <c r="E30" s="203">
        <f t="shared" ref="E30:F30" si="14">D32</f>
        <v>12580.1068</v>
      </c>
      <c r="F30" s="203">
        <f t="shared" si="14"/>
        <v>14752.954799999996</v>
      </c>
      <c r="G30" s="203">
        <f t="shared" ref="G30" si="15">F32</f>
        <v>25809.495799999997</v>
      </c>
      <c r="H30" s="203">
        <f t="shared" ref="H30" si="16">G32</f>
        <v>38399.517799999994</v>
      </c>
      <c r="I30" s="203">
        <f t="shared" ref="I30" si="17">H32</f>
        <v>42522.403799999993</v>
      </c>
      <c r="J30" s="203">
        <f t="shared" ref="J30" si="18">I32</f>
        <v>51290.899799999992</v>
      </c>
      <c r="K30" s="203">
        <f t="shared" ref="K30" si="19">J32</f>
        <v>60424.81400316918</v>
      </c>
      <c r="L30" s="203">
        <f t="shared" ref="L30" si="20">K32</f>
        <v>61978.611782140695</v>
      </c>
      <c r="M30" s="203">
        <f t="shared" ref="M30" si="21">L32</f>
        <v>59201.289648318576</v>
      </c>
      <c r="N30" s="203">
        <f t="shared" ref="N30" si="22">M32</f>
        <v>59517.959090100121</v>
      </c>
      <c r="O30" s="203">
        <f t="shared" ref="O30" si="23">N32</f>
        <v>60482.701167152802</v>
      </c>
      <c r="P30" s="203">
        <f t="shared" ref="P30" si="24">O32</f>
        <v>75417.779271115141</v>
      </c>
      <c r="Q30" s="203">
        <f t="shared" ref="Q30" si="25">P32</f>
        <v>82626.867835420417</v>
      </c>
      <c r="R30" s="203">
        <f t="shared" ref="R30" si="26">Q32</f>
        <v>90868.881977723737</v>
      </c>
      <c r="S30" s="203">
        <f t="shared" ref="S30" si="27">R32</f>
        <v>100304.72365923721</v>
      </c>
      <c r="T30" s="203">
        <f t="shared" ref="T30" si="28">S32</f>
        <v>110579.62329954805</v>
      </c>
      <c r="U30" s="203">
        <f t="shared" ref="U30" si="29">T32</f>
        <v>122309.78239308865</v>
      </c>
    </row>
    <row r="31" spans="2:21" x14ac:dyDescent="0.35">
      <c r="B31" s="203" t="s">
        <v>359</v>
      </c>
      <c r="C31" s="203">
        <f t="shared" ref="C31:U31" si="30">C28</f>
        <v>0</v>
      </c>
      <c r="D31" s="203">
        <f t="shared" si="30"/>
        <v>10674.3938</v>
      </c>
      <c r="E31" s="203">
        <f t="shared" si="30"/>
        <v>2172.8479999999972</v>
      </c>
      <c r="F31" s="203">
        <f t="shared" si="30"/>
        <v>11056.541000000003</v>
      </c>
      <c r="G31" s="203">
        <f t="shared" si="30"/>
        <v>12590.021999999997</v>
      </c>
      <c r="H31" s="203">
        <f t="shared" si="30"/>
        <v>4122.8860000000004</v>
      </c>
      <c r="I31" s="203">
        <f t="shared" si="30"/>
        <v>8768.4959999999992</v>
      </c>
      <c r="J31" s="203">
        <f t="shared" si="30"/>
        <v>9133.9142031691881</v>
      </c>
      <c r="K31" s="203">
        <f t="shared" si="30"/>
        <v>1553.7977789715167</v>
      </c>
      <c r="L31" s="203">
        <f t="shared" si="30"/>
        <v>-2777.3221338221188</v>
      </c>
      <c r="M31" s="203">
        <f t="shared" si="30"/>
        <v>316.6694417815454</v>
      </c>
      <c r="N31" s="203">
        <f t="shared" si="30"/>
        <v>964.74207705268327</v>
      </c>
      <c r="O31" s="203">
        <f t="shared" si="30"/>
        <v>14935.078103962343</v>
      </c>
      <c r="P31" s="203">
        <f t="shared" si="30"/>
        <v>7209.0885643052825</v>
      </c>
      <c r="Q31" s="203">
        <f t="shared" si="30"/>
        <v>8242.0141423033256</v>
      </c>
      <c r="R31" s="203">
        <f t="shared" si="30"/>
        <v>9435.8416815134733</v>
      </c>
      <c r="S31" s="203">
        <f t="shared" si="30"/>
        <v>10274.899640310839</v>
      </c>
      <c r="T31" s="203">
        <f t="shared" si="30"/>
        <v>11730.159093540591</v>
      </c>
      <c r="U31" s="203">
        <f t="shared" si="30"/>
        <v>12038.211188893307</v>
      </c>
    </row>
    <row r="32" spans="2:21" x14ac:dyDescent="0.35">
      <c r="B32" s="203" t="s">
        <v>361</v>
      </c>
      <c r="C32" s="203">
        <f>'Balance Sheet'!C5</f>
        <v>1905.713</v>
      </c>
      <c r="D32" s="203">
        <f>D30+D31</f>
        <v>12580.1068</v>
      </c>
      <c r="E32" s="203">
        <f t="shared" ref="E32:U32" si="31">E30+E31</f>
        <v>14752.954799999996</v>
      </c>
      <c r="F32" s="203">
        <f t="shared" si="31"/>
        <v>25809.495799999997</v>
      </c>
      <c r="G32" s="203">
        <f t="shared" si="31"/>
        <v>38399.517799999994</v>
      </c>
      <c r="H32" s="203">
        <f t="shared" si="31"/>
        <v>42522.403799999993</v>
      </c>
      <c r="I32" s="203">
        <f t="shared" si="31"/>
        <v>51290.899799999992</v>
      </c>
      <c r="J32" s="203">
        <f t="shared" si="31"/>
        <v>60424.81400316918</v>
      </c>
      <c r="K32" s="203">
        <f t="shared" si="31"/>
        <v>61978.611782140695</v>
      </c>
      <c r="L32" s="203">
        <f t="shared" si="31"/>
        <v>59201.289648318576</v>
      </c>
      <c r="M32" s="203">
        <f t="shared" si="31"/>
        <v>59517.959090100121</v>
      </c>
      <c r="N32" s="203">
        <f t="shared" si="31"/>
        <v>60482.701167152802</v>
      </c>
      <c r="O32" s="203">
        <f t="shared" si="31"/>
        <v>75417.779271115141</v>
      </c>
      <c r="P32" s="203">
        <f t="shared" si="31"/>
        <v>82626.867835420417</v>
      </c>
      <c r="Q32" s="203">
        <f t="shared" si="31"/>
        <v>90868.881977723737</v>
      </c>
      <c r="R32" s="203">
        <f t="shared" si="31"/>
        <v>100304.72365923721</v>
      </c>
      <c r="S32" s="203">
        <f t="shared" si="31"/>
        <v>110579.62329954805</v>
      </c>
      <c r="T32" s="203">
        <f t="shared" si="31"/>
        <v>122309.78239308865</v>
      </c>
      <c r="U32" s="203">
        <f t="shared" si="31"/>
        <v>134347.99358198195</v>
      </c>
    </row>
    <row r="33" spans="2:21" x14ac:dyDescent="0.35"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</row>
    <row r="34" spans="2:21" outlineLevel="1" x14ac:dyDescent="0.35">
      <c r="B34" s="204" t="s">
        <v>328</v>
      </c>
      <c r="C34" s="204">
        <f>'[2]Balance Sheet'!C5-C32</f>
        <v>0</v>
      </c>
      <c r="D34" s="204">
        <f>'Balance Sheet'!D5-'Balance Sheet'!D36</f>
        <v>113.20399999999995</v>
      </c>
      <c r="E34" s="204">
        <f>'[2]Balance Sheet'!E5-E32</f>
        <v>-11359.738799999996</v>
      </c>
      <c r="F34" s="204">
        <f>'[2]Balance Sheet'!F5-F32</f>
        <v>-22441.581799999996</v>
      </c>
      <c r="G34" s="204">
        <f>'[2]Balance Sheet'!G5-G32</f>
        <v>-36163.093799999995</v>
      </c>
      <c r="H34" s="204">
        <f>'[2]Balance Sheet'!H5-H32</f>
        <v>-38844.627839932</v>
      </c>
      <c r="I34" s="204">
        <f>'[2]Balance Sheet'!I5-I32</f>
        <v>-48127.642966150765</v>
      </c>
      <c r="J34" s="204">
        <f>'[2]Balance Sheet'!J5-J32</f>
        <v>-48757.549666452534</v>
      </c>
      <c r="K34" s="204">
        <f>'[2]Balance Sheet'!K5-K32</f>
        <v>-43030.760698191079</v>
      </c>
      <c r="L34" s="204">
        <f>'[2]Balance Sheet'!L5-L32</f>
        <v>-30938.350417222871</v>
      </c>
      <c r="M34" s="204">
        <f>'[2]Balance Sheet'!M5-M32</f>
        <v>-29067.539698168075</v>
      </c>
      <c r="N34" s="204">
        <f>'[2]Balance Sheet'!N5-N32</f>
        <v>-27535.512289153674</v>
      </c>
      <c r="O34" s="204">
        <f>'[2]Balance Sheet'!O5-O32</f>
        <v>-41612.176024064458</v>
      </c>
      <c r="P34" s="204">
        <f>'[2]Balance Sheet'!P5-P32</f>
        <v>-47900.207378198145</v>
      </c>
      <c r="Q34" s="204">
        <f>'[2]Balance Sheet'!Q5-Q32</f>
        <v>-56154.820261037617</v>
      </c>
      <c r="R34" s="204">
        <f>'[2]Balance Sheet'!R5-R32</f>
        <v>-65618.155601120903</v>
      </c>
      <c r="S34" s="204">
        <f>'[2]Balance Sheet'!S5-S32</f>
        <v>-110579.62329954805</v>
      </c>
      <c r="T34" s="204" t="e">
        <f>'[2]Balance Sheet'!T5-T32</f>
        <v>#VALUE!</v>
      </c>
      <c r="U34" s="204">
        <f>'[2]Balance Sheet'!U5-U32</f>
        <v>-134347.99358198195</v>
      </c>
    </row>
    <row r="36" spans="2:21" x14ac:dyDescent="0.35">
      <c r="E36" s="205"/>
    </row>
  </sheetData>
  <mergeCells count="1">
    <mergeCell ref="C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4F28-0B9C-4E80-A45D-C8067BD3B844}">
  <dimension ref="B1:I36"/>
  <sheetViews>
    <sheetView workbookViewId="0">
      <selection activeCell="J20" sqref="J20"/>
    </sheetView>
  </sheetViews>
  <sheetFormatPr defaultColWidth="9.1328125" defaultRowHeight="12.75" x14ac:dyDescent="0.3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3125" style="1" customWidth="1"/>
    <col min="7" max="9" width="11.46484375" style="1" bestFit="1" customWidth="1"/>
    <col min="10" max="16384" width="9.1328125" style="1"/>
  </cols>
  <sheetData>
    <row r="1" spans="2:9" ht="15" x14ac:dyDescent="0.35">
      <c r="B1" s="2" t="s">
        <v>60</v>
      </c>
    </row>
    <row r="3" spans="2:9" ht="23.25" x14ac:dyDescent="0.35">
      <c r="B3" s="14" t="s">
        <v>17</v>
      </c>
      <c r="C3" s="31" t="s">
        <v>61</v>
      </c>
      <c r="D3" s="31" t="s">
        <v>62</v>
      </c>
      <c r="E3" s="31" t="s">
        <v>63</v>
      </c>
      <c r="F3" s="31" t="s">
        <v>64</v>
      </c>
      <c r="G3" s="16" t="s">
        <v>109</v>
      </c>
      <c r="H3" s="16" t="s">
        <v>110</v>
      </c>
      <c r="I3" s="16" t="s">
        <v>111</v>
      </c>
    </row>
    <row r="4" spans="2:9" x14ac:dyDescent="0.35">
      <c r="B4" s="4" t="s">
        <v>65</v>
      </c>
      <c r="C4" s="22">
        <v>3007012</v>
      </c>
      <c r="D4" s="22">
        <v>3740973</v>
      </c>
      <c r="E4" s="22">
        <v>6350766</v>
      </c>
      <c r="F4" s="22">
        <v>9641300</v>
      </c>
      <c r="G4" s="22">
        <v>18514983</v>
      </c>
      <c r="H4" s="22">
        <v>20821000</v>
      </c>
      <c r="I4" s="22">
        <v>27236000</v>
      </c>
    </row>
    <row r="5" spans="2:9" x14ac:dyDescent="0.35">
      <c r="B5" s="4" t="s">
        <v>66</v>
      </c>
      <c r="C5" s="22">
        <v>4208</v>
      </c>
      <c r="D5" s="22">
        <v>14477</v>
      </c>
      <c r="E5" s="22">
        <v>181394</v>
      </c>
      <c r="F5" s="22">
        <v>1116266</v>
      </c>
      <c r="G5" s="22">
        <v>1555244</v>
      </c>
      <c r="H5" s="22">
        <v>1531000</v>
      </c>
      <c r="I5" s="22">
        <v>1994000</v>
      </c>
    </row>
    <row r="6" spans="2:9" x14ac:dyDescent="0.35">
      <c r="B6" s="4" t="s">
        <v>67</v>
      </c>
      <c r="C6" s="22">
        <v>187136</v>
      </c>
      <c r="D6" s="22">
        <v>290575</v>
      </c>
      <c r="E6" s="22">
        <v>467972</v>
      </c>
      <c r="F6" s="22">
        <v>1001185</v>
      </c>
      <c r="G6" s="22">
        <v>1391041</v>
      </c>
      <c r="H6" s="22">
        <v>2226000</v>
      </c>
      <c r="I6" s="22">
        <v>2306000</v>
      </c>
    </row>
    <row r="7" spans="2:9" x14ac:dyDescent="0.35">
      <c r="B7" s="18" t="s">
        <v>68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3">
        <f>SUM(G4:G6)</f>
        <v>21461268</v>
      </c>
      <c r="H7" s="33">
        <f t="shared" ref="H7:I7" si="0">SUM(H4:H6)</f>
        <v>24578000</v>
      </c>
      <c r="I7" s="33">
        <f t="shared" si="0"/>
        <v>31536000</v>
      </c>
    </row>
    <row r="8" spans="2:9" x14ac:dyDescent="0.35">
      <c r="B8" s="4" t="s">
        <v>69</v>
      </c>
      <c r="C8" s="22">
        <v>-2145749</v>
      </c>
      <c r="D8" s="22">
        <v>-2823302</v>
      </c>
      <c r="E8" s="22">
        <v>-4750081</v>
      </c>
      <c r="F8" s="22">
        <v>-7432704</v>
      </c>
      <c r="G8" s="22">
        <v>-14173997</v>
      </c>
      <c r="H8" s="22">
        <v>-16398000</v>
      </c>
      <c r="I8" s="22">
        <v>-20259000</v>
      </c>
    </row>
    <row r="9" spans="2:9" x14ac:dyDescent="0.35">
      <c r="B9" s="4" t="s">
        <v>70</v>
      </c>
      <c r="C9" s="22">
        <v>-4005</v>
      </c>
      <c r="D9" s="22">
        <v>-12287</v>
      </c>
      <c r="E9" s="22">
        <v>-178332</v>
      </c>
      <c r="F9" s="22">
        <v>-874538</v>
      </c>
      <c r="G9" s="22">
        <v>-1364896</v>
      </c>
      <c r="H9" s="22">
        <v>-1341000</v>
      </c>
      <c r="I9" s="22">
        <v>-1976000</v>
      </c>
    </row>
    <row r="10" spans="2:9" x14ac:dyDescent="0.35">
      <c r="B10" s="4" t="s">
        <v>71</v>
      </c>
      <c r="C10" s="22">
        <v>-166931</v>
      </c>
      <c r="D10" s="22">
        <v>-286933</v>
      </c>
      <c r="E10" s="22">
        <v>-472462</v>
      </c>
      <c r="F10" s="22">
        <v>-1229022</v>
      </c>
      <c r="G10" s="22">
        <v>-1880354</v>
      </c>
      <c r="H10" s="22">
        <v>-2770000</v>
      </c>
      <c r="I10" s="22">
        <v>-2671000</v>
      </c>
    </row>
    <row r="11" spans="2:9" x14ac:dyDescent="0.35">
      <c r="B11" s="18" t="s">
        <v>72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3">
        <f>SUM(G7:G10)</f>
        <v>4042021</v>
      </c>
      <c r="H11" s="33">
        <f t="shared" ref="H11:I11" si="1">SUM(H7:H10)</f>
        <v>4069000</v>
      </c>
      <c r="I11" s="33">
        <f t="shared" si="1"/>
        <v>6630000</v>
      </c>
    </row>
    <row r="12" spans="2:9" x14ac:dyDescent="0.35">
      <c r="B12" s="4" t="s">
        <v>73</v>
      </c>
      <c r="C12" s="22">
        <v>-464700</v>
      </c>
      <c r="D12" s="22">
        <v>-717900</v>
      </c>
      <c r="E12" s="22">
        <v>-834408</v>
      </c>
      <c r="F12" s="22">
        <v>-1378073</v>
      </c>
      <c r="G12" s="22">
        <v>-1460370</v>
      </c>
      <c r="H12" s="22">
        <v>-1343000</v>
      </c>
      <c r="I12" s="22">
        <v>-1491000</v>
      </c>
    </row>
    <row r="13" spans="2:9" x14ac:dyDescent="0.35">
      <c r="B13" s="4" t="s">
        <v>74</v>
      </c>
      <c r="C13" s="22">
        <v>-603660</v>
      </c>
      <c r="D13" s="22">
        <v>-922232</v>
      </c>
      <c r="E13" s="22">
        <v>-1432189</v>
      </c>
      <c r="F13" s="22">
        <v>-2476500</v>
      </c>
      <c r="G13" s="22">
        <v>-2834491</v>
      </c>
      <c r="H13" s="22">
        <v>-2646000</v>
      </c>
      <c r="I13" s="22">
        <v>-3145000</v>
      </c>
    </row>
    <row r="14" spans="2:9" x14ac:dyDescent="0.35">
      <c r="B14" s="4" t="s">
        <v>75</v>
      </c>
      <c r="C14" s="22"/>
      <c r="D14" s="22"/>
      <c r="E14" s="22"/>
      <c r="F14" s="22"/>
      <c r="G14" s="22">
        <v>-135233</v>
      </c>
      <c r="H14" s="22">
        <v>-149000</v>
      </c>
      <c r="I14" s="22">
        <v>0</v>
      </c>
    </row>
    <row r="15" spans="2:9" x14ac:dyDescent="0.35">
      <c r="B15" s="18" t="s">
        <v>76</v>
      </c>
      <c r="C15" s="33">
        <f t="shared" ref="C15:F15" si="2">SUM(C11:C14)</f>
        <v>-186689</v>
      </c>
      <c r="D15" s="33">
        <f t="shared" si="2"/>
        <v>-716629</v>
      </c>
      <c r="E15" s="33">
        <f t="shared" si="2"/>
        <v>-667340</v>
      </c>
      <c r="F15" s="33">
        <f t="shared" si="2"/>
        <v>-1632086</v>
      </c>
      <c r="G15" s="33">
        <f>SUM(G11:G14)</f>
        <v>-388073</v>
      </c>
      <c r="H15" s="33">
        <f t="shared" ref="H15:I15" si="3">SUM(H11:H14)</f>
        <v>-69000</v>
      </c>
      <c r="I15" s="33">
        <f t="shared" si="3"/>
        <v>1994000</v>
      </c>
    </row>
    <row r="16" spans="2:9" x14ac:dyDescent="0.35">
      <c r="B16" s="4" t="s">
        <v>77</v>
      </c>
      <c r="C16" s="22">
        <v>1126</v>
      </c>
      <c r="D16" s="22">
        <v>1508</v>
      </c>
      <c r="E16" s="22">
        <v>8530</v>
      </c>
      <c r="F16" s="22">
        <v>19686</v>
      </c>
      <c r="G16" s="22">
        <v>24533</v>
      </c>
      <c r="H16" s="22">
        <v>44000</v>
      </c>
      <c r="I16" s="22">
        <v>30000</v>
      </c>
    </row>
    <row r="17" spans="2:9" x14ac:dyDescent="0.35">
      <c r="B17" s="4" t="s">
        <v>78</v>
      </c>
      <c r="C17" s="22">
        <v>-100886</v>
      </c>
      <c r="D17" s="22">
        <v>-118851</v>
      </c>
      <c r="E17" s="22">
        <v>-198810</v>
      </c>
      <c r="F17" s="22">
        <v>-471259</v>
      </c>
      <c r="G17" s="22">
        <v>-663071</v>
      </c>
      <c r="H17" s="22">
        <v>-685000</v>
      </c>
      <c r="I17" s="22">
        <v>-748000</v>
      </c>
    </row>
    <row r="18" spans="2:9" x14ac:dyDescent="0.35">
      <c r="B18" s="4" t="s">
        <v>79</v>
      </c>
      <c r="C18" s="22">
        <v>1813</v>
      </c>
      <c r="D18" s="22">
        <v>-41652</v>
      </c>
      <c r="E18" s="22">
        <v>111272</v>
      </c>
      <c r="F18" s="22">
        <v>-125373</v>
      </c>
      <c r="G18" s="22">
        <v>21866</v>
      </c>
      <c r="H18" s="22">
        <v>45000</v>
      </c>
      <c r="I18" s="22">
        <v>-122000</v>
      </c>
    </row>
    <row r="19" spans="2:9" x14ac:dyDescent="0.35">
      <c r="B19" s="18" t="s">
        <v>80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3">
        <f>SUM(G15:G18)</f>
        <v>-1004745</v>
      </c>
      <c r="H19" s="33">
        <f t="shared" ref="H19:I19" si="4">SUM(H15:H18)</f>
        <v>-665000</v>
      </c>
      <c r="I19" s="33">
        <f t="shared" si="4"/>
        <v>1154000</v>
      </c>
    </row>
    <row r="20" spans="2:9" x14ac:dyDescent="0.35">
      <c r="B20" s="4" t="s">
        <v>81</v>
      </c>
      <c r="C20" s="22">
        <v>-9404</v>
      </c>
      <c r="D20" s="22">
        <v>-13039</v>
      </c>
      <c r="E20" s="22">
        <v>-26698</v>
      </c>
      <c r="F20" s="22">
        <v>-31546</v>
      </c>
      <c r="G20" s="22">
        <v>-57837</v>
      </c>
      <c r="H20" s="22">
        <v>-110000</v>
      </c>
      <c r="I20" s="22">
        <v>-292000</v>
      </c>
    </row>
    <row r="21" spans="2:9" x14ac:dyDescent="0.35">
      <c r="B21" s="18" t="s">
        <v>82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3">
        <f>SUM(G19:G20)</f>
        <v>-1062582</v>
      </c>
      <c r="H21" s="33">
        <f t="shared" ref="H21:I21" si="5">SUM(H19:H20)</f>
        <v>-775000</v>
      </c>
      <c r="I21" s="33">
        <f t="shared" si="5"/>
        <v>862000</v>
      </c>
    </row>
    <row r="22" spans="2:9" s="35" customFormat="1" x14ac:dyDescent="0.35">
      <c r="B22" s="4" t="s">
        <v>83</v>
      </c>
      <c r="C22" s="22">
        <v>0</v>
      </c>
      <c r="D22" s="22">
        <v>0</v>
      </c>
      <c r="E22" s="22">
        <v>98132</v>
      </c>
      <c r="F22" s="22">
        <v>279178</v>
      </c>
      <c r="G22" s="22">
        <v>86491</v>
      </c>
      <c r="H22" s="22">
        <v>-87000</v>
      </c>
      <c r="I22" s="22">
        <v>-141000</v>
      </c>
    </row>
    <row r="23" spans="2:9" s="35" customFormat="1" ht="13.15" thickBot="1" x14ac:dyDescent="0.4">
      <c r="B23" s="20" t="s">
        <v>114</v>
      </c>
      <c r="C23" s="36">
        <f>SUM(C21:C22)</f>
        <v>-294040</v>
      </c>
      <c r="D23" s="36">
        <f>SUM(D21:D22)</f>
        <v>-888663</v>
      </c>
      <c r="E23" s="36">
        <f>SUM(E21:E22)</f>
        <v>-674914</v>
      </c>
      <c r="F23" s="36">
        <f>SUM(F21:F22)</f>
        <v>-1961400</v>
      </c>
      <c r="G23" s="36">
        <f>SUM(G21:G22)</f>
        <v>-976091</v>
      </c>
      <c r="H23" s="36">
        <f t="shared" ref="H23:I23" si="6">SUM(H21:H22)</f>
        <v>-862000</v>
      </c>
      <c r="I23" s="36">
        <f t="shared" si="6"/>
        <v>721000</v>
      </c>
    </row>
    <row r="25" spans="2:9" x14ac:dyDescent="0.3">
      <c r="B25" s="37" t="s">
        <v>48</v>
      </c>
      <c r="C25" s="38"/>
      <c r="D25" s="38"/>
      <c r="E25" s="38"/>
      <c r="F25" s="38"/>
      <c r="G25" s="38"/>
      <c r="H25" s="38"/>
      <c r="I25" s="38"/>
    </row>
    <row r="26" spans="2:9" x14ac:dyDescent="0.3">
      <c r="B26" s="38" t="s">
        <v>84</v>
      </c>
      <c r="C26" s="39"/>
      <c r="D26" s="39">
        <f t="shared" ref="D26:F28" si="7">D4/C4-1</f>
        <v>0.2440831629537894</v>
      </c>
      <c r="E26" s="39">
        <f t="shared" si="7"/>
        <v>0.69762412078355007</v>
      </c>
      <c r="F26" s="39">
        <f t="shared" si="7"/>
        <v>0.51813182850698647</v>
      </c>
      <c r="G26" s="39">
        <f t="shared" ref="G26:G28" si="8">G4/F4-1</f>
        <v>0.92038241730886905</v>
      </c>
      <c r="H26" s="39">
        <f t="shared" ref="H26:H28" si="9">H4/G4-1</f>
        <v>0.12454869658805512</v>
      </c>
      <c r="I26" s="39">
        <f t="shared" ref="I26:I28" si="10">I4/H4-1</f>
        <v>0.30810239661879835</v>
      </c>
    </row>
    <row r="27" spans="2:9" x14ac:dyDescent="0.3">
      <c r="B27" s="38" t="s">
        <v>85</v>
      </c>
      <c r="C27" s="39"/>
      <c r="D27" s="39">
        <f t="shared" si="7"/>
        <v>2.440351711026616</v>
      </c>
      <c r="E27" s="39">
        <f t="shared" si="7"/>
        <v>11.529805899012226</v>
      </c>
      <c r="F27" s="39">
        <f t="shared" si="7"/>
        <v>5.1538198617374338</v>
      </c>
      <c r="G27" s="39">
        <f t="shared" si="8"/>
        <v>0.39325572936916475</v>
      </c>
      <c r="H27" s="39">
        <f t="shared" si="9"/>
        <v>-1.5588550735447293E-2</v>
      </c>
      <c r="I27" s="39">
        <f t="shared" si="10"/>
        <v>0.30241672109732209</v>
      </c>
    </row>
    <row r="28" spans="2:9" x14ac:dyDescent="0.3">
      <c r="B28" s="38" t="s">
        <v>86</v>
      </c>
      <c r="C28" s="39"/>
      <c r="D28" s="39">
        <f t="shared" si="7"/>
        <v>0.55274773426812596</v>
      </c>
      <c r="E28" s="39">
        <f t="shared" si="7"/>
        <v>0.61050331239783184</v>
      </c>
      <c r="F28" s="39">
        <f t="shared" si="7"/>
        <v>1.1394121870539262</v>
      </c>
      <c r="G28" s="39">
        <f t="shared" si="8"/>
        <v>0.38939456743758649</v>
      </c>
      <c r="H28" s="39">
        <f t="shared" si="9"/>
        <v>0.60024039550236119</v>
      </c>
      <c r="I28" s="39">
        <f t="shared" si="10"/>
        <v>3.5938903863432126E-2</v>
      </c>
    </row>
    <row r="29" spans="2:9" x14ac:dyDescent="0.3">
      <c r="B29" s="38" t="s">
        <v>87</v>
      </c>
      <c r="C29" s="39">
        <f>(C4+C8)/C4</f>
        <v>0.28641821183287597</v>
      </c>
      <c r="D29" s="39">
        <f t="shared" ref="D29:G29" si="11">(D4+D8)/D4</f>
        <v>0.24530275946926108</v>
      </c>
      <c r="E29" s="39">
        <f t="shared" si="11"/>
        <v>0.2520459736667986</v>
      </c>
      <c r="F29" s="39">
        <f t="shared" si="11"/>
        <v>0.2290765768101812</v>
      </c>
      <c r="G29" s="39">
        <f t="shared" si="11"/>
        <v>0.23445800625363794</v>
      </c>
      <c r="H29" s="39">
        <f t="shared" ref="H29:I29" si="12">(H4+H8)/H4</f>
        <v>0.21242975841698286</v>
      </c>
      <c r="I29" s="39">
        <f t="shared" si="12"/>
        <v>0.25616830665295931</v>
      </c>
    </row>
    <row r="30" spans="2:9" x14ac:dyDescent="0.3">
      <c r="B30" s="38" t="s">
        <v>88</v>
      </c>
      <c r="C30" s="39">
        <f t="shared" ref="C30:G31" si="13">(C5+C9)/C5</f>
        <v>4.8241444866920155E-2</v>
      </c>
      <c r="D30" s="39">
        <f t="shared" si="13"/>
        <v>0.15127443531118326</v>
      </c>
      <c r="E30" s="39">
        <f t="shared" si="13"/>
        <v>1.688038193104513E-2</v>
      </c>
      <c r="F30" s="39">
        <f t="shared" si="13"/>
        <v>0.21655053544585251</v>
      </c>
      <c r="G30" s="39">
        <f t="shared" si="13"/>
        <v>0.12239108461437562</v>
      </c>
      <c r="H30" s="39">
        <f t="shared" ref="H30:I30" si="14">(H5+H9)/H5</f>
        <v>0.12410189418680601</v>
      </c>
      <c r="I30" s="39">
        <f t="shared" si="14"/>
        <v>9.0270812437311942E-3</v>
      </c>
    </row>
    <row r="31" spans="2:9" x14ac:dyDescent="0.3">
      <c r="B31" s="38" t="s">
        <v>89</v>
      </c>
      <c r="C31" s="39">
        <f t="shared" si="13"/>
        <v>0.10796960499316005</v>
      </c>
      <c r="D31" s="39">
        <f t="shared" si="13"/>
        <v>1.2533769250623763E-2</v>
      </c>
      <c r="E31" s="39">
        <f t="shared" si="13"/>
        <v>-9.5945911293838088E-3</v>
      </c>
      <c r="F31" s="39">
        <f t="shared" si="13"/>
        <v>-0.22756733271073779</v>
      </c>
      <c r="G31" s="39">
        <f t="shared" si="13"/>
        <v>-0.35176030037935618</v>
      </c>
      <c r="H31" s="39">
        <f t="shared" ref="H31:I31" si="15">(H6+H10)/H6</f>
        <v>-0.24438454627133874</v>
      </c>
      <c r="I31" s="39">
        <f t="shared" si="15"/>
        <v>-0.15828274067649609</v>
      </c>
    </row>
    <row r="32" spans="2:9" x14ac:dyDescent="0.3">
      <c r="B32" s="38" t="s">
        <v>90</v>
      </c>
      <c r="C32" s="39">
        <f>(SUM(C4:C6)+SUM(C8:C10))/SUM(C4:C6)</f>
        <v>0.27566380978227567</v>
      </c>
      <c r="D32" s="39">
        <f>(SUM(D4:D6)+SUM(D8:D10))/SUM(D4:D6)</f>
        <v>0.22824945471172323</v>
      </c>
      <c r="E32" s="39">
        <f>(SUM(E4:E6)+SUM(E8:E10))/SUM(E4:E6)</f>
        <v>0.22846097759299397</v>
      </c>
      <c r="F32" s="39">
        <f>(SUM(F4:F6)+SUM(F8:F10))/SUM(F4:F6)</f>
        <v>0.18900706376042831</v>
      </c>
      <c r="G32" s="39">
        <f>(SUM(G4:G6)+SUM(G8:G10))/SUM(G4:G6)</f>
        <v>0.18834026954977684</v>
      </c>
      <c r="H32" s="39">
        <f t="shared" ref="H32:I32" si="16">(SUM(H4:H6)+SUM(H8:H10))/SUM(H4:H6)</f>
        <v>0.1655545609895028</v>
      </c>
      <c r="I32" s="39">
        <f t="shared" si="16"/>
        <v>0.2102359208523592</v>
      </c>
    </row>
    <row r="33" spans="2:9" x14ac:dyDescent="0.3">
      <c r="B33" s="38" t="s">
        <v>91</v>
      </c>
      <c r="C33" s="39">
        <f>C15/C7</f>
        <v>-5.8370300241749197E-2</v>
      </c>
      <c r="D33" s="39">
        <f t="shared" ref="D33:G33" si="17">D15/D7</f>
        <v>-0.17711927138364197</v>
      </c>
      <c r="E33" s="39">
        <f t="shared" si="17"/>
        <v>-9.533248801594027E-2</v>
      </c>
      <c r="F33" s="39">
        <f t="shared" si="17"/>
        <v>-0.13879756446921956</v>
      </c>
      <c r="G33" s="39">
        <f t="shared" si="17"/>
        <v>-1.8082482358451512E-2</v>
      </c>
      <c r="H33" s="39">
        <f t="shared" ref="H33:I33" si="18">H15/H7</f>
        <v>-2.8073887216209618E-3</v>
      </c>
      <c r="I33" s="39">
        <f t="shared" si="18"/>
        <v>6.3229325215626589E-2</v>
      </c>
    </row>
    <row r="34" spans="2:9" x14ac:dyDescent="0.3">
      <c r="B34" s="38" t="s">
        <v>92</v>
      </c>
      <c r="C34" s="39">
        <f>C23/C7</f>
        <v>-9.1934731468291842E-2</v>
      </c>
      <c r="D34" s="39">
        <f t="shared" ref="D34:G34" si="19">D23/D7</f>
        <v>-0.21963853411681836</v>
      </c>
      <c r="E34" s="39">
        <f t="shared" si="19"/>
        <v>-9.6414467612896446E-2</v>
      </c>
      <c r="F34" s="39">
        <f t="shared" si="19"/>
        <v>-0.16680343005817538</v>
      </c>
      <c r="G34" s="39">
        <f t="shared" si="19"/>
        <v>-4.5481515817238756E-2</v>
      </c>
      <c r="H34" s="39">
        <f t="shared" ref="H34:I34" si="20">H23/H7</f>
        <v>-3.5072015623728539E-2</v>
      </c>
      <c r="I34" s="39">
        <f t="shared" si="20"/>
        <v>2.2862760020294266E-2</v>
      </c>
    </row>
    <row r="35" spans="2:9" x14ac:dyDescent="0.3">
      <c r="B35" s="38" t="s">
        <v>93</v>
      </c>
      <c r="C35" s="39">
        <f>C23/'Balance Sheet Input'!C19</f>
        <v>-5.0429907933346216E-2</v>
      </c>
      <c r="D35" s="39">
        <f>D23/'Balance Sheet Input'!D19</f>
        <v>-0.11014746145205113</v>
      </c>
      <c r="E35" s="39">
        <f>E23/'Balance Sheet Input'!E19</f>
        <v>-2.9779021214012873E-2</v>
      </c>
      <c r="F35" s="39">
        <f>F23/'Balance Sheet Input'!F19</f>
        <v>-6.8447898704647764E-2</v>
      </c>
      <c r="G35" s="39">
        <f>G23/'Balance Sheet Input'!G19</f>
        <v>-3.2821239710777682E-2</v>
      </c>
      <c r="H35" s="39">
        <f>H23/'Balance Sheet Input'!H19</f>
        <v>-2.5124602873881487E-2</v>
      </c>
      <c r="I35" s="39">
        <f>I23/'Balance Sheet Input'!I19</f>
        <v>1.3826033596686355E-2</v>
      </c>
    </row>
    <row r="36" spans="2:9" x14ac:dyDescent="0.3">
      <c r="B36" s="38" t="s">
        <v>94</v>
      </c>
      <c r="C36" s="39">
        <f>C23/'Balance Sheet Input'!C33</f>
        <v>-0.32251483476105341</v>
      </c>
      <c r="D36" s="39">
        <f>D23/'Balance Sheet Input'!D33</f>
        <v>-0.82002373341798129</v>
      </c>
      <c r="E36" s="39">
        <f>E23/'Balance Sheet Input'!E33</f>
        <v>-0.1420001342335255</v>
      </c>
      <c r="F36" s="39">
        <f>F23/'Balance Sheet Input'!F33</f>
        <v>-0.46289544000555077</v>
      </c>
      <c r="G36" s="39">
        <f>G23/'Balance Sheet Input'!G33</f>
        <v>-0.19826179613722095</v>
      </c>
      <c r="H36" s="39">
        <f>H23/'Balance Sheet Input'!H33</f>
        <v>-0.13025083106678756</v>
      </c>
      <c r="I36" s="39">
        <f>I23/'Balance Sheet Input'!I33</f>
        <v>3.2440944881889762E-2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C9D3-072F-41A2-BBD0-95E948752BA4}">
  <dimension ref="B1:U27"/>
  <sheetViews>
    <sheetView workbookViewId="0">
      <selection activeCell="L35" sqref="L35"/>
    </sheetView>
  </sheetViews>
  <sheetFormatPr defaultColWidth="9.1328125" defaultRowHeight="11.65" outlineLevelRow="1" x14ac:dyDescent="0.35"/>
  <cols>
    <col min="1" max="1" width="2" style="223" customWidth="1"/>
    <col min="2" max="2" width="22.6640625" style="223" customWidth="1"/>
    <col min="3" max="10" width="9.796875" style="223" customWidth="1"/>
    <col min="11" max="16" width="9.1328125" style="223"/>
    <col min="17" max="17" width="9.796875" style="223" bestFit="1" customWidth="1"/>
    <col min="18" max="16384" width="9.1328125" style="223"/>
  </cols>
  <sheetData>
    <row r="1" spans="2:21" ht="15" x14ac:dyDescent="0.4">
      <c r="B1" s="222" t="s">
        <v>371</v>
      </c>
    </row>
    <row r="2" spans="2:21" ht="12" thickBot="1" x14ac:dyDescent="0.4"/>
    <row r="3" spans="2:21" ht="11.65" customHeight="1" thickTop="1" thickBot="1" x14ac:dyDescent="0.4">
      <c r="B3" s="224" t="s">
        <v>372</v>
      </c>
      <c r="C3" s="225">
        <f>[3]Drivers!C13</f>
        <v>0.02</v>
      </c>
      <c r="D3" s="223" t="s">
        <v>177</v>
      </c>
    </row>
    <row r="4" spans="2:21" s="238" customFormat="1" ht="16.5" customHeight="1" outlineLevel="1" thickTop="1" x14ac:dyDescent="0.35">
      <c r="J4" s="239">
        <v>1</v>
      </c>
      <c r="K4" s="239">
        <v>2</v>
      </c>
      <c r="L4" s="239">
        <v>3</v>
      </c>
      <c r="M4" s="239">
        <v>4</v>
      </c>
      <c r="N4" s="239">
        <v>5</v>
      </c>
      <c r="O4" s="239">
        <v>6</v>
      </c>
      <c r="P4" s="239">
        <v>7</v>
      </c>
      <c r="Q4" s="239">
        <v>8</v>
      </c>
      <c r="R4" s="239">
        <v>9</v>
      </c>
      <c r="S4" s="239">
        <v>10</v>
      </c>
      <c r="T4" s="239">
        <v>11</v>
      </c>
      <c r="U4" s="239">
        <v>12</v>
      </c>
    </row>
    <row r="5" spans="2:21" ht="23.25" x14ac:dyDescent="0.35">
      <c r="B5" s="14" t="s">
        <v>241</v>
      </c>
      <c r="C5" s="31" t="s">
        <v>61</v>
      </c>
      <c r="D5" s="31" t="s">
        <v>62</v>
      </c>
      <c r="E5" s="31" t="s">
        <v>63</v>
      </c>
      <c r="F5" s="31" t="s">
        <v>64</v>
      </c>
      <c r="G5" s="31" t="s">
        <v>109</v>
      </c>
      <c r="H5" s="31" t="s">
        <v>110</v>
      </c>
      <c r="I5" s="31" t="s">
        <v>111</v>
      </c>
      <c r="J5" s="32" t="s">
        <v>120</v>
      </c>
      <c r="K5" s="32" t="s">
        <v>121</v>
      </c>
      <c r="L5" s="32" t="s">
        <v>122</v>
      </c>
      <c r="M5" s="32" t="s">
        <v>123</v>
      </c>
      <c r="N5" s="32" t="s">
        <v>124</v>
      </c>
      <c r="O5" s="32" t="s">
        <v>125</v>
      </c>
      <c r="P5" s="32" t="s">
        <v>126</v>
      </c>
      <c r="Q5" s="32" t="s">
        <v>127</v>
      </c>
      <c r="R5" s="32" t="s">
        <v>140</v>
      </c>
      <c r="S5" s="32" t="s">
        <v>141</v>
      </c>
      <c r="T5" s="32" t="s">
        <v>142</v>
      </c>
      <c r="U5" s="32" t="s">
        <v>143</v>
      </c>
    </row>
    <row r="6" spans="2:21" x14ac:dyDescent="0.35">
      <c r="B6" s="223" t="s">
        <v>311</v>
      </c>
      <c r="C6" s="226"/>
      <c r="D6" s="226"/>
      <c r="E6" s="226"/>
      <c r="F6" s="226"/>
      <c r="G6" s="226"/>
      <c r="H6" s="226"/>
      <c r="I6" s="226"/>
      <c r="J6" s="227">
        <f>'Cash Flow'!J20</f>
        <v>-5308.7425748308124</v>
      </c>
      <c r="K6" s="227">
        <f>'Cash Flow'!K20</f>
        <v>-556.63736114482163</v>
      </c>
      <c r="L6" s="227">
        <f>'Cash Flow'!L20</f>
        <v>-2502.5202897959175</v>
      </c>
      <c r="M6" s="227">
        <f>'Cash Flow'!M20</f>
        <v>-340.17921936623952</v>
      </c>
      <c r="N6" s="227">
        <f>'Cash Flow'!N20</f>
        <v>1394.6768231944716</v>
      </c>
      <c r="O6" s="227">
        <f>'Cash Flow'!O20</f>
        <v>15535.102459787257</v>
      </c>
      <c r="P6" s="227">
        <f>'Cash Flow'!P20</f>
        <v>7809.1129201301947</v>
      </c>
      <c r="Q6" s="227">
        <f>'Cash Flow'!Q20</f>
        <v>8842.0384981282386</v>
      </c>
      <c r="R6" s="227">
        <f>'Cash Flow'!R20</f>
        <v>10035.866037338386</v>
      </c>
      <c r="S6" s="227">
        <f>'Cash Flow'!S20</f>
        <v>10874.923996135753</v>
      </c>
      <c r="T6" s="227">
        <f>'Cash Flow'!T20</f>
        <v>12330.183449365504</v>
      </c>
      <c r="U6" s="227">
        <f>'Cash Flow'!U20</f>
        <v>12638.23554471822</v>
      </c>
    </row>
    <row r="7" spans="2:21" x14ac:dyDescent="0.35">
      <c r="B7" s="223" t="s">
        <v>373</v>
      </c>
      <c r="C7" s="226"/>
      <c r="D7" s="226"/>
      <c r="E7" s="226"/>
      <c r="F7" s="226"/>
      <c r="G7" s="226"/>
      <c r="H7" s="226"/>
      <c r="I7" s="226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>
        <f>U6*(1+C3)/(U9-C3)</f>
        <v>122812.90815993291</v>
      </c>
    </row>
    <row r="8" spans="2:21" x14ac:dyDescent="0.35">
      <c r="C8" s="226"/>
      <c r="D8" s="226"/>
      <c r="E8" s="226"/>
      <c r="F8" s="226"/>
      <c r="G8" s="226"/>
      <c r="H8" s="226"/>
      <c r="I8" s="226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</row>
    <row r="9" spans="2:21" x14ac:dyDescent="0.35">
      <c r="B9" s="223" t="s">
        <v>374</v>
      </c>
      <c r="C9" s="226"/>
      <c r="D9" s="226"/>
      <c r="E9" s="226"/>
      <c r="F9" s="226"/>
      <c r="G9" s="226"/>
      <c r="H9" s="226"/>
      <c r="I9" s="226"/>
      <c r="J9" s="229">
        <f>WACC!J24</f>
        <v>0.1049879980003699</v>
      </c>
      <c r="K9" s="229">
        <f>WACC!K24</f>
        <v>0.10688968494037891</v>
      </c>
      <c r="L9" s="229">
        <f>WACC!L24</f>
        <v>0.10984849394518506</v>
      </c>
      <c r="M9" s="229">
        <f>WACC!M24</f>
        <v>0.11228495469817483</v>
      </c>
      <c r="N9" s="229">
        <f>WACC!N24</f>
        <v>0.11466969972777527</v>
      </c>
      <c r="O9" s="229">
        <f>WACC!O24</f>
        <v>0.11686509204516625</v>
      </c>
      <c r="P9" s="229">
        <f>WACC!P24</f>
        <v>0.11878120271790646</v>
      </c>
      <c r="Q9" s="229">
        <f>WACC!Q24</f>
        <v>0.120437541015849</v>
      </c>
      <c r="R9" s="229">
        <f>WACC!R24</f>
        <v>0.12185276595506388</v>
      </c>
      <c r="S9" s="229">
        <f>WACC!S24</f>
        <v>0.12306014181415814</v>
      </c>
      <c r="T9" s="229">
        <f>WACC!T24</f>
        <v>0.12408472994268638</v>
      </c>
      <c r="U9" s="229">
        <f>WACC!U24</f>
        <v>0.12496453873419641</v>
      </c>
    </row>
    <row r="10" spans="2:21" x14ac:dyDescent="0.35">
      <c r="B10" s="230" t="s">
        <v>375</v>
      </c>
      <c r="C10" s="231"/>
      <c r="D10" s="231"/>
      <c r="E10" s="231"/>
      <c r="F10" s="231"/>
      <c r="G10" s="231"/>
      <c r="H10" s="231"/>
      <c r="I10" s="231"/>
      <c r="J10" s="232">
        <f t="shared" ref="J10:Q10" si="0">J6/(1+J9)^J4</f>
        <v>-4804.3441054904879</v>
      </c>
      <c r="K10" s="232">
        <f t="shared" si="0"/>
        <v>-454.32190003838082</v>
      </c>
      <c r="L10" s="232">
        <f t="shared" si="0"/>
        <v>-1830.5707395849724</v>
      </c>
      <c r="M10" s="232">
        <f t="shared" si="0"/>
        <v>-222.25090038526406</v>
      </c>
      <c r="N10" s="232">
        <f t="shared" si="0"/>
        <v>810.48056467659148</v>
      </c>
      <c r="O10" s="232">
        <f t="shared" si="0"/>
        <v>8004.0504814382211</v>
      </c>
      <c r="P10" s="232">
        <f t="shared" si="0"/>
        <v>3559.4719614310952</v>
      </c>
      <c r="Q10" s="232">
        <f t="shared" si="0"/>
        <v>3560.0097523419258</v>
      </c>
      <c r="R10" s="232">
        <f t="shared" ref="R10:U10" si="1">R6/(1+R9)^R4</f>
        <v>3565.5956246368196</v>
      </c>
      <c r="S10" s="232">
        <f t="shared" si="1"/>
        <v>3407.1879359912487</v>
      </c>
      <c r="T10" s="232">
        <f t="shared" si="1"/>
        <v>3405.4931246499173</v>
      </c>
      <c r="U10" s="232">
        <f t="shared" si="1"/>
        <v>3076.2416783161434</v>
      </c>
    </row>
    <row r="11" spans="2:21" x14ac:dyDescent="0.35">
      <c r="B11" s="223" t="s">
        <v>376</v>
      </c>
      <c r="C11" s="226"/>
      <c r="D11" s="226"/>
      <c r="E11" s="226"/>
      <c r="F11" s="226"/>
      <c r="G11" s="226"/>
      <c r="H11" s="226"/>
      <c r="I11" s="226"/>
      <c r="J11" s="229"/>
      <c r="K11" s="229"/>
      <c r="L11" s="229"/>
      <c r="M11" s="229"/>
      <c r="N11" s="229"/>
      <c r="O11" s="229"/>
      <c r="P11" s="229"/>
      <c r="Q11" s="227"/>
      <c r="R11" s="227"/>
      <c r="S11" s="227"/>
      <c r="T11" s="227"/>
      <c r="U11" s="227">
        <f>U7/(1+U9)^U4</f>
        <v>29893.586440924479</v>
      </c>
    </row>
    <row r="13" spans="2:21" x14ac:dyDescent="0.35">
      <c r="B13" s="243" t="s">
        <v>377</v>
      </c>
      <c r="C13" s="243"/>
      <c r="D13" s="243"/>
      <c r="E13" s="243"/>
      <c r="F13" s="243"/>
      <c r="G13" s="243"/>
      <c r="H13" s="243"/>
      <c r="I13" s="243"/>
    </row>
    <row r="14" spans="2:21" x14ac:dyDescent="0.35">
      <c r="B14" s="223" t="s">
        <v>378</v>
      </c>
      <c r="E14" s="233"/>
      <c r="F14" s="233">
        <f>SUM(J10:U10)</f>
        <v>22077.043477982857</v>
      </c>
    </row>
    <row r="15" spans="2:21" x14ac:dyDescent="0.35">
      <c r="B15" s="223" t="s">
        <v>379</v>
      </c>
      <c r="E15" s="233"/>
      <c r="F15" s="233">
        <f>U7</f>
        <v>122812.90815993291</v>
      </c>
    </row>
    <row r="16" spans="2:21" x14ac:dyDescent="0.35">
      <c r="B16" s="223" t="s">
        <v>380</v>
      </c>
      <c r="E16" s="233"/>
      <c r="F16" s="233">
        <f>U11</f>
        <v>29893.586440924479</v>
      </c>
    </row>
    <row r="17" spans="2:6" x14ac:dyDescent="0.35">
      <c r="B17" s="234" t="s">
        <v>381</v>
      </c>
      <c r="C17" s="234"/>
      <c r="D17" s="234"/>
      <c r="E17" s="235"/>
      <c r="F17" s="235">
        <f>F14+F16</f>
        <v>51970.629918907332</v>
      </c>
    </row>
    <row r="18" spans="2:6" x14ac:dyDescent="0.35">
      <c r="B18" s="236" t="s">
        <v>382</v>
      </c>
      <c r="E18" s="233"/>
      <c r="F18" s="233">
        <f>'Balance Sheet'!I5</f>
        <v>19384</v>
      </c>
    </row>
    <row r="19" spans="2:6" x14ac:dyDescent="0.35">
      <c r="B19" s="236" t="s">
        <v>383</v>
      </c>
      <c r="E19" s="233"/>
      <c r="F19" s="233">
        <f>-'Balance Sheet'!I32</f>
        <v>-11688</v>
      </c>
    </row>
    <row r="20" spans="2:6" x14ac:dyDescent="0.35">
      <c r="B20" s="234" t="s">
        <v>384</v>
      </c>
      <c r="C20" s="234"/>
      <c r="D20" s="234"/>
      <c r="E20" s="235"/>
      <c r="F20" s="235">
        <f>SUM(F17:F19)</f>
        <v>59666.629918907332</v>
      </c>
    </row>
    <row r="21" spans="2:6" x14ac:dyDescent="0.35">
      <c r="B21" s="223" t="s">
        <v>386</v>
      </c>
      <c r="F21" s="233">
        <v>963</v>
      </c>
    </row>
    <row r="22" spans="2:6" x14ac:dyDescent="0.35">
      <c r="B22" s="237" t="s">
        <v>385</v>
      </c>
      <c r="C22" s="237"/>
      <c r="D22" s="237"/>
      <c r="E22" s="237"/>
      <c r="F22" s="237">
        <f>F20/F21</f>
        <v>61.959117257432325</v>
      </c>
    </row>
    <row r="24" spans="2:6" x14ac:dyDescent="0.35">
      <c r="B24" s="223" t="s">
        <v>387</v>
      </c>
      <c r="F24" s="223">
        <v>630.85</v>
      </c>
    </row>
    <row r="25" spans="2:6" x14ac:dyDescent="0.35">
      <c r="B25" s="223" t="s">
        <v>388</v>
      </c>
      <c r="F25" s="233">
        <f>(F24/F22)</f>
        <v>10.181713812656461</v>
      </c>
    </row>
    <row r="27" spans="2:6" x14ac:dyDescent="0.35">
      <c r="B27" s="240" t="s">
        <v>389</v>
      </c>
    </row>
  </sheetData>
  <mergeCells count="1">
    <mergeCell ref="B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A262-EAFA-4070-B993-94CB027A1E18}">
  <dimension ref="B1:K49"/>
  <sheetViews>
    <sheetView topLeftCell="A7" workbookViewId="0">
      <selection activeCell="C33" sqref="C33"/>
    </sheetView>
  </sheetViews>
  <sheetFormatPr defaultColWidth="9.1328125" defaultRowHeight="11.65" x14ac:dyDescent="0.35"/>
  <cols>
    <col min="1" max="1" width="2" style="4" customWidth="1"/>
    <col min="2" max="2" width="44.86328125" style="4" bestFit="1" customWidth="1"/>
    <col min="3" max="4" width="12.86328125" style="4" bestFit="1" customWidth="1"/>
    <col min="5" max="5" width="14" style="4" bestFit="1" customWidth="1"/>
    <col min="6" max="9" width="11.46484375" style="4" customWidth="1"/>
    <col min="10" max="10" width="13.53125" style="4" bestFit="1" customWidth="1"/>
    <col min="11" max="16384" width="9.1328125" style="4"/>
  </cols>
  <sheetData>
    <row r="1" spans="2:10" ht="15" x14ac:dyDescent="0.35">
      <c r="B1" s="2" t="s">
        <v>16</v>
      </c>
    </row>
    <row r="3" spans="2:10" ht="23.25" x14ac:dyDescent="0.35">
      <c r="B3" s="14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6" t="s">
        <v>95</v>
      </c>
      <c r="H3" s="16" t="s">
        <v>96</v>
      </c>
      <c r="I3" s="16" t="s">
        <v>97</v>
      </c>
    </row>
    <row r="4" spans="2:10" x14ac:dyDescent="0.35">
      <c r="B4" s="4" t="s">
        <v>22</v>
      </c>
      <c r="C4" s="17">
        <v>1905713</v>
      </c>
      <c r="D4" s="17">
        <v>1196908</v>
      </c>
      <c r="E4" s="17">
        <v>3393216</v>
      </c>
      <c r="F4" s="17">
        <v>3367914</v>
      </c>
      <c r="G4" s="17">
        <v>3685618</v>
      </c>
      <c r="H4" s="17">
        <v>6268000</v>
      </c>
      <c r="I4" s="17">
        <v>19384000</v>
      </c>
    </row>
    <row r="5" spans="2:10" x14ac:dyDescent="0.35">
      <c r="B5" s="4" t="s">
        <v>23</v>
      </c>
      <c r="C5" s="17">
        <v>17947</v>
      </c>
      <c r="D5" s="17">
        <v>22628</v>
      </c>
      <c r="E5" s="17">
        <v>105519</v>
      </c>
      <c r="F5" s="17">
        <v>155323</v>
      </c>
      <c r="G5" s="17">
        <v>192551</v>
      </c>
      <c r="H5" s="17">
        <v>246000</v>
      </c>
      <c r="I5" s="17">
        <v>0</v>
      </c>
    </row>
    <row r="6" spans="2:10" x14ac:dyDescent="0.35">
      <c r="B6" s="4" t="s">
        <v>24</v>
      </c>
      <c r="C6" s="17">
        <v>226604</v>
      </c>
      <c r="D6" s="17">
        <v>168965</v>
      </c>
      <c r="E6" s="17">
        <v>499142</v>
      </c>
      <c r="F6" s="17">
        <v>515381</v>
      </c>
      <c r="G6" s="17">
        <v>949022</v>
      </c>
      <c r="H6" s="17">
        <v>1324000</v>
      </c>
      <c r="I6" s="17">
        <v>1886000</v>
      </c>
    </row>
    <row r="7" spans="2:10" x14ac:dyDescent="0.35">
      <c r="B7" s="4" t="s">
        <v>25</v>
      </c>
      <c r="C7" s="17">
        <v>953675</v>
      </c>
      <c r="D7" s="17">
        <v>1277838</v>
      </c>
      <c r="E7" s="17">
        <v>2067454</v>
      </c>
      <c r="F7" s="17">
        <v>2263537</v>
      </c>
      <c r="G7" s="17">
        <v>3113446</v>
      </c>
      <c r="H7" s="17">
        <v>3552000</v>
      </c>
      <c r="I7" s="17">
        <v>4101000</v>
      </c>
    </row>
    <row r="8" spans="2:10" x14ac:dyDescent="0.35">
      <c r="B8" s="4" t="s">
        <v>26</v>
      </c>
      <c r="C8" s="17">
        <v>76134</v>
      </c>
      <c r="D8" s="17">
        <v>115667</v>
      </c>
      <c r="E8" s="17">
        <v>194465</v>
      </c>
      <c r="F8" s="17">
        <v>268365</v>
      </c>
      <c r="G8" s="17">
        <v>365671</v>
      </c>
      <c r="H8" s="17">
        <v>713000</v>
      </c>
      <c r="I8" s="17">
        <v>1346000</v>
      </c>
    </row>
    <row r="9" spans="2:10" x14ac:dyDescent="0.35">
      <c r="B9" s="18" t="s">
        <v>27</v>
      </c>
      <c r="C9" s="19">
        <f>SUM(C4:C8)</f>
        <v>3180073</v>
      </c>
      <c r="D9" s="19">
        <f>SUM(D4:D8)</f>
        <v>2782006</v>
      </c>
      <c r="E9" s="19">
        <f>SUM(E4:E8)</f>
        <v>6259796</v>
      </c>
      <c r="F9" s="19">
        <f>SUM(F4:F8)</f>
        <v>6570520</v>
      </c>
      <c r="G9" s="19">
        <f t="shared" ref="G9:I9" si="0">SUM(G4:G8)</f>
        <v>8306308</v>
      </c>
      <c r="H9" s="19">
        <f t="shared" si="0"/>
        <v>12103000</v>
      </c>
      <c r="I9" s="19">
        <f t="shared" si="0"/>
        <v>26717000</v>
      </c>
    </row>
    <row r="10" spans="2:10" x14ac:dyDescent="0.35">
      <c r="B10" s="4" t="s">
        <v>28</v>
      </c>
      <c r="C10" s="17">
        <v>766744</v>
      </c>
      <c r="D10" s="17">
        <v>1791403</v>
      </c>
      <c r="E10" s="17">
        <v>3134080</v>
      </c>
      <c r="F10" s="17">
        <v>4116604</v>
      </c>
      <c r="G10" s="17">
        <v>2089758</v>
      </c>
      <c r="H10" s="17">
        <v>2447000</v>
      </c>
      <c r="I10" s="17">
        <v>3091000</v>
      </c>
      <c r="J10" s="41"/>
    </row>
    <row r="11" spans="2:10" x14ac:dyDescent="0.35">
      <c r="B11" s="4" t="s">
        <v>29</v>
      </c>
      <c r="C11" s="17">
        <v>0</v>
      </c>
      <c r="D11" s="17">
        <v>0</v>
      </c>
      <c r="E11" s="17">
        <v>5919880</v>
      </c>
      <c r="F11" s="17">
        <v>6347490</v>
      </c>
      <c r="G11" s="17">
        <v>6271396</v>
      </c>
      <c r="H11" s="17">
        <v>6138000</v>
      </c>
      <c r="I11" s="17">
        <v>5979000</v>
      </c>
      <c r="J11" s="41"/>
    </row>
    <row r="12" spans="2:10" x14ac:dyDescent="0.35">
      <c r="B12" s="4" t="s">
        <v>30</v>
      </c>
      <c r="C12" s="17">
        <v>1829267</v>
      </c>
      <c r="D12" s="17">
        <v>3403334</v>
      </c>
      <c r="E12" s="17">
        <v>5982957</v>
      </c>
      <c r="F12" s="17">
        <v>10027522</v>
      </c>
      <c r="G12" s="17">
        <v>11330077</v>
      </c>
      <c r="H12" s="17">
        <v>10396000</v>
      </c>
      <c r="I12" s="17">
        <v>12747000</v>
      </c>
      <c r="J12" s="41"/>
    </row>
    <row r="13" spans="2:10" x14ac:dyDescent="0.35">
      <c r="B13" s="4" t="s">
        <v>112</v>
      </c>
      <c r="C13" s="17"/>
      <c r="D13" s="17"/>
      <c r="E13" s="17"/>
      <c r="F13" s="17"/>
      <c r="G13" s="17"/>
      <c r="H13" s="17">
        <v>1218000</v>
      </c>
      <c r="I13" s="17">
        <v>1558000</v>
      </c>
      <c r="J13" s="41"/>
    </row>
    <row r="14" spans="2:10" x14ac:dyDescent="0.35">
      <c r="B14" s="4" t="s">
        <v>31</v>
      </c>
      <c r="C14" s="17">
        <v>0</v>
      </c>
      <c r="D14" s="17">
        <v>12816</v>
      </c>
      <c r="E14" s="17">
        <v>376145</v>
      </c>
      <c r="F14" s="17">
        <v>361502</v>
      </c>
      <c r="G14" s="17">
        <v>282492</v>
      </c>
      <c r="H14" s="17">
        <v>339000</v>
      </c>
      <c r="I14" s="17">
        <v>313000</v>
      </c>
      <c r="J14" s="41"/>
    </row>
    <row r="15" spans="2:10" x14ac:dyDescent="0.35">
      <c r="B15" s="4" t="s">
        <v>103</v>
      </c>
      <c r="C15" s="17">
        <v>0</v>
      </c>
      <c r="D15" s="17">
        <v>0</v>
      </c>
      <c r="E15" s="17">
        <v>0</v>
      </c>
      <c r="F15" s="17">
        <v>0</v>
      </c>
      <c r="G15" s="17">
        <v>68159</v>
      </c>
      <c r="H15" s="17">
        <v>198000</v>
      </c>
      <c r="I15" s="17">
        <v>207000</v>
      </c>
      <c r="J15" s="41"/>
    </row>
    <row r="16" spans="2:10" ht="12.75" x14ac:dyDescent="0.35">
      <c r="B16" s="4" t="s">
        <v>102</v>
      </c>
      <c r="C16" s="17">
        <v>0</v>
      </c>
      <c r="D16" s="17">
        <v>0</v>
      </c>
      <c r="E16" s="17">
        <v>506302</v>
      </c>
      <c r="F16" s="17">
        <f>456652+60237</f>
        <v>516889</v>
      </c>
      <c r="G16" s="17">
        <v>421548</v>
      </c>
      <c r="H16" s="17">
        <v>393000</v>
      </c>
      <c r="I16" s="42">
        <v>0</v>
      </c>
      <c r="J16" s="41"/>
    </row>
    <row r="17" spans="2:10" x14ac:dyDescent="0.35">
      <c r="B17" s="4" t="s">
        <v>32</v>
      </c>
      <c r="C17" s="17">
        <v>11374</v>
      </c>
      <c r="D17" s="17">
        <v>31522</v>
      </c>
      <c r="E17" s="17">
        <v>268165</v>
      </c>
      <c r="F17" s="17">
        <v>441722</v>
      </c>
      <c r="G17" s="17">
        <v>398219</v>
      </c>
      <c r="H17" s="17">
        <v>269000</v>
      </c>
      <c r="I17" s="17">
        <v>0</v>
      </c>
      <c r="J17" s="41"/>
    </row>
    <row r="18" spans="2:10" x14ac:dyDescent="0.35">
      <c r="B18" s="4" t="s">
        <v>33</v>
      </c>
      <c r="C18" s="17">
        <v>43209</v>
      </c>
      <c r="D18" s="17">
        <v>46858</v>
      </c>
      <c r="E18" s="17">
        <v>216751</v>
      </c>
      <c r="F18" s="17">
        <v>273123</v>
      </c>
      <c r="G18" s="17">
        <v>571657</v>
      </c>
      <c r="H18" s="17">
        <v>808000</v>
      </c>
      <c r="I18" s="17">
        <v>1536000</v>
      </c>
      <c r="J18" s="41"/>
    </row>
    <row r="19" spans="2:10" ht="12" thickBot="1" x14ac:dyDescent="0.4">
      <c r="B19" s="20" t="s">
        <v>34</v>
      </c>
      <c r="C19" s="21">
        <f t="shared" ref="C19:E19" si="1">SUM(C9:C18)</f>
        <v>5830667</v>
      </c>
      <c r="D19" s="21">
        <f t="shared" si="1"/>
        <v>8067939</v>
      </c>
      <c r="E19" s="21">
        <f t="shared" si="1"/>
        <v>22664076</v>
      </c>
      <c r="F19" s="21">
        <f>SUM(F9:F18)</f>
        <v>28655372</v>
      </c>
      <c r="G19" s="21">
        <f t="shared" ref="G19:H19" si="2">SUM(G9:G18)</f>
        <v>29739614</v>
      </c>
      <c r="H19" s="21">
        <f t="shared" si="2"/>
        <v>34309000</v>
      </c>
      <c r="I19" s="21">
        <f>SUM(I9:I18)</f>
        <v>52148000</v>
      </c>
    </row>
    <row r="20" spans="2:10" x14ac:dyDescent="0.35">
      <c r="B20" s="4" t="s">
        <v>35</v>
      </c>
      <c r="C20" s="17">
        <v>777946</v>
      </c>
      <c r="D20" s="17">
        <v>916148</v>
      </c>
      <c r="E20" s="17">
        <v>1860341</v>
      </c>
      <c r="F20" s="17">
        <v>2390250</v>
      </c>
      <c r="G20" s="17">
        <v>3404451</v>
      </c>
      <c r="H20" s="17">
        <v>3771000</v>
      </c>
      <c r="I20" s="17">
        <v>6051000</v>
      </c>
    </row>
    <row r="21" spans="2:10" x14ac:dyDescent="0.35">
      <c r="B21" s="4" t="s">
        <v>36</v>
      </c>
      <c r="C21" s="17">
        <v>268883</v>
      </c>
      <c r="D21" s="17">
        <v>422798</v>
      </c>
      <c r="E21" s="17">
        <v>1210028</v>
      </c>
      <c r="F21" s="17">
        <v>1731366</v>
      </c>
      <c r="G21" s="17">
        <v>2094253</v>
      </c>
      <c r="H21" s="17">
        <v>2905000</v>
      </c>
      <c r="I21" s="17">
        <v>3855000</v>
      </c>
    </row>
    <row r="22" spans="2:10" x14ac:dyDescent="0.35">
      <c r="B22" s="4" t="s">
        <v>37</v>
      </c>
      <c r="C22" s="17">
        <v>191651</v>
      </c>
      <c r="D22" s="17">
        <v>423961</v>
      </c>
      <c r="E22" s="17">
        <v>763126</v>
      </c>
      <c r="F22" s="17">
        <v>1015253</v>
      </c>
      <c r="G22" s="17">
        <v>630292</v>
      </c>
      <c r="H22" s="17">
        <v>1163000</v>
      </c>
      <c r="I22" s="17">
        <v>1458000</v>
      </c>
    </row>
    <row r="23" spans="2:10" x14ac:dyDescent="0.35">
      <c r="B23" s="4" t="s">
        <v>38</v>
      </c>
      <c r="C23" s="17">
        <v>0</v>
      </c>
      <c r="D23" s="17">
        <v>136831</v>
      </c>
      <c r="E23" s="17">
        <v>179504</v>
      </c>
      <c r="F23" s="17">
        <v>787333</v>
      </c>
      <c r="G23" s="17">
        <v>502840</v>
      </c>
      <c r="H23" s="17">
        <v>317000</v>
      </c>
      <c r="I23" s="17">
        <v>0</v>
      </c>
    </row>
    <row r="24" spans="2:10" x14ac:dyDescent="0.35">
      <c r="B24" s="4" t="s">
        <v>39</v>
      </c>
      <c r="C24" s="17">
        <v>257587</v>
      </c>
      <c r="D24" s="17">
        <v>283370</v>
      </c>
      <c r="E24" s="17">
        <v>663859</v>
      </c>
      <c r="F24" s="17">
        <v>853919</v>
      </c>
      <c r="G24" s="17">
        <v>792601</v>
      </c>
      <c r="H24" s="17">
        <v>726000</v>
      </c>
      <c r="I24" s="17">
        <v>752000</v>
      </c>
    </row>
    <row r="25" spans="2:10" x14ac:dyDescent="0.35">
      <c r="B25" s="4" t="s">
        <v>40</v>
      </c>
      <c r="C25" s="17">
        <v>611099</v>
      </c>
      <c r="D25" s="17">
        <v>627927</v>
      </c>
      <c r="E25" s="17">
        <v>984211</v>
      </c>
      <c r="F25" s="17">
        <v>796549</v>
      </c>
      <c r="G25" s="17">
        <v>2567699</v>
      </c>
      <c r="H25" s="17">
        <v>1785000</v>
      </c>
      <c r="I25" s="17">
        <v>2132000</v>
      </c>
    </row>
    <row r="26" spans="2:10" x14ac:dyDescent="0.35">
      <c r="B26" s="4" t="s">
        <v>104</v>
      </c>
      <c r="C26" s="17">
        <v>0</v>
      </c>
      <c r="D26" s="17"/>
      <c r="E26" s="17">
        <v>165936</v>
      </c>
      <c r="F26" s="17">
        <v>100000</v>
      </c>
      <c r="G26" s="22">
        <v>0</v>
      </c>
      <c r="H26" s="22">
        <v>0</v>
      </c>
      <c r="I26" s="22">
        <v>0</v>
      </c>
    </row>
    <row r="27" spans="2:10" x14ac:dyDescent="0.35">
      <c r="B27" s="18" t="s">
        <v>41</v>
      </c>
      <c r="C27" s="19">
        <v>2107166</v>
      </c>
      <c r="D27" s="19">
        <v>2811035</v>
      </c>
      <c r="E27" s="19">
        <v>5827005</v>
      </c>
      <c r="F27" s="19">
        <f>SUM(F20:F26)</f>
        <v>7674670</v>
      </c>
      <c r="G27" s="19">
        <f t="shared" ref="G27:I27" si="3">SUM(G20:G26)</f>
        <v>9992136</v>
      </c>
      <c r="H27" s="19">
        <f t="shared" si="3"/>
        <v>10667000</v>
      </c>
      <c r="I27" s="19">
        <f t="shared" si="3"/>
        <v>14248000</v>
      </c>
    </row>
    <row r="28" spans="2:10" x14ac:dyDescent="0.35">
      <c r="B28" s="4" t="s">
        <v>105</v>
      </c>
      <c r="C28" s="17">
        <v>1818785</v>
      </c>
      <c r="D28" s="17">
        <v>2021093</v>
      </c>
      <c r="E28" s="17">
        <v>5860049</v>
      </c>
      <c r="F28" s="17">
        <v>9415700</v>
      </c>
      <c r="G28" s="17">
        <v>9403672</v>
      </c>
      <c r="H28" s="17">
        <v>11634000</v>
      </c>
      <c r="I28" s="17">
        <v>9556000</v>
      </c>
    </row>
    <row r="29" spans="2:10" x14ac:dyDescent="0.35">
      <c r="B29" s="4" t="s">
        <v>106</v>
      </c>
      <c r="C29" s="17"/>
      <c r="D29" s="17"/>
      <c r="E29" s="17"/>
      <c r="F29" s="17"/>
      <c r="G29" s="17">
        <v>990873</v>
      </c>
      <c r="H29" s="17">
        <v>1207000</v>
      </c>
      <c r="I29" s="17">
        <v>1284000</v>
      </c>
    </row>
    <row r="30" spans="2:10" x14ac:dyDescent="0.35">
      <c r="B30" s="4" t="s">
        <v>107</v>
      </c>
      <c r="C30" s="17"/>
      <c r="D30" s="17"/>
      <c r="E30" s="17"/>
      <c r="F30" s="17"/>
      <c r="G30" s="17">
        <v>328926</v>
      </c>
      <c r="H30" s="17">
        <v>36000</v>
      </c>
      <c r="I30" s="17"/>
    </row>
    <row r="31" spans="2:10" x14ac:dyDescent="0.35">
      <c r="B31" s="4" t="s">
        <v>43</v>
      </c>
      <c r="C31" s="22">
        <v>993006</v>
      </c>
      <c r="D31" s="22">
        <v>2152107</v>
      </c>
      <c r="E31" s="22">
        <v>5438936</v>
      </c>
      <c r="F31" s="22">
        <v>6330414</v>
      </c>
      <c r="G31" s="22">
        <v>2710403</v>
      </c>
      <c r="H31" s="22">
        <v>2655000</v>
      </c>
      <c r="I31" s="22">
        <v>3330000</v>
      </c>
    </row>
    <row r="32" spans="2:10" x14ac:dyDescent="0.35">
      <c r="B32" s="24" t="s">
        <v>44</v>
      </c>
      <c r="C32" s="25">
        <f>SUM(C27:C31)</f>
        <v>4918957</v>
      </c>
      <c r="D32" s="25">
        <f>SUM(D27:D31)</f>
        <v>6984235</v>
      </c>
      <c r="E32" s="25">
        <f>SUM(E27:E31)</f>
        <v>17125990</v>
      </c>
      <c r="F32" s="25">
        <f>SUM(F27:F31)</f>
        <v>23420784</v>
      </c>
      <c r="G32" s="25">
        <f t="shared" ref="G32:I32" si="4">SUM(G27:G31)</f>
        <v>23426010</v>
      </c>
      <c r="H32" s="25">
        <f t="shared" si="4"/>
        <v>26199000</v>
      </c>
      <c r="I32" s="25">
        <f t="shared" si="4"/>
        <v>28418000</v>
      </c>
    </row>
    <row r="33" spans="2:11" x14ac:dyDescent="0.35">
      <c r="B33" s="24" t="s">
        <v>45</v>
      </c>
      <c r="C33" s="25">
        <v>911710</v>
      </c>
      <c r="D33" s="25">
        <v>1083704</v>
      </c>
      <c r="E33" s="25">
        <v>4752911</v>
      </c>
      <c r="F33" s="25">
        <v>4237242</v>
      </c>
      <c r="G33" s="25">
        <v>4923243</v>
      </c>
      <c r="H33" s="25">
        <v>6618000</v>
      </c>
      <c r="I33" s="25">
        <v>22225000</v>
      </c>
    </row>
    <row r="34" spans="2:11" x14ac:dyDescent="0.35">
      <c r="B34" s="4" t="s">
        <v>108</v>
      </c>
      <c r="C34" s="25"/>
      <c r="D34" s="25"/>
      <c r="E34" s="25"/>
      <c r="F34" s="25"/>
      <c r="G34" s="43">
        <v>555964</v>
      </c>
      <c r="H34" s="43">
        <v>643000</v>
      </c>
      <c r="I34" s="43">
        <v>604000</v>
      </c>
    </row>
    <row r="35" spans="2:11" x14ac:dyDescent="0.35">
      <c r="B35" s="4" t="s">
        <v>113</v>
      </c>
      <c r="C35" s="25"/>
      <c r="D35" s="25"/>
      <c r="E35" s="25"/>
      <c r="F35" s="25"/>
      <c r="G35" s="43"/>
      <c r="H35" s="43"/>
      <c r="I35" s="43">
        <v>51000</v>
      </c>
    </row>
    <row r="36" spans="2:11" x14ac:dyDescent="0.35">
      <c r="B36" s="4" t="s">
        <v>46</v>
      </c>
      <c r="C36" s="17">
        <v>0</v>
      </c>
      <c r="D36" s="17">
        <v>0</v>
      </c>
      <c r="E36" s="17">
        <v>785175</v>
      </c>
      <c r="F36" s="17">
        <v>997346</v>
      </c>
      <c r="G36" s="17">
        <v>834397</v>
      </c>
      <c r="H36" s="17">
        <v>849000</v>
      </c>
      <c r="I36" s="17">
        <v>850000</v>
      </c>
    </row>
    <row r="37" spans="2:11" ht="12" thickBot="1" x14ac:dyDescent="0.4">
      <c r="B37" s="20" t="s">
        <v>47</v>
      </c>
      <c r="C37" s="21">
        <f>SUM(C32:C36)</f>
        <v>5830667</v>
      </c>
      <c r="D37" s="21">
        <f t="shared" ref="D37:G37" si="5">SUM(D32:D36)</f>
        <v>8067939</v>
      </c>
      <c r="E37" s="21">
        <f t="shared" si="5"/>
        <v>22664076</v>
      </c>
      <c r="F37" s="21">
        <f t="shared" si="5"/>
        <v>28655372</v>
      </c>
      <c r="G37" s="21">
        <f t="shared" si="5"/>
        <v>29739614</v>
      </c>
      <c r="H37" s="21">
        <f>SUM(H32:H36)</f>
        <v>34309000</v>
      </c>
      <c r="I37" s="21">
        <f t="shared" ref="I37" si="6">SUM(I32:I36)</f>
        <v>52148000</v>
      </c>
    </row>
    <row r="38" spans="2:11" x14ac:dyDescent="0.35">
      <c r="F38" s="26"/>
      <c r="K38" s="41"/>
    </row>
    <row r="39" spans="2:11" x14ac:dyDescent="0.3">
      <c r="B39" s="27" t="s">
        <v>48</v>
      </c>
      <c r="C39" s="28"/>
      <c r="D39" s="28"/>
      <c r="E39" s="28"/>
      <c r="F39" s="28"/>
      <c r="G39" s="28"/>
      <c r="H39" s="28"/>
      <c r="I39" s="28"/>
    </row>
    <row r="40" spans="2:11" x14ac:dyDescent="0.3">
      <c r="B40" s="27" t="s">
        <v>49</v>
      </c>
      <c r="C40" s="28"/>
      <c r="D40" s="28"/>
      <c r="E40" s="28"/>
      <c r="F40" s="28"/>
      <c r="G40" s="28"/>
      <c r="H40" s="28"/>
      <c r="I40" s="28"/>
    </row>
    <row r="41" spans="2:11" x14ac:dyDescent="0.3">
      <c r="B41" s="29" t="s">
        <v>50</v>
      </c>
      <c r="C41" s="28">
        <f t="shared" ref="C41:I41" si="7">(C4+C5)/C27</f>
        <v>0.91291336325662054</v>
      </c>
      <c r="D41" s="28">
        <f t="shared" si="7"/>
        <v>0.43383878180100921</v>
      </c>
      <c r="E41" s="28">
        <f t="shared" si="7"/>
        <v>0.60043452854425217</v>
      </c>
      <c r="F41" s="28">
        <f t="shared" si="7"/>
        <v>0.45907341944344188</v>
      </c>
      <c r="G41" s="28">
        <f t="shared" si="7"/>
        <v>0.38812211923456608</v>
      </c>
      <c r="H41" s="28">
        <f t="shared" si="7"/>
        <v>0.6106684166119809</v>
      </c>
      <c r="I41" s="28">
        <f t="shared" si="7"/>
        <v>1.360471645143178</v>
      </c>
    </row>
    <row r="42" spans="2:11" x14ac:dyDescent="0.3">
      <c r="B42" s="29" t="s">
        <v>51</v>
      </c>
      <c r="C42" s="28">
        <f t="shared" ref="C42:I42" si="8">C9/C27</f>
        <v>1.5091706111431182</v>
      </c>
      <c r="D42" s="28">
        <f t="shared" si="8"/>
        <v>0.98967319866170289</v>
      </c>
      <c r="E42" s="28">
        <f t="shared" si="8"/>
        <v>1.0742733187975642</v>
      </c>
      <c r="F42" s="28">
        <f t="shared" si="8"/>
        <v>0.8561306219029613</v>
      </c>
      <c r="G42" s="28">
        <f t="shared" si="8"/>
        <v>0.83128452214821735</v>
      </c>
      <c r="H42" s="28">
        <f t="shared" si="8"/>
        <v>1.1346207931002157</v>
      </c>
      <c r="I42" s="28">
        <f t="shared" si="8"/>
        <v>1.8751403705783267</v>
      </c>
    </row>
    <row r="43" spans="2:11" x14ac:dyDescent="0.3">
      <c r="B43" s="29" t="s">
        <v>52</v>
      </c>
      <c r="C43" s="28">
        <f>C6/'P&amp;L Input'!C7*360</f>
        <v>25.506053735106413</v>
      </c>
      <c r="D43" s="28">
        <f>D6/'P&amp;L Input'!D7*360</f>
        <v>15.033866572747325</v>
      </c>
      <c r="E43" s="28">
        <f>E6/'P&amp;L Input'!E7*360</f>
        <v>25.66967594325364</v>
      </c>
      <c r="F43" s="28">
        <f>F6/'P&amp;L Input'!F7*360</f>
        <v>15.77864519794662</v>
      </c>
      <c r="G43" s="28">
        <f>G6/'P&amp;L Input'!G7*360</f>
        <v>15.919279326831946</v>
      </c>
      <c r="H43" s="28">
        <f>H6/'P&amp;L Input'!H7*360</f>
        <v>19.392953047440802</v>
      </c>
      <c r="I43" s="28">
        <f>I6/'P&amp;L Input'!I7*360</f>
        <v>21.529680365296802</v>
      </c>
    </row>
    <row r="44" spans="2:11" x14ac:dyDescent="0.3">
      <c r="B44" s="29" t="s">
        <v>53</v>
      </c>
      <c r="C44" s="28">
        <f>-C7/SUM('P&amp;L Input'!C8:C10)*360</f>
        <v>148.19580564470351</v>
      </c>
      <c r="D44" s="28">
        <f>-D7/SUM('P&amp;L Input'!D8:D10)*360</f>
        <v>147.32375944829212</v>
      </c>
      <c r="E44" s="28">
        <f>-E7/SUM('P&amp;L Input'!E8:E10)*360</f>
        <v>137.80793667692734</v>
      </c>
      <c r="F44" s="28">
        <f>-F7/SUM('P&amp;L Input'!F8:F10)*360</f>
        <v>85.449953986173199</v>
      </c>
      <c r="G44" s="28">
        <f>-G7/SUM('P&amp;L Input'!G8:G10)*360</f>
        <v>64.344949009563962</v>
      </c>
      <c r="H44" s="28">
        <f>-H7/SUM('P&amp;L Input'!H8:H10)*360</f>
        <v>62.34921254083573</v>
      </c>
      <c r="I44" s="28">
        <f>-I7/SUM('P&amp;L Input'!I8:I10)*360</f>
        <v>59.277282582510239</v>
      </c>
    </row>
    <row r="45" spans="2:11" x14ac:dyDescent="0.3">
      <c r="B45" s="29" t="s">
        <v>54</v>
      </c>
      <c r="C45" s="28">
        <f>-C20/SUM('P&amp;L Input'!C8:C10)*360</f>
        <v>120.88849368817945</v>
      </c>
      <c r="D45" s="28">
        <f>-D20/SUM('P&amp;L Input'!D8:D10)*360</f>
        <v>105.62400521117225</v>
      </c>
      <c r="E45" s="28">
        <f>-E20/SUM('P&amp;L Input'!E8:E10)*360</f>
        <v>124.00264031291226</v>
      </c>
      <c r="F45" s="28">
        <f>-F20/SUM('P&amp;L Input'!F8:F10)*360</f>
        <v>90.233449912879919</v>
      </c>
      <c r="G45" s="28">
        <f>-G20/SUM('P&amp;L Input'!G8:G10)*360</f>
        <v>70.359089574882319</v>
      </c>
      <c r="H45" s="28">
        <f>-H20/SUM('P&amp;L Input'!H8:H10)*360</f>
        <v>66.193378516748751</v>
      </c>
      <c r="I45" s="28">
        <f>-I20/SUM('P&amp;L Input'!I8:I10)*360</f>
        <v>87.463261864610942</v>
      </c>
    </row>
    <row r="46" spans="2:11" x14ac:dyDescent="0.3">
      <c r="B46" s="29" t="s">
        <v>55</v>
      </c>
      <c r="C46" s="28">
        <f>C43+C44-C45</f>
        <v>52.813365691630466</v>
      </c>
      <c r="D46" s="28">
        <f t="shared" ref="D46:I46" si="9">D43+D44-D45</f>
        <v>56.73362080986719</v>
      </c>
      <c r="E46" s="28">
        <f t="shared" si="9"/>
        <v>39.474972307268729</v>
      </c>
      <c r="F46" s="28">
        <f t="shared" si="9"/>
        <v>10.995149271239896</v>
      </c>
      <c r="G46" s="28">
        <f t="shared" si="9"/>
        <v>9.9051387615135837</v>
      </c>
      <c r="H46" s="28">
        <f t="shared" si="9"/>
        <v>15.548787071527784</v>
      </c>
      <c r="I46" s="28">
        <f t="shared" si="9"/>
        <v>-6.6562989168039053</v>
      </c>
    </row>
    <row r="47" spans="2:11" x14ac:dyDescent="0.3">
      <c r="B47" s="27" t="s">
        <v>56</v>
      </c>
      <c r="C47" s="28"/>
      <c r="D47" s="28"/>
      <c r="E47" s="28"/>
      <c r="F47" s="28"/>
      <c r="G47" s="28"/>
      <c r="H47" s="28"/>
      <c r="I47" s="28"/>
    </row>
    <row r="48" spans="2:11" x14ac:dyDescent="0.3">
      <c r="B48" s="29" t="s">
        <v>57</v>
      </c>
      <c r="C48" s="28">
        <f t="shared" ref="C48:I48" si="10">C19/C32</f>
        <v>1.1853462024571468</v>
      </c>
      <c r="D48" s="28">
        <f t="shared" si="10"/>
        <v>1.1551643093338069</v>
      </c>
      <c r="E48" s="28">
        <f t="shared" si="10"/>
        <v>1.3233731889368148</v>
      </c>
      <c r="F48" s="28">
        <f t="shared" si="10"/>
        <v>1.2235018264119595</v>
      </c>
      <c r="G48" s="28">
        <f t="shared" si="10"/>
        <v>1.269512563172303</v>
      </c>
      <c r="H48" s="28">
        <f t="shared" si="10"/>
        <v>1.3095537997633497</v>
      </c>
      <c r="I48" s="28">
        <f t="shared" si="10"/>
        <v>1.8350341332957985</v>
      </c>
    </row>
    <row r="49" spans="2:9" x14ac:dyDescent="0.3">
      <c r="B49" s="29" t="s">
        <v>58</v>
      </c>
      <c r="C49" s="30" t="s">
        <v>59</v>
      </c>
      <c r="D49" s="30" t="s">
        <v>59</v>
      </c>
      <c r="E49" s="30" t="s">
        <v>59</v>
      </c>
      <c r="F49" s="30" t="s">
        <v>59</v>
      </c>
      <c r="G49" s="30" t="s">
        <v>59</v>
      </c>
      <c r="H49" s="30" t="s">
        <v>59</v>
      </c>
      <c r="I49" s="30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8561-69AD-4950-9C27-19B479F1F61A}">
  <sheetPr>
    <tabColor rgb="FF002060"/>
  </sheetPr>
  <dimension ref="A14"/>
  <sheetViews>
    <sheetView workbookViewId="0">
      <selection activeCell="A15" sqref="A15"/>
    </sheetView>
  </sheetViews>
  <sheetFormatPr defaultRowHeight="12.75" x14ac:dyDescent="0.35"/>
  <cols>
    <col min="1" max="16384" width="9.06640625" style="1"/>
  </cols>
  <sheetData>
    <row r="14" spans="1:1" ht="50.25" x14ac:dyDescent="0.35">
      <c r="A14" s="40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7D54-BAED-44DC-9976-D798F4BC202B}">
  <sheetPr>
    <tabColor rgb="FFFF0000"/>
  </sheetPr>
  <dimension ref="A14"/>
  <sheetViews>
    <sheetView workbookViewId="0">
      <selection activeCell="E9" sqref="E9:E10"/>
    </sheetView>
  </sheetViews>
  <sheetFormatPr defaultRowHeight="12.75" x14ac:dyDescent="0.35"/>
  <cols>
    <col min="1" max="16384" width="9.06640625" style="1"/>
  </cols>
  <sheetData>
    <row r="14" spans="1:1" ht="50.25" x14ac:dyDescent="0.35">
      <c r="A14" s="40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349E-7FC3-4E82-A460-BE0B959F9DD9}">
  <sheetPr>
    <tabColor rgb="FFFFC000"/>
  </sheetPr>
  <dimension ref="A14"/>
  <sheetViews>
    <sheetView workbookViewId="0">
      <selection activeCell="A15" sqref="A15"/>
    </sheetView>
  </sheetViews>
  <sheetFormatPr defaultRowHeight="12.75" x14ac:dyDescent="0.35"/>
  <cols>
    <col min="1" max="16384" width="9.06640625" style="1"/>
  </cols>
  <sheetData>
    <row r="14" spans="1:1" ht="50.25" x14ac:dyDescent="0.35">
      <c r="A14" s="40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35D0-C46A-488C-ABCA-FE717B1995C1}">
  <dimension ref="A1:V40"/>
  <sheetViews>
    <sheetView workbookViewId="0">
      <selection activeCell="J28" sqref="J28"/>
    </sheetView>
  </sheetViews>
  <sheetFormatPr defaultColWidth="9.1328125" defaultRowHeight="11.65" x14ac:dyDescent="0.35"/>
  <cols>
    <col min="1" max="1" width="2" style="4" customWidth="1"/>
    <col min="2" max="2" width="15.1328125" style="4" customWidth="1"/>
    <col min="3" max="4" width="11.33203125" style="4" bestFit="1" customWidth="1"/>
    <col min="5" max="5" width="10.19921875" style="4" customWidth="1"/>
    <col min="6" max="6" width="11.46484375" style="4" bestFit="1" customWidth="1"/>
    <col min="7" max="8" width="10.33203125" style="4" bestFit="1" customWidth="1"/>
    <col min="9" max="12" width="10.46484375" style="4" bestFit="1" customWidth="1"/>
    <col min="13" max="13" width="11" style="4" bestFit="1" customWidth="1"/>
    <col min="14" max="16384" width="9.1328125" style="4"/>
  </cols>
  <sheetData>
    <row r="1" spans="1:22" ht="15" x14ac:dyDescent="0.35">
      <c r="A1" s="1"/>
      <c r="B1" s="2" t="s">
        <v>115</v>
      </c>
    </row>
    <row r="2" spans="1:22" ht="15" x14ac:dyDescent="0.35">
      <c r="A2" s="1"/>
      <c r="B2" s="2"/>
    </row>
    <row r="3" spans="1:22" x14ac:dyDescent="0.35">
      <c r="C3" s="242" t="s">
        <v>116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2" ht="23.25" x14ac:dyDescent="0.35">
      <c r="B4" s="44" t="s">
        <v>117</v>
      </c>
      <c r="C4" s="31" t="s">
        <v>61</v>
      </c>
      <c r="D4" s="31" t="s">
        <v>62</v>
      </c>
      <c r="E4" s="31" t="s">
        <v>63</v>
      </c>
      <c r="F4" s="31" t="s">
        <v>64</v>
      </c>
      <c r="G4" s="31" t="s">
        <v>109</v>
      </c>
      <c r="H4" s="31" t="s">
        <v>118</v>
      </c>
      <c r="I4" s="31" t="s">
        <v>119</v>
      </c>
      <c r="J4" s="32" t="s">
        <v>120</v>
      </c>
      <c r="K4" s="32" t="s">
        <v>121</v>
      </c>
      <c r="L4" s="32" t="s">
        <v>122</v>
      </c>
      <c r="M4" s="32" t="s">
        <v>123</v>
      </c>
      <c r="N4" s="32" t="s">
        <v>124</v>
      </c>
      <c r="O4" s="32" t="s">
        <v>125</v>
      </c>
      <c r="P4" s="32" t="s">
        <v>126</v>
      </c>
      <c r="Q4" s="32" t="s">
        <v>127</v>
      </c>
      <c r="R4" s="32" t="s">
        <v>127</v>
      </c>
      <c r="S4" s="32" t="s">
        <v>140</v>
      </c>
      <c r="T4" s="32" t="s">
        <v>141</v>
      </c>
      <c r="U4" s="32" t="s">
        <v>142</v>
      </c>
      <c r="V4" s="32" t="s">
        <v>143</v>
      </c>
    </row>
    <row r="5" spans="1:22" x14ac:dyDescent="0.35">
      <c r="B5" s="4" t="s">
        <v>128</v>
      </c>
      <c r="C5" s="22">
        <v>0</v>
      </c>
      <c r="D5" s="22">
        <v>0</v>
      </c>
      <c r="E5" s="22">
        <v>0</v>
      </c>
      <c r="F5" s="22">
        <v>1764</v>
      </c>
      <c r="G5" s="22">
        <v>146055</v>
      </c>
      <c r="H5" s="22">
        <v>300815</v>
      </c>
      <c r="I5" s="22">
        <v>420385</v>
      </c>
      <c r="J5" s="23">
        <f t="shared" ref="J5:V5" si="0">I5*(1+J15)</f>
        <v>588539</v>
      </c>
      <c r="K5" s="23">
        <f t="shared" si="0"/>
        <v>676819.85</v>
      </c>
      <c r="L5" s="23">
        <f t="shared" si="0"/>
        <v>778342.8274999999</v>
      </c>
      <c r="M5" s="23">
        <f t="shared" si="0"/>
        <v>840610.2537</v>
      </c>
      <c r="N5" s="23">
        <f t="shared" si="0"/>
        <v>907859.07399600011</v>
      </c>
      <c r="O5" s="23">
        <f t="shared" si="0"/>
        <v>935094.84621588013</v>
      </c>
      <c r="P5" s="23">
        <f t="shared" si="0"/>
        <v>963147.6916023565</v>
      </c>
      <c r="Q5" s="23">
        <f t="shared" si="0"/>
        <v>992042.12235042721</v>
      </c>
      <c r="R5" s="23">
        <f t="shared" si="0"/>
        <v>1021803.38602094</v>
      </c>
      <c r="S5" s="23">
        <f t="shared" si="0"/>
        <v>1052457.4876015682</v>
      </c>
      <c r="T5" s="23">
        <f t="shared" si="0"/>
        <v>1084031.2122296153</v>
      </c>
      <c r="U5" s="23">
        <f t="shared" si="0"/>
        <v>1116552.1485965038</v>
      </c>
      <c r="V5" s="23">
        <f t="shared" si="0"/>
        <v>1150048.713054399</v>
      </c>
    </row>
    <row r="6" spans="1:22" x14ac:dyDescent="0.35">
      <c r="B6" s="4" t="s">
        <v>129</v>
      </c>
      <c r="C6" s="22">
        <v>33600</v>
      </c>
      <c r="D6" s="22">
        <v>50580</v>
      </c>
      <c r="E6" s="22">
        <v>76230</v>
      </c>
      <c r="F6" s="22">
        <v>101312</v>
      </c>
      <c r="G6" s="22">
        <v>98865</v>
      </c>
      <c r="H6" s="22">
        <v>66385</v>
      </c>
      <c r="I6" s="22">
        <v>57039</v>
      </c>
      <c r="J6" s="23">
        <f t="shared" ref="J6:V6" si="1">I6*(1+J16)</f>
        <v>58750.17</v>
      </c>
      <c r="K6" s="23">
        <f t="shared" si="1"/>
        <v>60512.6751</v>
      </c>
      <c r="L6" s="23">
        <f t="shared" si="1"/>
        <v>62328.055353000003</v>
      </c>
      <c r="M6" s="23">
        <f t="shared" si="1"/>
        <v>64197.897013590002</v>
      </c>
      <c r="N6" s="23">
        <f t="shared" si="1"/>
        <v>66123.833923997707</v>
      </c>
      <c r="O6" s="23">
        <f t="shared" si="1"/>
        <v>68107.548941717643</v>
      </c>
      <c r="P6" s="23">
        <f t="shared" si="1"/>
        <v>70150.775409969181</v>
      </c>
      <c r="Q6" s="23">
        <f t="shared" si="1"/>
        <v>72255.298672268254</v>
      </c>
      <c r="R6" s="23">
        <f t="shared" si="1"/>
        <v>74422.957632436301</v>
      </c>
      <c r="S6" s="23">
        <f t="shared" si="1"/>
        <v>76655.646361409395</v>
      </c>
      <c r="T6" s="23">
        <f t="shared" si="1"/>
        <v>78955.315752251685</v>
      </c>
      <c r="U6" s="23">
        <f t="shared" si="1"/>
        <v>81323.975224819238</v>
      </c>
      <c r="V6" s="23">
        <f t="shared" si="1"/>
        <v>83763.694481563813</v>
      </c>
    </row>
    <row r="7" spans="1:22" x14ac:dyDescent="0.35">
      <c r="B7" s="4" t="s">
        <v>130</v>
      </c>
      <c r="C7" s="22"/>
      <c r="D7" s="22"/>
      <c r="E7" s="22"/>
      <c r="F7" s="22"/>
      <c r="G7" s="22"/>
      <c r="H7" s="22"/>
      <c r="I7" s="22">
        <v>4425</v>
      </c>
      <c r="J7" s="23">
        <f t="shared" ref="J7:V7" si="2">I7*(1+J17)</f>
        <v>26550</v>
      </c>
      <c r="K7" s="23">
        <f t="shared" si="2"/>
        <v>54682.402177261996</v>
      </c>
      <c r="L7" s="23">
        <f t="shared" si="2"/>
        <v>76417.936736161035</v>
      </c>
      <c r="M7" s="23">
        <f t="shared" si="2"/>
        <v>106985.11143062545</v>
      </c>
      <c r="N7" s="23">
        <f t="shared" si="2"/>
        <v>123032.87814521925</v>
      </c>
      <c r="O7" s="23">
        <f t="shared" si="2"/>
        <v>132875.50839683678</v>
      </c>
      <c r="P7" s="23">
        <f t="shared" si="2"/>
        <v>143505.54906858373</v>
      </c>
      <c r="Q7" s="23">
        <f t="shared" si="2"/>
        <v>147810.71554064125</v>
      </c>
      <c r="R7" s="23">
        <f t="shared" si="2"/>
        <v>152245.03700686048</v>
      </c>
      <c r="S7" s="23">
        <f t="shared" si="2"/>
        <v>156812.38811706629</v>
      </c>
      <c r="T7" s="23">
        <f t="shared" si="2"/>
        <v>161516.75976057828</v>
      </c>
      <c r="U7" s="23">
        <f t="shared" si="2"/>
        <v>166362.26255339565</v>
      </c>
      <c r="V7" s="23">
        <f t="shared" si="2"/>
        <v>171353.13042999752</v>
      </c>
    </row>
    <row r="8" spans="1:22" x14ac:dyDescent="0.35">
      <c r="B8" s="4" t="s">
        <v>131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3"/>
      <c r="K8" s="23">
        <v>5000</v>
      </c>
      <c r="L8" s="23">
        <f t="shared" ref="L8:V8" si="3">K8*(1+L18)</f>
        <v>10000</v>
      </c>
      <c r="M8" s="23">
        <f t="shared" si="3"/>
        <v>15000</v>
      </c>
      <c r="N8" s="23">
        <f t="shared" si="3"/>
        <v>22500</v>
      </c>
      <c r="O8" s="23">
        <f t="shared" si="3"/>
        <v>25874.999999999996</v>
      </c>
      <c r="P8" s="23">
        <f t="shared" si="3"/>
        <v>29756.249999999993</v>
      </c>
      <c r="Q8" s="23">
        <f t="shared" si="3"/>
        <v>32136.749999999993</v>
      </c>
      <c r="R8" s="23">
        <f t="shared" si="3"/>
        <v>34707.689999999995</v>
      </c>
      <c r="S8" s="23">
        <f t="shared" si="3"/>
        <v>35748.920699999995</v>
      </c>
      <c r="T8" s="23">
        <f t="shared" si="3"/>
        <v>36821.388320999999</v>
      </c>
      <c r="U8" s="23">
        <f t="shared" si="3"/>
        <v>37926.029970629999</v>
      </c>
      <c r="V8" s="23">
        <f t="shared" si="3"/>
        <v>39063.810869748901</v>
      </c>
    </row>
    <row r="9" spans="1:22" ht="12.4" customHeight="1" x14ac:dyDescent="0.35">
      <c r="B9" s="4" t="s">
        <v>144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3"/>
      <c r="K9" s="23">
        <v>15000</v>
      </c>
      <c r="L9" s="23">
        <f t="shared" ref="L9:V9" si="4">K9*(1+L19)</f>
        <v>90000</v>
      </c>
      <c r="M9" s="23">
        <f t="shared" si="4"/>
        <v>135000</v>
      </c>
      <c r="N9" s="23">
        <f t="shared" si="4"/>
        <v>202500</v>
      </c>
      <c r="O9" s="23">
        <f t="shared" si="4"/>
        <v>232874.99999999997</v>
      </c>
      <c r="P9" s="23">
        <f t="shared" si="4"/>
        <v>267806.24999999994</v>
      </c>
      <c r="Q9" s="23">
        <f t="shared" si="4"/>
        <v>289230.74999999994</v>
      </c>
      <c r="R9" s="23">
        <f t="shared" si="4"/>
        <v>312369.20999999996</v>
      </c>
      <c r="S9" s="23">
        <f t="shared" si="4"/>
        <v>321740.28629999998</v>
      </c>
      <c r="T9" s="23">
        <f t="shared" si="4"/>
        <v>331392.49488899997</v>
      </c>
      <c r="U9" s="23">
        <f t="shared" si="4"/>
        <v>341334.26973566995</v>
      </c>
      <c r="V9" s="23">
        <f t="shared" si="4"/>
        <v>351574.29782774008</v>
      </c>
    </row>
    <row r="10" spans="1:22" x14ac:dyDescent="0.35">
      <c r="B10" s="4" t="s">
        <v>133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3"/>
      <c r="K10" s="23">
        <v>1000</v>
      </c>
      <c r="L10" s="23">
        <f t="shared" ref="L10:V10" si="5">K10*(1+L20)</f>
        <v>50080</v>
      </c>
      <c r="M10" s="23">
        <f t="shared" si="5"/>
        <v>103144.80983191264</v>
      </c>
      <c r="N10" s="23">
        <f t="shared" si="5"/>
        <v>144143.51306014857</v>
      </c>
      <c r="O10" s="23">
        <f t="shared" si="5"/>
        <v>201800.91828420799</v>
      </c>
      <c r="P10" s="23">
        <f t="shared" si="5"/>
        <v>232071.05602683916</v>
      </c>
      <c r="Q10" s="23">
        <f t="shared" si="5"/>
        <v>266881.71443086502</v>
      </c>
      <c r="R10" s="23">
        <f t="shared" si="5"/>
        <v>288232.25158533425</v>
      </c>
      <c r="S10" s="23">
        <f t="shared" si="5"/>
        <v>311290.83171216102</v>
      </c>
      <c r="T10" s="23">
        <f t="shared" si="5"/>
        <v>320629.55666352587</v>
      </c>
      <c r="U10" s="23">
        <f t="shared" si="5"/>
        <v>330248.44336343167</v>
      </c>
      <c r="V10" s="23">
        <f t="shared" si="5"/>
        <v>340155.89666433464</v>
      </c>
    </row>
    <row r="11" spans="1:22" ht="12" thickBot="1" x14ac:dyDescent="0.4">
      <c r="B11" s="45" t="s">
        <v>134</v>
      </c>
      <c r="C11" s="46">
        <f t="shared" ref="C11:V11" si="6">SUM(C5:C10)</f>
        <v>33600</v>
      </c>
      <c r="D11" s="46">
        <f t="shared" si="6"/>
        <v>50580</v>
      </c>
      <c r="E11" s="46">
        <f t="shared" si="6"/>
        <v>76230</v>
      </c>
      <c r="F11" s="46">
        <f t="shared" si="6"/>
        <v>103076</v>
      </c>
      <c r="G11" s="46">
        <f t="shared" si="6"/>
        <v>244920</v>
      </c>
      <c r="H11" s="46">
        <f t="shared" si="6"/>
        <v>367200</v>
      </c>
      <c r="I11" s="46">
        <f t="shared" si="6"/>
        <v>481849</v>
      </c>
      <c r="J11" s="46">
        <f t="shared" si="6"/>
        <v>673839.17</v>
      </c>
      <c r="K11" s="46">
        <f t="shared" si="6"/>
        <v>813014.92727726197</v>
      </c>
      <c r="L11" s="46">
        <f t="shared" si="6"/>
        <v>1067168.8195891608</v>
      </c>
      <c r="M11" s="46">
        <f t="shared" si="6"/>
        <v>1264938.071976128</v>
      </c>
      <c r="N11" s="46">
        <f t="shared" si="6"/>
        <v>1466159.2991253657</v>
      </c>
      <c r="O11" s="46">
        <f t="shared" si="6"/>
        <v>1596628.8218386425</v>
      </c>
      <c r="P11" s="46">
        <f t="shared" si="6"/>
        <v>1706437.5721077486</v>
      </c>
      <c r="Q11" s="46">
        <f t="shared" si="6"/>
        <v>1800357.3509942018</v>
      </c>
      <c r="R11" s="46">
        <f t="shared" si="6"/>
        <v>1883780.532245571</v>
      </c>
      <c r="S11" s="46">
        <f t="shared" si="6"/>
        <v>1954705.5607922049</v>
      </c>
      <c r="T11" s="46">
        <f t="shared" si="6"/>
        <v>2013346.7276159711</v>
      </c>
      <c r="U11" s="46">
        <f t="shared" si="6"/>
        <v>2073747.1294444504</v>
      </c>
      <c r="V11" s="46">
        <f t="shared" si="6"/>
        <v>2135959.5433277837</v>
      </c>
    </row>
    <row r="13" spans="1:22" x14ac:dyDescent="0.35">
      <c r="B13" s="47" t="s">
        <v>135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2" x14ac:dyDescent="0.35"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 x14ac:dyDescent="0.35">
      <c r="B15" s="48" t="s">
        <v>128</v>
      </c>
      <c r="C15" s="50" t="str">
        <f t="shared" ref="C15:I20" si="7">IFERROR(C5/B5-1,"n.a.")</f>
        <v>n.a.</v>
      </c>
      <c r="D15" s="50" t="str">
        <f t="shared" si="7"/>
        <v>n.a.</v>
      </c>
      <c r="E15" s="50" t="str">
        <f t="shared" si="7"/>
        <v>n.a.</v>
      </c>
      <c r="F15" s="50" t="str">
        <f t="shared" si="7"/>
        <v>n.a.</v>
      </c>
      <c r="G15" s="50">
        <f t="shared" si="7"/>
        <v>81.797619047619051</v>
      </c>
      <c r="H15" s="50">
        <f t="shared" si="7"/>
        <v>1.0596008353017701</v>
      </c>
      <c r="I15" s="50">
        <f t="shared" si="7"/>
        <v>0.39748682745208841</v>
      </c>
      <c r="J15" s="50">
        <v>0.4</v>
      </c>
      <c r="K15" s="50">
        <v>0.15</v>
      </c>
      <c r="L15" s="50">
        <v>0.15</v>
      </c>
      <c r="M15" s="50">
        <v>0.08</v>
      </c>
      <c r="N15" s="50">
        <v>0.08</v>
      </c>
      <c r="O15" s="50">
        <v>0.03</v>
      </c>
      <c r="P15" s="50">
        <v>0.03</v>
      </c>
      <c r="Q15" s="50">
        <v>0.03</v>
      </c>
      <c r="R15" s="50">
        <v>0.03</v>
      </c>
      <c r="S15" s="50">
        <v>0.03</v>
      </c>
      <c r="T15" s="50">
        <v>0.03</v>
      </c>
      <c r="U15" s="50">
        <v>0.03</v>
      </c>
      <c r="V15" s="50">
        <v>0.03</v>
      </c>
    </row>
    <row r="16" spans="1:22" x14ac:dyDescent="0.35">
      <c r="B16" s="48" t="s">
        <v>129</v>
      </c>
      <c r="C16" s="50" t="str">
        <f t="shared" si="7"/>
        <v>n.a.</v>
      </c>
      <c r="D16" s="50">
        <f t="shared" si="7"/>
        <v>0.50535714285714284</v>
      </c>
      <c r="E16" s="50">
        <f t="shared" si="7"/>
        <v>0.50711743772241991</v>
      </c>
      <c r="F16" s="50">
        <f t="shared" si="7"/>
        <v>0.32903056539420183</v>
      </c>
      <c r="G16" s="50">
        <f t="shared" si="7"/>
        <v>-2.4153111181301368E-2</v>
      </c>
      <c r="H16" s="50">
        <f t="shared" si="7"/>
        <v>-0.32852880190158296</v>
      </c>
      <c r="I16" s="50">
        <f t="shared" si="7"/>
        <v>-0.14078481584695335</v>
      </c>
      <c r="J16" s="50">
        <v>0.03</v>
      </c>
      <c r="K16" s="50">
        <v>0.03</v>
      </c>
      <c r="L16" s="50">
        <v>0.03</v>
      </c>
      <c r="M16" s="50">
        <v>0.03</v>
      </c>
      <c r="N16" s="50">
        <v>0.03</v>
      </c>
      <c r="O16" s="50">
        <v>0.03</v>
      </c>
      <c r="P16" s="50">
        <v>0.03</v>
      </c>
      <c r="Q16" s="50">
        <v>0.03</v>
      </c>
      <c r="R16" s="50">
        <v>0.03</v>
      </c>
      <c r="S16" s="50">
        <v>0.03</v>
      </c>
      <c r="T16" s="50">
        <v>0.03</v>
      </c>
      <c r="U16" s="50">
        <v>0.03</v>
      </c>
      <c r="V16" s="50">
        <v>0.03</v>
      </c>
    </row>
    <row r="17" spans="2:22" x14ac:dyDescent="0.35">
      <c r="B17" s="48" t="s">
        <v>130</v>
      </c>
      <c r="C17" s="50" t="str">
        <f t="shared" si="7"/>
        <v>n.a.</v>
      </c>
      <c r="D17" s="50" t="str">
        <f t="shared" si="7"/>
        <v>n.a.</v>
      </c>
      <c r="E17" s="50" t="str">
        <f t="shared" si="7"/>
        <v>n.a.</v>
      </c>
      <c r="F17" s="50" t="str">
        <f t="shared" si="7"/>
        <v>n.a.</v>
      </c>
      <c r="G17" s="50" t="str">
        <f t="shared" si="7"/>
        <v>n.a.</v>
      </c>
      <c r="H17" s="50" t="str">
        <f t="shared" si="7"/>
        <v>n.a.</v>
      </c>
      <c r="I17" s="50" t="str">
        <f t="shared" si="7"/>
        <v>n.a.</v>
      </c>
      <c r="J17" s="50">
        <v>5</v>
      </c>
      <c r="K17" s="50">
        <v>1.0596008353017701</v>
      </c>
      <c r="L17" s="50">
        <v>0.39748682745208841</v>
      </c>
      <c r="M17" s="50">
        <v>0.4</v>
      </c>
      <c r="N17" s="50">
        <v>0.15</v>
      </c>
      <c r="O17" s="50">
        <v>0.08</v>
      </c>
      <c r="P17" s="50">
        <v>0.08</v>
      </c>
      <c r="Q17" s="50">
        <v>0.03</v>
      </c>
      <c r="R17" s="50">
        <v>0.03</v>
      </c>
      <c r="S17" s="50">
        <v>0.03</v>
      </c>
      <c r="T17" s="50">
        <v>0.03</v>
      </c>
      <c r="U17" s="50">
        <v>0.03</v>
      </c>
      <c r="V17" s="50">
        <v>0.03</v>
      </c>
    </row>
    <row r="18" spans="2:22" x14ac:dyDescent="0.35">
      <c r="B18" s="48" t="s">
        <v>131</v>
      </c>
      <c r="C18" s="50" t="str">
        <f t="shared" si="7"/>
        <v>n.a.</v>
      </c>
      <c r="D18" s="50" t="str">
        <f t="shared" si="7"/>
        <v>n.a.</v>
      </c>
      <c r="E18" s="50" t="str">
        <f t="shared" si="7"/>
        <v>n.a.</v>
      </c>
      <c r="F18" s="50" t="str">
        <f t="shared" si="7"/>
        <v>n.a.</v>
      </c>
      <c r="G18" s="50" t="str">
        <f t="shared" si="7"/>
        <v>n.a.</v>
      </c>
      <c r="H18" s="50" t="str">
        <f t="shared" si="7"/>
        <v>n.a.</v>
      </c>
      <c r="I18" s="50" t="str">
        <f t="shared" si="7"/>
        <v>n.a.</v>
      </c>
      <c r="J18" s="50" t="str">
        <f t="shared" ref="J18:K20" si="8">IFERROR(J8/I8-1,"n.a.")</f>
        <v>n.a.</v>
      </c>
      <c r="K18" s="50" t="str">
        <f t="shared" si="8"/>
        <v>n.a.</v>
      </c>
      <c r="L18" s="50">
        <v>1</v>
      </c>
      <c r="M18" s="50">
        <v>0.5</v>
      </c>
      <c r="N18" s="50">
        <v>0.5</v>
      </c>
      <c r="O18" s="50">
        <v>0.15</v>
      </c>
      <c r="P18" s="50">
        <v>0.15</v>
      </c>
      <c r="Q18" s="50">
        <v>0.08</v>
      </c>
      <c r="R18" s="50">
        <v>0.08</v>
      </c>
      <c r="S18" s="50">
        <v>0.03</v>
      </c>
      <c r="T18" s="50">
        <v>0.03</v>
      </c>
      <c r="U18" s="50">
        <v>0.03</v>
      </c>
      <c r="V18" s="50">
        <v>0.03</v>
      </c>
    </row>
    <row r="19" spans="2:22" x14ac:dyDescent="0.35">
      <c r="B19" s="48" t="s">
        <v>144</v>
      </c>
      <c r="C19" s="50" t="str">
        <f t="shared" si="7"/>
        <v>n.a.</v>
      </c>
      <c r="D19" s="50" t="str">
        <f t="shared" si="7"/>
        <v>n.a.</v>
      </c>
      <c r="E19" s="50" t="str">
        <f t="shared" si="7"/>
        <v>n.a.</v>
      </c>
      <c r="F19" s="50" t="str">
        <f t="shared" si="7"/>
        <v>n.a.</v>
      </c>
      <c r="G19" s="50" t="str">
        <f t="shared" si="7"/>
        <v>n.a.</v>
      </c>
      <c r="H19" s="50" t="str">
        <f t="shared" si="7"/>
        <v>n.a.</v>
      </c>
      <c r="I19" s="50" t="str">
        <f t="shared" si="7"/>
        <v>n.a.</v>
      </c>
      <c r="J19" s="50" t="str">
        <f t="shared" si="8"/>
        <v>n.a.</v>
      </c>
      <c r="K19" s="50" t="str">
        <f t="shared" si="8"/>
        <v>n.a.</v>
      </c>
      <c r="L19" s="50">
        <v>5</v>
      </c>
      <c r="M19" s="50">
        <v>0.5</v>
      </c>
      <c r="N19" s="50">
        <v>0.5</v>
      </c>
      <c r="O19" s="50">
        <v>0.15</v>
      </c>
      <c r="P19" s="50">
        <v>0.15</v>
      </c>
      <c r="Q19" s="50">
        <v>0.08</v>
      </c>
      <c r="R19" s="50">
        <v>0.08</v>
      </c>
      <c r="S19" s="50">
        <v>0.03</v>
      </c>
      <c r="T19" s="50">
        <v>0.03</v>
      </c>
      <c r="U19" s="50">
        <v>0.03</v>
      </c>
      <c r="V19" s="50">
        <v>0.03</v>
      </c>
    </row>
    <row r="20" spans="2:22" x14ac:dyDescent="0.35">
      <c r="B20" s="48" t="s">
        <v>133</v>
      </c>
      <c r="C20" s="50" t="str">
        <f t="shared" si="7"/>
        <v>n.a.</v>
      </c>
      <c r="D20" s="50" t="str">
        <f t="shared" si="7"/>
        <v>n.a.</v>
      </c>
      <c r="E20" s="50" t="str">
        <f t="shared" si="7"/>
        <v>n.a.</v>
      </c>
      <c r="F20" s="50" t="str">
        <f t="shared" si="7"/>
        <v>n.a.</v>
      </c>
      <c r="G20" s="50" t="str">
        <f t="shared" si="7"/>
        <v>n.a.</v>
      </c>
      <c r="H20" s="50" t="str">
        <f t="shared" si="7"/>
        <v>n.a.</v>
      </c>
      <c r="I20" s="50" t="str">
        <f t="shared" si="7"/>
        <v>n.a.</v>
      </c>
      <c r="J20" s="50" t="str">
        <f t="shared" si="8"/>
        <v>n.a.</v>
      </c>
      <c r="K20" s="50" t="str">
        <f t="shared" si="8"/>
        <v>n.a.</v>
      </c>
      <c r="L20" s="50">
        <v>49.08</v>
      </c>
      <c r="M20" s="50">
        <v>1.0596008353017701</v>
      </c>
      <c r="N20" s="50">
        <v>0.39748682745208841</v>
      </c>
      <c r="O20" s="50">
        <v>0.4</v>
      </c>
      <c r="P20" s="50">
        <v>0.15</v>
      </c>
      <c r="Q20" s="50">
        <v>0.15</v>
      </c>
      <c r="R20" s="50">
        <v>0.08</v>
      </c>
      <c r="S20" s="50">
        <v>0.08</v>
      </c>
      <c r="T20" s="50">
        <v>0.03</v>
      </c>
      <c r="U20" s="50">
        <v>0.03</v>
      </c>
      <c r="V20" s="50">
        <v>0.03</v>
      </c>
    </row>
    <row r="21" spans="2:22" x14ac:dyDescent="0.35">
      <c r="B21" s="48"/>
      <c r="C21" s="49"/>
      <c r="D21" s="49"/>
      <c r="E21" s="49"/>
      <c r="F21" s="49"/>
      <c r="G21" s="49"/>
      <c r="H21" s="49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4" spans="2:22" x14ac:dyDescent="0.35">
      <c r="B24" s="58" t="s">
        <v>148</v>
      </c>
    </row>
    <row r="25" spans="2:22" x14ac:dyDescent="0.35">
      <c r="B25" s="4" t="s">
        <v>149</v>
      </c>
      <c r="L25" s="54"/>
      <c r="M25" s="54"/>
    </row>
    <row r="26" spans="2:22" x14ac:dyDescent="0.35">
      <c r="B26" s="4" t="s">
        <v>153</v>
      </c>
      <c r="L26" s="54"/>
      <c r="M26" s="54"/>
    </row>
    <row r="27" spans="2:22" ht="13.15" x14ac:dyDescent="0.35">
      <c r="B27" s="4" t="s">
        <v>154</v>
      </c>
      <c r="L27" s="54"/>
      <c r="M27" s="60"/>
    </row>
    <row r="28" spans="2:22" ht="13.15" x14ac:dyDescent="0.35">
      <c r="B28" s="4" t="s">
        <v>155</v>
      </c>
      <c r="L28" s="54"/>
      <c r="M28" s="61"/>
    </row>
    <row r="29" spans="2:22" ht="13.15" x14ac:dyDescent="0.35">
      <c r="L29" s="54"/>
      <c r="M29" s="61"/>
    </row>
    <row r="30" spans="2:22" ht="13.15" x14ac:dyDescent="0.35">
      <c r="B30" s="4" t="s">
        <v>137</v>
      </c>
      <c r="L30" s="54"/>
      <c r="M30" s="59"/>
    </row>
    <row r="31" spans="2:22" x14ac:dyDescent="0.35">
      <c r="B31" s="4" t="s">
        <v>138</v>
      </c>
      <c r="C31" s="9">
        <v>0.15</v>
      </c>
    </row>
    <row r="32" spans="2:22" x14ac:dyDescent="0.35">
      <c r="B32" s="4" t="s">
        <v>138</v>
      </c>
      <c r="C32" s="9">
        <v>0.08</v>
      </c>
      <c r="H32" s="57"/>
      <c r="I32" s="41"/>
      <c r="J32" s="57"/>
      <c r="K32" s="57"/>
    </row>
    <row r="33" spans="2:5" x14ac:dyDescent="0.35">
      <c r="B33" s="4" t="s">
        <v>139</v>
      </c>
      <c r="C33" s="9">
        <v>0.03</v>
      </c>
    </row>
    <row r="38" spans="2:5" x14ac:dyDescent="0.35">
      <c r="B38" s="54" t="s">
        <v>145</v>
      </c>
      <c r="D38" s="54" t="s">
        <v>150</v>
      </c>
      <c r="E38" s="54"/>
    </row>
    <row r="39" spans="2:5" ht="13.15" x14ac:dyDescent="0.35">
      <c r="B39" s="53" t="s">
        <v>147</v>
      </c>
      <c r="D39" s="54" t="s">
        <v>151</v>
      </c>
      <c r="E39" s="55">
        <v>182780</v>
      </c>
    </row>
    <row r="40" spans="2:5" ht="13.15" x14ac:dyDescent="0.35">
      <c r="B40" s="53" t="s">
        <v>146</v>
      </c>
      <c r="D40" s="54" t="s">
        <v>152</v>
      </c>
      <c r="E40" s="55">
        <v>2020</v>
      </c>
    </row>
  </sheetData>
  <mergeCells count="1">
    <mergeCell ref="C3:V3"/>
  </mergeCells>
  <hyperlinks>
    <hyperlink ref="B39" r:id="rId1" xr:uid="{801DD71C-ABDA-4510-9A9A-7A73EF80710B}"/>
    <hyperlink ref="B40" r:id="rId2" xr:uid="{CAE03EAC-F83F-4A3F-B350-204C70BBB0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and GP Auto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PP&amp;E--&gt;</vt:lpstr>
      <vt:lpstr>PP&amp;E</vt:lpstr>
      <vt:lpstr>PP&amp;E Comparables</vt:lpstr>
      <vt:lpstr>Working Capital --&gt;</vt:lpstr>
      <vt:lpstr>WC Comparables</vt:lpstr>
      <vt:lpstr>Working Capital</vt:lpstr>
      <vt:lpstr>WC Development</vt:lpstr>
      <vt:lpstr>Financing --&gt;</vt:lpstr>
      <vt:lpstr>Financing</vt:lpstr>
      <vt:lpstr>WACC</vt:lpstr>
      <vt:lpstr>Output--&gt;</vt:lpstr>
      <vt:lpstr>P&amp;L</vt:lpstr>
      <vt:lpstr>Balance Sheet</vt:lpstr>
      <vt:lpstr>Cash Flow</vt:lpstr>
      <vt:lpstr>DCF</vt:lpstr>
      <vt:lpstr>COGS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Vakeesan Mahalingam</cp:lastModifiedBy>
  <dcterms:created xsi:type="dcterms:W3CDTF">2017-12-26T16:16:22Z</dcterms:created>
  <dcterms:modified xsi:type="dcterms:W3CDTF">2021-05-28T19:11:44Z</dcterms:modified>
</cp:coreProperties>
</file>