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ntona/Downloads/"/>
    </mc:Choice>
  </mc:AlternateContent>
  <xr:revisionPtr revIDLastSave="0" documentId="13_ncr:1_{A4D7F8B1-C77E-8042-A229-7BF8DCA06F5C}" xr6:coauthVersionLast="45" xr6:coauthVersionMax="45" xr10:uidLastSave="{00000000-0000-0000-0000-000000000000}"/>
  <bookViews>
    <workbookView xWindow="0" yWindow="460" windowWidth="25600" windowHeight="14280" tabRatio="990" xr2:uid="{00000000-000D-0000-FFFF-FFFF00000000}"/>
  </bookViews>
  <sheets>
    <sheet name="cell counts" sheetId="1" r:id="rId1"/>
    <sheet name="Sheet2" sheetId="3" r:id="rId2"/>
    <sheet name="Sheet3" sheetId="4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2" i="1" l="1"/>
  <c r="E15" i="1" s="1"/>
  <c r="F12" i="1"/>
  <c r="F19" i="1" s="1"/>
  <c r="H38" i="1" s="1"/>
  <c r="K16" i="1"/>
  <c r="L16" i="1"/>
  <c r="M16" i="1"/>
  <c r="E17" i="1"/>
  <c r="H27" i="1" s="1"/>
  <c r="K17" i="1"/>
  <c r="N17" i="1" s="1"/>
  <c r="L17" i="1"/>
  <c r="M17" i="1"/>
  <c r="K18" i="1"/>
  <c r="L18" i="1"/>
  <c r="M18" i="1"/>
  <c r="E19" i="1"/>
  <c r="K19" i="1"/>
  <c r="N19" i="1" s="1"/>
  <c r="L19" i="1"/>
  <c r="M19" i="1"/>
  <c r="D20" i="1"/>
  <c r="J19" i="1"/>
  <c r="N18" i="1"/>
  <c r="J18" i="1"/>
  <c r="J17" i="1"/>
  <c r="N16" i="1"/>
  <c r="J16" i="1"/>
  <c r="J15" i="1"/>
  <c r="I27" i="1" l="1"/>
  <c r="J27" i="1"/>
  <c r="I38" i="1"/>
  <c r="J38" i="1" s="1"/>
  <c r="G19" i="1"/>
  <c r="H47" i="1" s="1"/>
  <c r="H25" i="1"/>
  <c r="F18" i="1"/>
  <c r="H37" i="1" s="1"/>
  <c r="G17" i="1"/>
  <c r="H45" i="1" s="1"/>
  <c r="H29" i="1"/>
  <c r="E18" i="1"/>
  <c r="F17" i="1"/>
  <c r="H36" i="1" s="1"/>
  <c r="F15" i="1"/>
  <c r="G15" i="1" s="1"/>
  <c r="H43" i="1" s="1"/>
  <c r="F16" i="1"/>
  <c r="H35" i="1" s="1"/>
  <c r="E16" i="1"/>
  <c r="K38" i="1" l="1"/>
  <c r="N38" i="1" s="1"/>
  <c r="M38" i="1"/>
  <c r="L38" i="1"/>
  <c r="I43" i="1"/>
  <c r="J43" i="1"/>
  <c r="G16" i="1"/>
  <c r="H44" i="1" s="1"/>
  <c r="H26" i="1"/>
  <c r="G18" i="1"/>
  <c r="H46" i="1" s="1"/>
  <c r="H28" i="1"/>
  <c r="I35" i="1"/>
  <c r="J35" i="1" s="1"/>
  <c r="I29" i="1"/>
  <c r="J29" i="1"/>
  <c r="I25" i="1"/>
  <c r="J25" i="1" s="1"/>
  <c r="E20" i="1"/>
  <c r="H34" i="1"/>
  <c r="F20" i="1"/>
  <c r="H39" i="1" s="1"/>
  <c r="I45" i="1"/>
  <c r="J45" i="1" s="1"/>
  <c r="M27" i="1"/>
  <c r="L27" i="1"/>
  <c r="K27" i="1"/>
  <c r="I36" i="1"/>
  <c r="J36" i="1" s="1"/>
  <c r="I37" i="1"/>
  <c r="J37" i="1" s="1"/>
  <c r="I47" i="1"/>
  <c r="J47" i="1"/>
  <c r="L35" i="1" l="1"/>
  <c r="K35" i="1"/>
  <c r="M35" i="1"/>
  <c r="M37" i="1"/>
  <c r="K37" i="1"/>
  <c r="L37" i="1"/>
  <c r="K36" i="1"/>
  <c r="N36" i="1" s="1"/>
  <c r="L36" i="1"/>
  <c r="M36" i="1"/>
  <c r="K45" i="1"/>
  <c r="M45" i="1"/>
  <c r="L45" i="1"/>
  <c r="L25" i="1"/>
  <c r="K25" i="1"/>
  <c r="M25" i="1"/>
  <c r="G20" i="1"/>
  <c r="H48" i="1" s="1"/>
  <c r="H30" i="1"/>
  <c r="I46" i="1"/>
  <c r="J46" i="1"/>
  <c r="I48" i="1"/>
  <c r="N27" i="1"/>
  <c r="I26" i="1"/>
  <c r="J26" i="1"/>
  <c r="I44" i="1"/>
  <c r="J44" i="1"/>
  <c r="L47" i="1"/>
  <c r="K47" i="1"/>
  <c r="N47" i="1" s="1"/>
  <c r="M47" i="1"/>
  <c r="I34" i="1"/>
  <c r="I39" i="1" s="1"/>
  <c r="L29" i="1"/>
  <c r="K29" i="1"/>
  <c r="M29" i="1"/>
  <c r="I28" i="1"/>
  <c r="I30" i="1" s="1"/>
  <c r="J28" i="1"/>
  <c r="L43" i="1"/>
  <c r="M43" i="1"/>
  <c r="K43" i="1"/>
  <c r="N43" i="1"/>
  <c r="K46" i="1" l="1"/>
  <c r="N46" i="1" s="1"/>
  <c r="M46" i="1"/>
  <c r="L46" i="1"/>
  <c r="M28" i="1"/>
  <c r="K28" i="1"/>
  <c r="L28" i="1"/>
  <c r="L26" i="1"/>
  <c r="K26" i="1"/>
  <c r="M26" i="1"/>
  <c r="M30" i="1" s="1"/>
  <c r="J48" i="1"/>
  <c r="J34" i="1"/>
  <c r="L44" i="1"/>
  <c r="K44" i="1"/>
  <c r="N44" i="1" s="1"/>
  <c r="N48" i="1" s="1"/>
  <c r="M44" i="1"/>
  <c r="M48" i="1" s="1"/>
  <c r="L48" i="1"/>
  <c r="N29" i="1"/>
  <c r="J30" i="1"/>
  <c r="N45" i="1"/>
  <c r="N35" i="1"/>
  <c r="L30" i="1"/>
  <c r="N37" i="1"/>
  <c r="N26" i="1" l="1"/>
  <c r="J39" i="1"/>
  <c r="K34" i="1"/>
  <c r="K39" i="1" s="1"/>
  <c r="M34" i="1"/>
  <c r="M39" i="1" s="1"/>
  <c r="L34" i="1"/>
  <c r="L39" i="1" s="1"/>
  <c r="N28" i="1"/>
  <c r="K48" i="1"/>
  <c r="K30" i="1"/>
  <c r="N30" i="1" s="1"/>
  <c r="N39" i="1" l="1"/>
</calcChain>
</file>

<file path=xl/sharedStrings.xml><?xml version="1.0" encoding="utf-8"?>
<sst xmlns="http://schemas.openxmlformats.org/spreadsheetml/2006/main" count="70" uniqueCount="45">
  <si>
    <t xml:space="preserve">Domain geometry and cell counts for VisP column model </t>
  </si>
  <si>
    <t>Notes:</t>
  </si>
  <si>
    <t>Cell densities are from Shuz &amp; Palm (1989)</t>
  </si>
  <si>
    <t>E fraction is assumed at 85%</t>
  </si>
  <si>
    <t>Data for L23 is an average of layer 2 and 3 when available</t>
  </si>
  <si>
    <t>Fraction of inhbitory cells are from Lee et al. (2010)</t>
  </si>
  <si>
    <t>Domain -  right circular cylinder with a core including biophysically detailed cells and perifery including intfire cell models</t>
  </si>
  <si>
    <t>Domain</t>
  </si>
  <si>
    <t xml:space="preserve">core </t>
  </si>
  <si>
    <t>perifery</t>
  </si>
  <si>
    <t>radius (mm)</t>
  </si>
  <si>
    <t>area (mm^2)</t>
  </si>
  <si>
    <t>fraction of each within inhibitory</t>
  </si>
  <si>
    <t>layer</t>
  </si>
  <si>
    <t>density (#/mm^3)</t>
  </si>
  <si>
    <t>median thickness (um)</t>
  </si>
  <si>
    <t># of cells core</t>
  </si>
  <si>
    <t># of cells perifery</t>
  </si>
  <si>
    <t># of cell both</t>
  </si>
  <si>
    <t>exc frac</t>
  </si>
  <si>
    <t>inh frac</t>
  </si>
  <si>
    <t xml:space="preserve">PV </t>
  </si>
  <si>
    <t>SST</t>
  </si>
  <si>
    <t>5HT3a</t>
  </si>
  <si>
    <t>Total</t>
  </si>
  <si>
    <t>total</t>
  </si>
  <si>
    <t>Biophysically detailed cells within a core</t>
  </si>
  <si>
    <t># of cells</t>
  </si>
  <si>
    <t>excitatory</t>
  </si>
  <si>
    <t>inhibitory</t>
  </si>
  <si>
    <t>PV</t>
  </si>
  <si>
    <t>Total inh</t>
  </si>
  <si>
    <t>desired</t>
  </si>
  <si>
    <t>Cux2:80%, noCux2:20%</t>
  </si>
  <si>
    <t>Scnn1a:30%, Rorb:26%, Nr5a1:12%</t>
  </si>
  <si>
    <t>Rbp4:80%, noRbp4: 20%</t>
  </si>
  <si>
    <t>Ntsr1:80%, noNtsr:20%</t>
  </si>
  <si>
    <t>IntFire cells on a perifery</t>
  </si>
  <si>
    <t>used</t>
  </si>
  <si>
    <t>Cux2:100%, noCux2:0%</t>
  </si>
  <si>
    <t>Rbp4:80% noRbp4:20%</t>
  </si>
  <si>
    <t>Ntsr1:100%, noNtsr:0%</t>
  </si>
  <si>
    <t>IntFire and Biophysical cells</t>
  </si>
  <si>
    <t>Layer thicknesses are measured from Brain Atlas</t>
  </si>
  <si>
    <r>
      <rPr>
        <sz val="12"/>
        <color rgb="FFFF0000"/>
        <rFont val="Arial"/>
        <family val="2"/>
      </rPr>
      <t xml:space="preserve">Note: Specific cell numbers shown below are </t>
    </r>
    <r>
      <rPr>
        <b/>
        <sz val="12"/>
        <color rgb="FFFF0000"/>
        <rFont val="Arial"/>
        <family val="2"/>
      </rPr>
      <t>AVERAGE ESTIMATES</t>
    </r>
    <r>
      <rPr>
        <sz val="12"/>
        <color rgb="FFFF0000"/>
        <rFont val="Arial"/>
        <family val="2"/>
      </rPr>
      <t xml:space="preserve">; the actual models use different (though similar) cell numbers generated for a specific model instantiation. </t>
    </r>
    <r>
      <rPr>
        <b/>
        <sz val="12"/>
        <color rgb="FFFF0000"/>
        <rFont val="Arial"/>
        <family val="2"/>
      </rPr>
      <t>This file is for reference only!!!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</si>
</sst>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2"/>
      <color rgb="FFFF0000"/>
      <name val="Arial"/>
      <family val="2"/>
    </font>
    <font>
      <b/>
      <sz val="12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70C0"/>
        <bgColor rgb="FF008080"/>
      </patternFill>
    </fill>
    <fill>
      <patternFill patternType="solid">
        <fgColor rgb="FFCCC1DA"/>
        <bgColor rgb="FFC3D69B"/>
      </patternFill>
    </fill>
    <fill>
      <patternFill patternType="solid">
        <fgColor rgb="FFFFFFFF"/>
        <bgColor rgb="FFFFFFCC"/>
      </patternFill>
    </fill>
    <fill>
      <patternFill patternType="solid">
        <fgColor rgb="FF47B8B8"/>
        <bgColor rgb="FF339966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0" fillId="0" borderId="1" xfId="0" applyBorder="1"/>
    <xf numFmtId="0" fontId="0" fillId="0" borderId="0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0" fillId="6" borderId="1" xfId="0" applyFill="1" applyBorder="1"/>
    <xf numFmtId="0" fontId="0" fillId="7" borderId="2" xfId="0" applyFont="1" applyFill="1" applyBorder="1"/>
    <xf numFmtId="0" fontId="0" fillId="7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3D69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CC99FF"/>
      <rgbColor rgb="FFFCD5B5"/>
      <rgbColor rgb="FF3366FF"/>
      <rgbColor rgb="FF47B8B8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"/>
  <sheetViews>
    <sheetView tabSelected="1" workbookViewId="0">
      <selection activeCell="A2" sqref="A2"/>
    </sheetView>
  </sheetViews>
  <sheetFormatPr baseColWidth="10" defaultColWidth="8.83203125" defaultRowHeight="13" x14ac:dyDescent="0.15"/>
  <cols>
    <col min="3" max="3" width="54.83203125" customWidth="1"/>
    <col min="4" max="4" width="19.5" bestFit="1" customWidth="1"/>
  </cols>
  <sheetData>
    <row r="1" spans="1:14" ht="16" x14ac:dyDescent="0.2">
      <c r="A1" s="13" t="s">
        <v>44</v>
      </c>
    </row>
    <row r="2" spans="1:14" x14ac:dyDescent="0.15">
      <c r="B2" s="1" t="s">
        <v>0</v>
      </c>
    </row>
    <row r="3" spans="1:14" x14ac:dyDescent="0.15">
      <c r="B3" t="s">
        <v>1</v>
      </c>
      <c r="C3" t="s">
        <v>2</v>
      </c>
    </row>
    <row r="4" spans="1:14" x14ac:dyDescent="0.15">
      <c r="C4" t="s">
        <v>43</v>
      </c>
    </row>
    <row r="5" spans="1:14" x14ac:dyDescent="0.15">
      <c r="C5" t="s">
        <v>3</v>
      </c>
    </row>
    <row r="6" spans="1:14" x14ac:dyDescent="0.15">
      <c r="C6" t="s">
        <v>4</v>
      </c>
    </row>
    <row r="7" spans="1:14" x14ac:dyDescent="0.15">
      <c r="C7" t="s">
        <v>5</v>
      </c>
    </row>
    <row r="8" spans="1:14" x14ac:dyDescent="0.15">
      <c r="C8" t="s">
        <v>6</v>
      </c>
    </row>
    <row r="10" spans="1:14" x14ac:dyDescent="0.15">
      <c r="D10" s="2" t="s">
        <v>7</v>
      </c>
      <c r="E10" s="2" t="s">
        <v>8</v>
      </c>
      <c r="F10" s="2" t="s">
        <v>9</v>
      </c>
      <c r="G10" s="3"/>
    </row>
    <row r="11" spans="1:14" x14ac:dyDescent="0.15">
      <c r="D11" s="2" t="s">
        <v>10</v>
      </c>
      <c r="E11" s="4">
        <v>0.4</v>
      </c>
      <c r="F11" s="4">
        <v>0.84499999999999997</v>
      </c>
      <c r="G11" s="5"/>
    </row>
    <row r="12" spans="1:14" x14ac:dyDescent="0.15">
      <c r="D12" s="2" t="s">
        <v>11</v>
      </c>
      <c r="E12" s="4">
        <f>E11^2*PI()</f>
        <v>0.50265482457436694</v>
      </c>
      <c r="F12" s="4">
        <f>(F11^2-E11^2)*PI()</f>
        <v>1.7405208699050847</v>
      </c>
      <c r="G12" s="5"/>
      <c r="K12" s="1" t="s">
        <v>12</v>
      </c>
    </row>
    <row r="14" spans="1:14" ht="15.5" customHeight="1" x14ac:dyDescent="0.15">
      <c r="B14" s="6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I14" s="7" t="s">
        <v>19</v>
      </c>
      <c r="J14" s="8" t="s">
        <v>20</v>
      </c>
      <c r="K14" s="9" t="s">
        <v>21</v>
      </c>
      <c r="L14" s="9" t="s">
        <v>22</v>
      </c>
      <c r="M14" s="9" t="s">
        <v>23</v>
      </c>
      <c r="N14" s="9" t="s">
        <v>24</v>
      </c>
    </row>
    <row r="15" spans="1:14" ht="15.5" customHeight="1" x14ac:dyDescent="0.15">
      <c r="B15" s="6">
        <v>1</v>
      </c>
      <c r="C15" s="4">
        <v>0</v>
      </c>
      <c r="D15" s="4">
        <v>100</v>
      </c>
      <c r="E15" s="4">
        <f>ROUND(C15*D15*$E$12*0.001,0)</f>
        <v>0</v>
      </c>
      <c r="F15" s="4">
        <f>ROUND(C15*D15*$F$12*0.001,0)</f>
        <v>0</v>
      </c>
      <c r="G15" s="4">
        <f t="shared" ref="G15:G20" si="0">SUM(E15+F15)</f>
        <v>0</v>
      </c>
      <c r="I15" s="4">
        <v>0.85</v>
      </c>
      <c r="J15" s="4">
        <f>1-I15</f>
        <v>0.15000000000000002</v>
      </c>
      <c r="K15" s="10"/>
      <c r="L15" s="4"/>
      <c r="M15" s="4"/>
      <c r="N15" s="4"/>
    </row>
    <row r="16" spans="1:14" x14ac:dyDescent="0.15">
      <c r="B16" s="6">
        <v>23</v>
      </c>
      <c r="C16" s="4">
        <v>140000</v>
      </c>
      <c r="D16" s="4">
        <v>210</v>
      </c>
      <c r="E16" s="4">
        <f>ROUND(C16*D16*$E$12*0.001,0)</f>
        <v>14778</v>
      </c>
      <c r="F16" s="4">
        <f>ROUND(C16*D16*$F$12*0.001,0)</f>
        <v>51171</v>
      </c>
      <c r="G16" s="4">
        <f t="shared" si="0"/>
        <v>65949</v>
      </c>
      <c r="I16" s="4">
        <v>0.85</v>
      </c>
      <c r="J16" s="4">
        <f>1-I16</f>
        <v>0.15000000000000002</v>
      </c>
      <c r="K16" s="10">
        <f>29/98</f>
        <v>0.29591836734693877</v>
      </c>
      <c r="L16" s="4">
        <f>21/98</f>
        <v>0.21428571428571427</v>
      </c>
      <c r="M16" s="4">
        <f>48/98</f>
        <v>0.48979591836734693</v>
      </c>
      <c r="N16" s="4">
        <f>SUM(K16:M16)</f>
        <v>1</v>
      </c>
    </row>
    <row r="17" spans="2:14" x14ac:dyDescent="0.15">
      <c r="B17" s="6">
        <v>4</v>
      </c>
      <c r="C17" s="4">
        <v>200000</v>
      </c>
      <c r="D17" s="4">
        <v>120</v>
      </c>
      <c r="E17" s="4">
        <f>ROUND(C17*D17*$E$12*0.001,0)</f>
        <v>12064</v>
      </c>
      <c r="F17" s="4">
        <f>ROUND(C17*D17*$F$12*0.001,0)</f>
        <v>41773</v>
      </c>
      <c r="G17" s="4">
        <f t="shared" si="0"/>
        <v>53837</v>
      </c>
      <c r="I17" s="4">
        <v>0.85</v>
      </c>
      <c r="J17" s="4">
        <f>1-I17</f>
        <v>0.15000000000000002</v>
      </c>
      <c r="K17" s="10">
        <f>58/105</f>
        <v>0.55238095238095242</v>
      </c>
      <c r="L17" s="4">
        <f>31/105</f>
        <v>0.29523809523809524</v>
      </c>
      <c r="M17" s="4">
        <f>16/105</f>
        <v>0.15238095238095239</v>
      </c>
      <c r="N17" s="4">
        <f>SUM(K17:M17)</f>
        <v>1</v>
      </c>
    </row>
    <row r="18" spans="2:14" x14ac:dyDescent="0.15">
      <c r="B18" s="6">
        <v>5</v>
      </c>
      <c r="C18" s="4">
        <v>80000</v>
      </c>
      <c r="D18" s="4">
        <v>220</v>
      </c>
      <c r="E18" s="4">
        <f>ROUND(C18*D18*$E$12*0.001,0)</f>
        <v>8847</v>
      </c>
      <c r="F18" s="4">
        <f>ROUND(C18*D18*$F$12*0.001,0)</f>
        <v>30633</v>
      </c>
      <c r="G18" s="4">
        <f t="shared" si="0"/>
        <v>39480</v>
      </c>
      <c r="I18" s="4">
        <v>0.85</v>
      </c>
      <c r="J18" s="4">
        <f>1-I18</f>
        <v>0.15000000000000002</v>
      </c>
      <c r="K18" s="10">
        <f>51/105</f>
        <v>0.48571428571428571</v>
      </c>
      <c r="L18" s="4">
        <f>45/105</f>
        <v>0.42857142857142855</v>
      </c>
      <c r="M18" s="4">
        <f>9/105</f>
        <v>8.5714285714285715E-2</v>
      </c>
      <c r="N18" s="4">
        <f>SUM(K18:M18)</f>
        <v>1</v>
      </c>
    </row>
    <row r="19" spans="2:14" x14ac:dyDescent="0.15">
      <c r="B19" s="6">
        <v>6</v>
      </c>
      <c r="C19" s="4">
        <v>150000</v>
      </c>
      <c r="D19" s="4">
        <v>200</v>
      </c>
      <c r="E19" s="4">
        <f>ROUND(C19*D19*$E$12*0.001,0)</f>
        <v>15080</v>
      </c>
      <c r="F19" s="4">
        <f>ROUND(C19*D19*$F$12*0.001,0)</f>
        <v>52216</v>
      </c>
      <c r="G19" s="4">
        <f t="shared" si="0"/>
        <v>67296</v>
      </c>
      <c r="I19" s="4">
        <v>0.85</v>
      </c>
      <c r="J19" s="4">
        <f>1-I19</f>
        <v>0.15000000000000002</v>
      </c>
      <c r="K19" s="10">
        <f>44/96</f>
        <v>0.45833333333333331</v>
      </c>
      <c r="L19" s="4">
        <f>44/96</f>
        <v>0.45833333333333331</v>
      </c>
      <c r="M19" s="4">
        <f>8/96</f>
        <v>8.3333333333333329E-2</v>
      </c>
      <c r="N19" s="4">
        <f>SUM(K19:M19)</f>
        <v>1</v>
      </c>
    </row>
    <row r="20" spans="2:14" x14ac:dyDescent="0.15">
      <c r="B20" s="6" t="s">
        <v>25</v>
      </c>
      <c r="C20" s="4"/>
      <c r="D20" s="4">
        <f>SUM(D15:D19)</f>
        <v>850</v>
      </c>
      <c r="E20" s="4">
        <f>SUM(E15:E19)</f>
        <v>50769</v>
      </c>
      <c r="F20" s="4">
        <f>SUM(F15:F19)</f>
        <v>175793</v>
      </c>
      <c r="G20" s="4">
        <f t="shared" si="0"/>
        <v>226562</v>
      </c>
      <c r="I20" s="5"/>
      <c r="J20" s="5"/>
      <c r="K20" s="5"/>
      <c r="L20" s="5"/>
      <c r="M20" s="5"/>
      <c r="N20" s="5"/>
    </row>
    <row r="23" spans="2:14" x14ac:dyDescent="0.15">
      <c r="G23" s="1" t="s">
        <v>26</v>
      </c>
    </row>
    <row r="24" spans="2:14" x14ac:dyDescent="0.15">
      <c r="G24" s="6" t="s">
        <v>13</v>
      </c>
      <c r="H24" s="2" t="s">
        <v>27</v>
      </c>
      <c r="I24" s="7" t="s">
        <v>28</v>
      </c>
      <c r="J24" s="8" t="s">
        <v>29</v>
      </c>
      <c r="K24" s="9" t="s">
        <v>30</v>
      </c>
      <c r="L24" s="9" t="s">
        <v>22</v>
      </c>
      <c r="M24" s="9" t="s">
        <v>23</v>
      </c>
      <c r="N24" s="9" t="s">
        <v>31</v>
      </c>
    </row>
    <row r="25" spans="2:14" x14ac:dyDescent="0.15">
      <c r="B25" s="11" t="s">
        <v>13</v>
      </c>
      <c r="C25" s="12" t="s">
        <v>32</v>
      </c>
      <c r="G25" s="6">
        <v>1</v>
      </c>
      <c r="H25" s="4">
        <f t="shared" ref="H25:H30" si="1">E15</f>
        <v>0</v>
      </c>
      <c r="I25" s="4">
        <f>ROUND(H25*I15,0)</f>
        <v>0</v>
      </c>
      <c r="J25" s="4">
        <f>H25-I25</f>
        <v>0</v>
      </c>
      <c r="K25" s="4">
        <f t="shared" ref="K25:M29" si="2">ROUND($J25*K15,0)</f>
        <v>0</v>
      </c>
      <c r="L25" s="4">
        <f t="shared" si="2"/>
        <v>0</v>
      </c>
      <c r="M25" s="4">
        <f t="shared" si="2"/>
        <v>0</v>
      </c>
      <c r="N25" s="4"/>
    </row>
    <row r="26" spans="2:14" x14ac:dyDescent="0.15">
      <c r="B26" s="11">
        <v>23</v>
      </c>
      <c r="C26" t="s">
        <v>33</v>
      </c>
      <c r="G26" s="6">
        <v>23</v>
      </c>
      <c r="H26" s="4">
        <f t="shared" si="1"/>
        <v>14778</v>
      </c>
      <c r="I26" s="4">
        <f>ROUND(H26*I16,0)</f>
        <v>12561</v>
      </c>
      <c r="J26" s="4">
        <f>H26-I26</f>
        <v>2217</v>
      </c>
      <c r="K26" s="4">
        <f t="shared" si="2"/>
        <v>656</v>
      </c>
      <c r="L26" s="4">
        <f t="shared" si="2"/>
        <v>475</v>
      </c>
      <c r="M26" s="4">
        <f t="shared" si="2"/>
        <v>1086</v>
      </c>
      <c r="N26" s="4">
        <f>SUM(K26:M26)</f>
        <v>2217</v>
      </c>
    </row>
    <row r="27" spans="2:14" x14ac:dyDescent="0.15">
      <c r="B27" s="11">
        <v>4</v>
      </c>
      <c r="C27" t="s">
        <v>34</v>
      </c>
      <c r="G27" s="6">
        <v>4</v>
      </c>
      <c r="H27" s="4">
        <f t="shared" si="1"/>
        <v>12064</v>
      </c>
      <c r="I27" s="4">
        <f>ROUND(H27*I17,0)</f>
        <v>10254</v>
      </c>
      <c r="J27" s="4">
        <f>H27-I27</f>
        <v>1810</v>
      </c>
      <c r="K27" s="4">
        <f t="shared" si="2"/>
        <v>1000</v>
      </c>
      <c r="L27" s="4">
        <f t="shared" si="2"/>
        <v>534</v>
      </c>
      <c r="M27" s="4">
        <f t="shared" si="2"/>
        <v>276</v>
      </c>
      <c r="N27" s="4">
        <f>SUM(K27:M27)</f>
        <v>1810</v>
      </c>
    </row>
    <row r="28" spans="2:14" x14ac:dyDescent="0.15">
      <c r="B28" s="11">
        <v>5</v>
      </c>
      <c r="C28" t="s">
        <v>35</v>
      </c>
      <c r="G28" s="6">
        <v>5</v>
      </c>
      <c r="H28" s="4">
        <f t="shared" si="1"/>
        <v>8847</v>
      </c>
      <c r="I28" s="4">
        <f>ROUND(H28*I18,0)</f>
        <v>7520</v>
      </c>
      <c r="J28" s="4">
        <f>H28-I28</f>
        <v>1327</v>
      </c>
      <c r="K28" s="4">
        <f t="shared" si="2"/>
        <v>645</v>
      </c>
      <c r="L28" s="4">
        <f t="shared" si="2"/>
        <v>569</v>
      </c>
      <c r="M28" s="4">
        <f t="shared" si="2"/>
        <v>114</v>
      </c>
      <c r="N28" s="4">
        <f>SUM(K28:M28)</f>
        <v>1328</v>
      </c>
    </row>
    <row r="29" spans="2:14" x14ac:dyDescent="0.15">
      <c r="B29" s="11">
        <v>6</v>
      </c>
      <c r="C29" t="s">
        <v>36</v>
      </c>
      <c r="G29" s="6">
        <v>6</v>
      </c>
      <c r="H29" s="4">
        <f t="shared" si="1"/>
        <v>15080</v>
      </c>
      <c r="I29" s="4">
        <f>ROUND(H29*I19,0)</f>
        <v>12818</v>
      </c>
      <c r="J29" s="4">
        <f>H29-I29</f>
        <v>2262</v>
      </c>
      <c r="K29" s="4">
        <f t="shared" si="2"/>
        <v>1037</v>
      </c>
      <c r="L29" s="4">
        <f t="shared" si="2"/>
        <v>1037</v>
      </c>
      <c r="M29" s="4">
        <f t="shared" si="2"/>
        <v>189</v>
      </c>
      <c r="N29" s="4">
        <f>SUM(K29:M29)</f>
        <v>2263</v>
      </c>
    </row>
    <row r="30" spans="2:14" x14ac:dyDescent="0.15">
      <c r="G30" s="6" t="s">
        <v>25</v>
      </c>
      <c r="H30" s="4">
        <f t="shared" si="1"/>
        <v>50769</v>
      </c>
      <c r="I30" s="4">
        <f>SUM(I25:I29)</f>
        <v>43153</v>
      </c>
      <c r="J30" s="4">
        <f>SUM(J25:J29)</f>
        <v>7616</v>
      </c>
      <c r="K30" s="4">
        <f>SUM(K25:K29)</f>
        <v>3338</v>
      </c>
      <c r="L30" s="4">
        <f>SUM(L25:L29)</f>
        <v>2615</v>
      </c>
      <c r="M30" s="4">
        <f>SUM(M25:M29)</f>
        <v>1665</v>
      </c>
      <c r="N30" s="4">
        <f>SUM(K30:M30)</f>
        <v>7618</v>
      </c>
    </row>
    <row r="31" spans="2:14" x14ac:dyDescent="0.15">
      <c r="G31" s="3"/>
      <c r="H31" s="5"/>
      <c r="I31" s="5"/>
      <c r="J31" s="5"/>
      <c r="K31" s="5"/>
      <c r="L31" s="5"/>
      <c r="M31" s="5"/>
    </row>
    <row r="32" spans="2:14" x14ac:dyDescent="0.15">
      <c r="G32" s="1" t="s">
        <v>37</v>
      </c>
    </row>
    <row r="33" spans="2:14" x14ac:dyDescent="0.15">
      <c r="B33" s="11" t="s">
        <v>13</v>
      </c>
      <c r="C33" s="12" t="s">
        <v>38</v>
      </c>
      <c r="G33" s="6" t="s">
        <v>13</v>
      </c>
      <c r="H33" s="2" t="s">
        <v>27</v>
      </c>
      <c r="I33" s="7" t="s">
        <v>28</v>
      </c>
      <c r="J33" s="8" t="s">
        <v>29</v>
      </c>
      <c r="K33" s="9" t="s">
        <v>30</v>
      </c>
      <c r="L33" s="9" t="s">
        <v>22</v>
      </c>
      <c r="M33" s="9" t="s">
        <v>23</v>
      </c>
      <c r="N33" s="9" t="s">
        <v>31</v>
      </c>
    </row>
    <row r="34" spans="2:14" x14ac:dyDescent="0.15">
      <c r="B34" s="11">
        <v>23</v>
      </c>
      <c r="C34" t="s">
        <v>39</v>
      </c>
      <c r="G34" s="6">
        <v>1</v>
      </c>
      <c r="H34" s="4">
        <f t="shared" ref="H34:H39" si="3">F15</f>
        <v>0</v>
      </c>
      <c r="I34" s="4">
        <f>ROUND(H34*I15,0)</f>
        <v>0</v>
      </c>
      <c r="J34" s="4">
        <f>H34-I34</f>
        <v>0</v>
      </c>
      <c r="K34" s="4">
        <f t="shared" ref="K34:M38" si="4">ROUND($J34*K15,0)</f>
        <v>0</v>
      </c>
      <c r="L34" s="4">
        <f t="shared" si="4"/>
        <v>0</v>
      </c>
      <c r="M34" s="4">
        <f t="shared" si="4"/>
        <v>0</v>
      </c>
      <c r="N34" s="4"/>
    </row>
    <row r="35" spans="2:14" x14ac:dyDescent="0.15">
      <c r="B35" s="11">
        <v>4</v>
      </c>
      <c r="C35" t="s">
        <v>34</v>
      </c>
      <c r="G35" s="6">
        <v>23</v>
      </c>
      <c r="H35" s="4">
        <f t="shared" si="3"/>
        <v>51171</v>
      </c>
      <c r="I35" s="4">
        <f>ROUND(H35*I16,0)</f>
        <v>43495</v>
      </c>
      <c r="J35" s="4">
        <f>H35-I35</f>
        <v>7676</v>
      </c>
      <c r="K35" s="4">
        <f t="shared" si="4"/>
        <v>2271</v>
      </c>
      <c r="L35" s="4">
        <f t="shared" si="4"/>
        <v>1645</v>
      </c>
      <c r="M35" s="4">
        <f t="shared" si="4"/>
        <v>3760</v>
      </c>
      <c r="N35" s="4">
        <f>SUM(K35:M35)</f>
        <v>7676</v>
      </c>
    </row>
    <row r="36" spans="2:14" x14ac:dyDescent="0.15">
      <c r="B36" s="11">
        <v>5</v>
      </c>
      <c r="C36" t="s">
        <v>40</v>
      </c>
      <c r="G36" s="6">
        <v>4</v>
      </c>
      <c r="H36" s="4">
        <f t="shared" si="3"/>
        <v>41773</v>
      </c>
      <c r="I36" s="4">
        <f>ROUND(H36*I17,0)</f>
        <v>35507</v>
      </c>
      <c r="J36" s="4">
        <f>H36-I36</f>
        <v>6266</v>
      </c>
      <c r="K36" s="4">
        <f t="shared" si="4"/>
        <v>3461</v>
      </c>
      <c r="L36" s="4">
        <f t="shared" si="4"/>
        <v>1850</v>
      </c>
      <c r="M36" s="4">
        <f t="shared" si="4"/>
        <v>955</v>
      </c>
      <c r="N36" s="4">
        <f>SUM(K36:M36)</f>
        <v>6266</v>
      </c>
    </row>
    <row r="37" spans="2:14" x14ac:dyDescent="0.15">
      <c r="B37" s="11">
        <v>6</v>
      </c>
      <c r="C37" t="s">
        <v>41</v>
      </c>
      <c r="G37" s="6">
        <v>5</v>
      </c>
      <c r="H37" s="4">
        <f t="shared" si="3"/>
        <v>30633</v>
      </c>
      <c r="I37" s="4">
        <f>ROUND(H37*I18,0)</f>
        <v>26038</v>
      </c>
      <c r="J37" s="4">
        <f>H37-I37</f>
        <v>4595</v>
      </c>
      <c r="K37" s="4">
        <f t="shared" si="4"/>
        <v>2232</v>
      </c>
      <c r="L37" s="4">
        <f t="shared" si="4"/>
        <v>1969</v>
      </c>
      <c r="M37" s="4">
        <f t="shared" si="4"/>
        <v>394</v>
      </c>
      <c r="N37" s="4">
        <f>SUM(K37:M37)</f>
        <v>4595</v>
      </c>
    </row>
    <row r="38" spans="2:14" x14ac:dyDescent="0.15">
      <c r="G38" s="6">
        <v>6</v>
      </c>
      <c r="H38" s="4">
        <f t="shared" si="3"/>
        <v>52216</v>
      </c>
      <c r="I38" s="4">
        <f>ROUND(H38*I19,0)</f>
        <v>44384</v>
      </c>
      <c r="J38" s="4">
        <f>H38-I38</f>
        <v>7832</v>
      </c>
      <c r="K38" s="4">
        <f t="shared" si="4"/>
        <v>3590</v>
      </c>
      <c r="L38" s="4">
        <f t="shared" si="4"/>
        <v>3590</v>
      </c>
      <c r="M38" s="4">
        <f t="shared" si="4"/>
        <v>653</v>
      </c>
      <c r="N38" s="4">
        <f>SUM(K38:M38)</f>
        <v>7833</v>
      </c>
    </row>
    <row r="39" spans="2:14" x14ac:dyDescent="0.15">
      <c r="G39" s="6" t="s">
        <v>25</v>
      </c>
      <c r="H39" s="4">
        <f t="shared" si="3"/>
        <v>175793</v>
      </c>
      <c r="I39" s="4">
        <f>SUM(I34:I38)</f>
        <v>149424</v>
      </c>
      <c r="J39" s="4">
        <f>SUM(J34:J38)</f>
        <v>26369</v>
      </c>
      <c r="K39" s="4">
        <f>SUM(K34:K38)</f>
        <v>11554</v>
      </c>
      <c r="L39" s="4">
        <f>SUM(L34:L38)</f>
        <v>9054</v>
      </c>
      <c r="M39" s="4">
        <f>SUM(M34:M38)</f>
        <v>5762</v>
      </c>
      <c r="N39" s="4">
        <f>SUM(K39:M39)</f>
        <v>26370</v>
      </c>
    </row>
    <row r="41" spans="2:14" x14ac:dyDescent="0.15">
      <c r="G41" s="1" t="s">
        <v>42</v>
      </c>
    </row>
    <row r="42" spans="2:14" x14ac:dyDescent="0.15">
      <c r="G42" s="6" t="s">
        <v>13</v>
      </c>
      <c r="H42" s="2" t="s">
        <v>27</v>
      </c>
      <c r="I42" s="7" t="s">
        <v>28</v>
      </c>
      <c r="J42" s="8" t="s">
        <v>29</v>
      </c>
      <c r="K42" s="9" t="s">
        <v>30</v>
      </c>
      <c r="L42" s="9" t="s">
        <v>22</v>
      </c>
      <c r="M42" s="9" t="s">
        <v>23</v>
      </c>
      <c r="N42" s="9" t="s">
        <v>31</v>
      </c>
    </row>
    <row r="43" spans="2:14" x14ac:dyDescent="0.15">
      <c r="G43" s="6">
        <v>1</v>
      </c>
      <c r="H43" s="4">
        <f t="shared" ref="H43:H48" si="5">G15</f>
        <v>0</v>
      </c>
      <c r="I43" s="4">
        <f>ROUND(H43*I15,0)</f>
        <v>0</v>
      </c>
      <c r="J43" s="4">
        <f>H43-I43</f>
        <v>0</v>
      </c>
      <c r="K43" s="4">
        <f>ROUND($J43*K15,0)</f>
        <v>0</v>
      </c>
      <c r="L43" s="4">
        <f>ROUND($J43*L15,0)</f>
        <v>0</v>
      </c>
      <c r="M43" s="4">
        <f>ROUND($J43*M15,0)</f>
        <v>0</v>
      </c>
      <c r="N43" s="4">
        <f>ROUND($J43*N15,0)</f>
        <v>0</v>
      </c>
    </row>
    <row r="44" spans="2:14" x14ac:dyDescent="0.15">
      <c r="G44" s="6">
        <v>23</v>
      </c>
      <c r="H44" s="4">
        <f t="shared" si="5"/>
        <v>65949</v>
      </c>
      <c r="I44" s="4">
        <f>ROUND(H44*I16,0)</f>
        <v>56057</v>
      </c>
      <c r="J44" s="4">
        <f>H44-I44</f>
        <v>9892</v>
      </c>
      <c r="K44" s="4">
        <f t="shared" ref="K44:M47" si="6">ROUND($J44*K16,0)</f>
        <v>2927</v>
      </c>
      <c r="L44" s="4">
        <f t="shared" si="6"/>
        <v>2120</v>
      </c>
      <c r="M44" s="4">
        <f t="shared" si="6"/>
        <v>4845</v>
      </c>
      <c r="N44" s="4">
        <f>SUM(K44:M44)</f>
        <v>9892</v>
      </c>
    </row>
    <row r="45" spans="2:14" x14ac:dyDescent="0.15">
      <c r="G45" s="6">
        <v>4</v>
      </c>
      <c r="H45" s="4">
        <f t="shared" si="5"/>
        <v>53837</v>
      </c>
      <c r="I45" s="4">
        <f>ROUND(H45*I17,0)</f>
        <v>45761</v>
      </c>
      <c r="J45" s="4">
        <f>H45-I45</f>
        <v>8076</v>
      </c>
      <c r="K45" s="4">
        <f t="shared" si="6"/>
        <v>4461</v>
      </c>
      <c r="L45" s="4">
        <f t="shared" si="6"/>
        <v>2384</v>
      </c>
      <c r="M45" s="4">
        <f t="shared" si="6"/>
        <v>1231</v>
      </c>
      <c r="N45" s="4">
        <f>SUM(K45:M45)</f>
        <v>8076</v>
      </c>
    </row>
    <row r="46" spans="2:14" x14ac:dyDescent="0.15">
      <c r="G46" s="6">
        <v>5</v>
      </c>
      <c r="H46" s="4">
        <f t="shared" si="5"/>
        <v>39480</v>
      </c>
      <c r="I46" s="4">
        <f>ROUND(H46*I18,0)</f>
        <v>33558</v>
      </c>
      <c r="J46" s="4">
        <f>H46-I46</f>
        <v>5922</v>
      </c>
      <c r="K46" s="4">
        <f t="shared" si="6"/>
        <v>2876</v>
      </c>
      <c r="L46" s="4">
        <f t="shared" si="6"/>
        <v>2538</v>
      </c>
      <c r="M46" s="4">
        <f t="shared" si="6"/>
        <v>508</v>
      </c>
      <c r="N46" s="4">
        <f>SUM(K46:M46)</f>
        <v>5922</v>
      </c>
    </row>
    <row r="47" spans="2:14" x14ac:dyDescent="0.15">
      <c r="G47" s="6">
        <v>6</v>
      </c>
      <c r="H47" s="4">
        <f t="shared" si="5"/>
        <v>67296</v>
      </c>
      <c r="I47" s="4">
        <f>ROUND(H47*I19,0)</f>
        <v>57202</v>
      </c>
      <c r="J47" s="4">
        <f>H47-I47</f>
        <v>10094</v>
      </c>
      <c r="K47" s="4">
        <f t="shared" si="6"/>
        <v>4626</v>
      </c>
      <c r="L47" s="4">
        <f t="shared" si="6"/>
        <v>4626</v>
      </c>
      <c r="M47" s="4">
        <f t="shared" si="6"/>
        <v>841</v>
      </c>
      <c r="N47" s="4">
        <f>SUM(K47:M47)</f>
        <v>10093</v>
      </c>
    </row>
    <row r="48" spans="2:14" x14ac:dyDescent="0.15">
      <c r="G48" s="6" t="s">
        <v>25</v>
      </c>
      <c r="H48" s="4">
        <f t="shared" si="5"/>
        <v>226562</v>
      </c>
      <c r="I48" s="4">
        <f t="shared" ref="I48:N48" si="7">SUM(I43:I47)</f>
        <v>192578</v>
      </c>
      <c r="J48" s="4">
        <f t="shared" si="7"/>
        <v>33984</v>
      </c>
      <c r="K48" s="4">
        <f t="shared" si="7"/>
        <v>14890</v>
      </c>
      <c r="L48" s="4">
        <f t="shared" si="7"/>
        <v>11668</v>
      </c>
      <c r="M48" s="4">
        <f t="shared" si="7"/>
        <v>7425</v>
      </c>
      <c r="N48" s="4">
        <f t="shared" si="7"/>
        <v>33983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2" sqref="B2"/>
    </sheetView>
  </sheetViews>
  <sheetFormatPr baseColWidth="10" defaultColWidth="8.83203125" defaultRowHeight="13" x14ac:dyDescent="0.1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cell counts</vt:lpstr>
      <vt:lpstr>Sheet2</vt:lpstr>
      <vt:lpstr>Sheet3</vt:lpstr>
    </vt:vector>
  </TitlesOfParts>
  <Company>Allen Institute for Brain Science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Sergey Gratiy</dc:creator>
  <dc:description/>
  <cp:lastModifiedBy>Anton Arkhipov</cp:lastModifiedBy>
  <cp:revision>2</cp:revision>
  <dcterms:created xsi:type="dcterms:W3CDTF">2015-04-30T06:01:46Z</dcterms:created>
  <dcterms:modified xsi:type="dcterms:W3CDTF">2020-08-10T22:24:41Z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Allen Institute for Brain Science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