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ge B14\Desktop\"/>
    </mc:Choice>
  </mc:AlternateContent>
  <xr:revisionPtr revIDLastSave="0" documentId="13_ncr:1_{749777B8-F891-438D-B7D0-E4DBE5EB750F}" xr6:coauthVersionLast="46" xr6:coauthVersionMax="46" xr10:uidLastSave="{00000000-0000-0000-0000-000000000000}"/>
  <bookViews>
    <workbookView xWindow="-120" yWindow="-120" windowWidth="29040" windowHeight="15840" tabRatio="618" xr2:uid="{00000000-000D-0000-FFFF-FFFF00000000}"/>
  </bookViews>
  <sheets>
    <sheet name="Exercise LED Question" sheetId="3" r:id="rId1"/>
    <sheet name="Exercise LED O&amp;M Q" sheetId="4" r:id="rId2"/>
    <sheet name="O&amp;M Solutions" sheetId="2" r:id="rId3"/>
    <sheet name="Exercise solution" sheetId="1" state="hidden" r:id="rId4"/>
    <sheet name="Exercise O&amp;M" sheetId="5" r:id="rId5"/>
    <sheet name="Exercise &amp; solution" sheetId="6" state="hidden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18" i="3"/>
  <c r="D12" i="3"/>
  <c r="Z27" i="3"/>
  <c r="Z26" i="3"/>
  <c r="D33" i="3"/>
  <c r="D30" i="3"/>
  <c r="D17" i="3"/>
  <c r="D11" i="3"/>
  <c r="D7" i="5"/>
  <c r="E6" i="5"/>
  <c r="D6" i="5"/>
  <c r="E8" i="6"/>
  <c r="E8" i="3"/>
  <c r="D11" i="1" l="1"/>
  <c r="D12" i="1"/>
  <c r="D18" i="1" s="1"/>
  <c r="D7" i="2"/>
  <c r="K27" i="6"/>
  <c r="L27" i="6" s="1"/>
  <c r="M27" i="6" s="1"/>
  <c r="N27" i="6" s="1"/>
  <c r="O27" i="6" s="1"/>
  <c r="P27" i="6" s="1"/>
  <c r="Q27" i="6" s="1"/>
  <c r="R27" i="6" s="1"/>
  <c r="S27" i="6" s="1"/>
  <c r="T27" i="6" s="1"/>
  <c r="U27" i="6" s="1"/>
  <c r="V27" i="6" s="1"/>
  <c r="W27" i="6" s="1"/>
  <c r="X27" i="6" s="1"/>
  <c r="Y27" i="6" s="1"/>
  <c r="K26" i="6"/>
  <c r="L26" i="6" s="1"/>
  <c r="M26" i="6" s="1"/>
  <c r="N26" i="6" s="1"/>
  <c r="O26" i="6" s="1"/>
  <c r="P26" i="6" s="1"/>
  <c r="Q26" i="6" s="1"/>
  <c r="R26" i="6" s="1"/>
  <c r="S26" i="6" s="1"/>
  <c r="T26" i="6" s="1"/>
  <c r="U26" i="6" s="1"/>
  <c r="V26" i="6" s="1"/>
  <c r="W26" i="6" s="1"/>
  <c r="X26" i="6" s="1"/>
  <c r="Y26" i="6" s="1"/>
  <c r="E11" i="5"/>
  <c r="D11" i="5"/>
  <c r="D12" i="5"/>
  <c r="D13" i="5" s="1"/>
  <c r="D10" i="5"/>
  <c r="E8" i="5"/>
  <c r="D8" i="5"/>
  <c r="D4" i="5"/>
  <c r="D11" i="6" s="1"/>
  <c r="D11" i="2"/>
  <c r="E10" i="2"/>
  <c r="E8" i="2"/>
  <c r="E4" i="2"/>
  <c r="E7" i="2" s="1"/>
  <c r="X82" i="6"/>
  <c r="U56" i="6"/>
  <c r="T55" i="6"/>
  <c r="T54" i="6"/>
  <c r="M82" i="6"/>
  <c r="K56" i="6"/>
  <c r="M56" i="6"/>
  <c r="J55" i="6"/>
  <c r="K55" i="6" s="1"/>
  <c r="M55" i="6" s="1"/>
  <c r="J54" i="6"/>
  <c r="J53" i="6" s="1"/>
  <c r="E35" i="6"/>
  <c r="I28" i="6"/>
  <c r="E24" i="6"/>
  <c r="E23" i="6"/>
  <c r="E20" i="6"/>
  <c r="E19" i="6"/>
  <c r="E18" i="6"/>
  <c r="E17" i="6"/>
  <c r="J14" i="6"/>
  <c r="J15" i="6"/>
  <c r="E14" i="6"/>
  <c r="J10" i="6"/>
  <c r="J11" i="6" s="1"/>
  <c r="J12" i="6" s="1"/>
  <c r="I4" i="6"/>
  <c r="E10" i="5"/>
  <c r="T53" i="6"/>
  <c r="U53" i="6" s="1"/>
  <c r="U54" i="6"/>
  <c r="U55" i="6"/>
  <c r="E18" i="3"/>
  <c r="E17" i="3"/>
  <c r="K56" i="1"/>
  <c r="M56" i="1"/>
  <c r="J55" i="1"/>
  <c r="K55" i="1" s="1"/>
  <c r="M55" i="1" s="1"/>
  <c r="E18" i="1"/>
  <c r="E34" i="3"/>
  <c r="I28" i="3"/>
  <c r="K27" i="3"/>
  <c r="L27" i="3"/>
  <c r="M27" i="3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K26" i="3"/>
  <c r="L26" i="3"/>
  <c r="M26" i="3"/>
  <c r="N26" i="3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E24" i="3"/>
  <c r="E23" i="3"/>
  <c r="E20" i="3"/>
  <c r="E19" i="3"/>
  <c r="J14" i="3"/>
  <c r="J15" i="3"/>
  <c r="E14" i="3"/>
  <c r="D13" i="3"/>
  <c r="D14" i="3" s="1"/>
  <c r="D19" i="3"/>
  <c r="D20" i="3" s="1"/>
  <c r="J10" i="3"/>
  <c r="J11" i="3"/>
  <c r="J12" i="3"/>
  <c r="I4" i="3"/>
  <c r="J3" i="3"/>
  <c r="M82" i="1"/>
  <c r="F28" i="4"/>
  <c r="D11" i="4"/>
  <c r="E10" i="4"/>
  <c r="E8" i="4"/>
  <c r="D7" i="4"/>
  <c r="E4" i="4"/>
  <c r="K13" i="3" s="1"/>
  <c r="J30" i="3" s="1"/>
  <c r="J31" i="3" s="1"/>
  <c r="F28" i="2"/>
  <c r="X82" i="1"/>
  <c r="U56" i="1"/>
  <c r="U55" i="1"/>
  <c r="U54" i="1"/>
  <c r="U53" i="1"/>
  <c r="U52" i="1"/>
  <c r="U51" i="1"/>
  <c r="U49" i="1"/>
  <c r="U48" i="1"/>
  <c r="U47" i="1"/>
  <c r="U46" i="1"/>
  <c r="U45" i="1"/>
  <c r="U44" i="1"/>
  <c r="E34" i="1"/>
  <c r="I28" i="1"/>
  <c r="K27" i="1"/>
  <c r="L27" i="1"/>
  <c r="M27" i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K26" i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E24" i="1"/>
  <c r="E23" i="1"/>
  <c r="E20" i="1"/>
  <c r="E19" i="1"/>
  <c r="E17" i="1"/>
  <c r="J14" i="1"/>
  <c r="J15" i="1"/>
  <c r="J10" i="1"/>
  <c r="J11" i="1"/>
  <c r="J12" i="1" s="1"/>
  <c r="E8" i="1"/>
  <c r="E7" i="1"/>
  <c r="I4" i="1"/>
  <c r="E7" i="5"/>
  <c r="E12" i="5" l="1"/>
  <c r="D12" i="6"/>
  <c r="D18" i="6" s="1"/>
  <c r="E11" i="2"/>
  <c r="E12" i="2" s="1"/>
  <c r="D13" i="1"/>
  <c r="D14" i="1" s="1"/>
  <c r="E13" i="5"/>
  <c r="K13" i="1"/>
  <c r="J30" i="1" s="1"/>
  <c r="J31" i="1" s="1"/>
  <c r="J32" i="1" s="1"/>
  <c r="D9" i="5"/>
  <c r="D14" i="5" s="1"/>
  <c r="D12" i="2"/>
  <c r="E4" i="5"/>
  <c r="D17" i="6" s="1"/>
  <c r="D19" i="6" s="1"/>
  <c r="D20" i="6" s="1"/>
  <c r="E11" i="4"/>
  <c r="E7" i="4"/>
  <c r="D12" i="4"/>
  <c r="D23" i="3"/>
  <c r="D34" i="3" s="1"/>
  <c r="D25" i="3"/>
  <c r="J32" i="3"/>
  <c r="K53" i="6"/>
  <c r="M53" i="6" s="1"/>
  <c r="J52" i="6"/>
  <c r="T52" i="6"/>
  <c r="K54" i="6"/>
  <c r="M54" i="6" s="1"/>
  <c r="E9" i="5"/>
  <c r="J54" i="1"/>
  <c r="D17" i="1"/>
  <c r="D19" i="1" s="1"/>
  <c r="D13" i="6" l="1"/>
  <c r="D14" i="6" s="1"/>
  <c r="D25" i="6" s="1"/>
  <c r="E14" i="5"/>
  <c r="D31" i="6" s="1"/>
  <c r="K13" i="6" s="1"/>
  <c r="J30" i="6" s="1"/>
  <c r="J31" i="6" s="1"/>
  <c r="J32" i="6" s="1"/>
  <c r="E13" i="2"/>
  <c r="D26" i="1" s="1"/>
  <c r="K14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D23" i="6"/>
  <c r="D24" i="6" s="1"/>
  <c r="K9" i="6" s="1"/>
  <c r="E12" i="4"/>
  <c r="E13" i="4" s="1"/>
  <c r="D24" i="3"/>
  <c r="K9" i="3" s="1"/>
  <c r="J53" i="1"/>
  <c r="K54" i="1"/>
  <c r="M54" i="1" s="1"/>
  <c r="J51" i="6"/>
  <c r="K52" i="6"/>
  <c r="M52" i="6" s="1"/>
  <c r="T51" i="6"/>
  <c r="U52" i="6"/>
  <c r="D20" i="1"/>
  <c r="D25" i="1" s="1"/>
  <c r="D23" i="1"/>
  <c r="E15" i="5" l="1"/>
  <c r="D26" i="6" s="1"/>
  <c r="K14" i="6" s="1"/>
  <c r="K11" i="6" s="1"/>
  <c r="D26" i="3"/>
  <c r="K14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K11" i="3"/>
  <c r="K25" i="3" s="1"/>
  <c r="D35" i="6"/>
  <c r="K53" i="1"/>
  <c r="M53" i="1" s="1"/>
  <c r="J52" i="1"/>
  <c r="T50" i="6"/>
  <c r="U51" i="6"/>
  <c r="D34" i="1"/>
  <c r="D24" i="1"/>
  <c r="K51" i="6"/>
  <c r="M51" i="6" s="1"/>
  <c r="J50" i="6"/>
  <c r="D27" i="3" l="1"/>
  <c r="R10" i="3"/>
  <c r="K28" i="6"/>
  <c r="L28" i="6" s="1"/>
  <c r="M28" i="6" s="1"/>
  <c r="N28" i="6" s="1"/>
  <c r="O28" i="6" s="1"/>
  <c r="P28" i="6" s="1"/>
  <c r="Q28" i="6" s="1"/>
  <c r="R28" i="6" s="1"/>
  <c r="S28" i="6" s="1"/>
  <c r="T28" i="6" s="1"/>
  <c r="U28" i="6" s="1"/>
  <c r="V28" i="6" s="1"/>
  <c r="W28" i="6" s="1"/>
  <c r="X28" i="6" s="1"/>
  <c r="Y28" i="6" s="1"/>
  <c r="D27" i="6"/>
  <c r="K9" i="1"/>
  <c r="K11" i="1" s="1"/>
  <c r="D27" i="1"/>
  <c r="K29" i="3"/>
  <c r="K31" i="3" s="1"/>
  <c r="L25" i="3"/>
  <c r="U50" i="6"/>
  <c r="T49" i="6"/>
  <c r="J49" i="6"/>
  <c r="K50" i="6"/>
  <c r="M50" i="6" s="1"/>
  <c r="K52" i="1"/>
  <c r="M52" i="1" s="1"/>
  <c r="J51" i="1"/>
  <c r="K25" i="6"/>
  <c r="R10" i="6"/>
  <c r="J48" i="6" l="1"/>
  <c r="K49" i="6"/>
  <c r="M49" i="6" s="1"/>
  <c r="L29" i="3"/>
  <c r="L31" i="3" s="1"/>
  <c r="L32" i="3" s="1"/>
  <c r="M25" i="3"/>
  <c r="T48" i="6"/>
  <c r="U49" i="6"/>
  <c r="K32" i="3"/>
  <c r="J50" i="1"/>
  <c r="K51" i="1"/>
  <c r="M51" i="1" s="1"/>
  <c r="R10" i="1"/>
  <c r="K25" i="1"/>
  <c r="K29" i="6"/>
  <c r="K31" i="6" s="1"/>
  <c r="K32" i="6" s="1"/>
  <c r="L25" i="6"/>
  <c r="T47" i="6" l="1"/>
  <c r="U48" i="6"/>
  <c r="N25" i="3"/>
  <c r="M29" i="3"/>
  <c r="M31" i="3" s="1"/>
  <c r="K29" i="1"/>
  <c r="K31" i="1" s="1"/>
  <c r="K32" i="1" s="1"/>
  <c r="L25" i="1"/>
  <c r="J49" i="1"/>
  <c r="K50" i="1"/>
  <c r="M50" i="1" s="1"/>
  <c r="J47" i="6"/>
  <c r="K48" i="6"/>
  <c r="M48" i="6" s="1"/>
  <c r="L29" i="6"/>
  <c r="L31" i="6" s="1"/>
  <c r="L32" i="6" s="1"/>
  <c r="M25" i="6"/>
  <c r="O25" i="3" l="1"/>
  <c r="N29" i="3"/>
  <c r="N31" i="3" s="1"/>
  <c r="N32" i="3" s="1"/>
  <c r="M25" i="1"/>
  <c r="L29" i="1"/>
  <c r="L31" i="1" s="1"/>
  <c r="L32" i="1" s="1"/>
  <c r="M32" i="3"/>
  <c r="J46" i="6"/>
  <c r="K47" i="6"/>
  <c r="M47" i="6" s="1"/>
  <c r="K49" i="1"/>
  <c r="M49" i="1" s="1"/>
  <c r="J48" i="1"/>
  <c r="T46" i="6"/>
  <c r="U47" i="6"/>
  <c r="M29" i="6"/>
  <c r="M31" i="6" s="1"/>
  <c r="M32" i="6" s="1"/>
  <c r="N25" i="6"/>
  <c r="J45" i="6" l="1"/>
  <c r="K46" i="6"/>
  <c r="M46" i="6" s="1"/>
  <c r="T45" i="6"/>
  <c r="U46" i="6"/>
  <c r="M29" i="1"/>
  <c r="M31" i="1" s="1"/>
  <c r="M32" i="1" s="1"/>
  <c r="N25" i="1"/>
  <c r="J47" i="1"/>
  <c r="K48" i="1"/>
  <c r="M48" i="1" s="1"/>
  <c r="P25" i="3"/>
  <c r="O29" i="3"/>
  <c r="O31" i="3" s="1"/>
  <c r="O25" i="6"/>
  <c r="N29" i="6"/>
  <c r="N31" i="6" s="1"/>
  <c r="N32" i="6" s="1"/>
  <c r="O25" i="1" l="1"/>
  <c r="N29" i="1"/>
  <c r="N31" i="1" s="1"/>
  <c r="N32" i="1" s="1"/>
  <c r="O32" i="3"/>
  <c r="P29" i="3"/>
  <c r="P31" i="3" s="1"/>
  <c r="P32" i="3" s="1"/>
  <c r="Q25" i="3"/>
  <c r="T44" i="6"/>
  <c r="U44" i="6" s="1"/>
  <c r="U45" i="6"/>
  <c r="K47" i="1"/>
  <c r="M47" i="1" s="1"/>
  <c r="J46" i="1"/>
  <c r="K45" i="6"/>
  <c r="M45" i="6" s="1"/>
  <c r="J44" i="6"/>
  <c r="K44" i="6" s="1"/>
  <c r="M44" i="6" s="1"/>
  <c r="P25" i="6"/>
  <c r="O29" i="6"/>
  <c r="O31" i="6" s="1"/>
  <c r="O32" i="6" s="1"/>
  <c r="R25" i="3" l="1"/>
  <c r="Q29" i="3"/>
  <c r="Q31" i="3" s="1"/>
  <c r="Q32" i="3" s="1"/>
  <c r="J45" i="1"/>
  <c r="K46" i="1"/>
  <c r="M46" i="1" s="1"/>
  <c r="P25" i="1"/>
  <c r="O29" i="1"/>
  <c r="O31" i="1" s="1"/>
  <c r="O32" i="1" s="1"/>
  <c r="P29" i="6"/>
  <c r="P31" i="6" s="1"/>
  <c r="P32" i="6" s="1"/>
  <c r="Q25" i="6"/>
  <c r="P29" i="1" l="1"/>
  <c r="P31" i="1" s="1"/>
  <c r="P32" i="1" s="1"/>
  <c r="Q25" i="1"/>
  <c r="K45" i="1"/>
  <c r="M45" i="1" s="1"/>
  <c r="J44" i="1"/>
  <c r="K44" i="1" s="1"/>
  <c r="M44" i="1" s="1"/>
  <c r="S25" i="3"/>
  <c r="R29" i="3"/>
  <c r="R31" i="3" s="1"/>
  <c r="R32" i="3" s="1"/>
  <c r="R25" i="6"/>
  <c r="Q29" i="6"/>
  <c r="Q31" i="6" s="1"/>
  <c r="Q32" i="6" s="1"/>
  <c r="T25" i="3" l="1"/>
  <c r="S29" i="3"/>
  <c r="S31" i="3" s="1"/>
  <c r="S32" i="3" s="1"/>
  <c r="R25" i="1"/>
  <c r="Q29" i="1"/>
  <c r="Q31" i="1" s="1"/>
  <c r="Q32" i="1" s="1"/>
  <c r="S25" i="6"/>
  <c r="R29" i="6"/>
  <c r="R31" i="6" s="1"/>
  <c r="R32" i="6" s="1"/>
  <c r="T29" i="3" l="1"/>
  <c r="T31" i="3" s="1"/>
  <c r="T32" i="3" s="1"/>
  <c r="U25" i="3"/>
  <c r="R29" i="1"/>
  <c r="R31" i="1" s="1"/>
  <c r="R32" i="1" s="1"/>
  <c r="S25" i="1"/>
  <c r="T25" i="6"/>
  <c r="S29" i="6"/>
  <c r="S31" i="6" s="1"/>
  <c r="S32" i="6" s="1"/>
  <c r="V25" i="3" l="1"/>
  <c r="U29" i="3"/>
  <c r="U31" i="3" s="1"/>
  <c r="U32" i="3" s="1"/>
  <c r="S29" i="1"/>
  <c r="S31" i="1" s="1"/>
  <c r="S32" i="1" s="1"/>
  <c r="T25" i="1"/>
  <c r="U25" i="6"/>
  <c r="T29" i="6"/>
  <c r="T31" i="6" s="1"/>
  <c r="T32" i="6" s="1"/>
  <c r="T29" i="1" l="1"/>
  <c r="T31" i="1" s="1"/>
  <c r="T32" i="1" s="1"/>
  <c r="U25" i="1"/>
  <c r="W25" i="3"/>
  <c r="V29" i="3"/>
  <c r="V31" i="3" s="1"/>
  <c r="V32" i="3" s="1"/>
  <c r="V25" i="6"/>
  <c r="U29" i="6"/>
  <c r="U31" i="6" s="1"/>
  <c r="U32" i="6" s="1"/>
  <c r="X25" i="3" l="1"/>
  <c r="W29" i="3"/>
  <c r="W31" i="3" s="1"/>
  <c r="W32" i="3" s="1"/>
  <c r="U29" i="1"/>
  <c r="U31" i="1" s="1"/>
  <c r="U32" i="1" s="1"/>
  <c r="V25" i="1"/>
  <c r="V29" i="6"/>
  <c r="V31" i="6" s="1"/>
  <c r="V32" i="6" s="1"/>
  <c r="W25" i="6"/>
  <c r="W25" i="1" l="1"/>
  <c r="V29" i="1"/>
  <c r="V31" i="1" s="1"/>
  <c r="X29" i="3"/>
  <c r="X31" i="3" s="1"/>
  <c r="X32" i="3" s="1"/>
  <c r="Y25" i="3"/>
  <c r="X25" i="6"/>
  <c r="W29" i="6"/>
  <c r="W31" i="6" s="1"/>
  <c r="Y29" i="3" l="1"/>
  <c r="Y31" i="3" s="1"/>
  <c r="Z25" i="3"/>
  <c r="Z29" i="3" s="1"/>
  <c r="Z31" i="3" s="1"/>
  <c r="Z32" i="3" s="1"/>
  <c r="Y32" i="3"/>
  <c r="R12" i="3"/>
  <c r="V32" i="1"/>
  <c r="W29" i="1"/>
  <c r="W31" i="1" s="1"/>
  <c r="W32" i="1" s="1"/>
  <c r="X25" i="1"/>
  <c r="W32" i="6"/>
  <c r="Y25" i="6"/>
  <c r="Y29" i="6" s="1"/>
  <c r="Y31" i="6" s="1"/>
  <c r="Y32" i="6" s="1"/>
  <c r="X29" i="6"/>
  <c r="X31" i="6" s="1"/>
  <c r="X32" i="6" s="1"/>
  <c r="X29" i="1" l="1"/>
  <c r="X31" i="1" s="1"/>
  <c r="X32" i="1" s="1"/>
  <c r="Y25" i="1"/>
  <c r="Y29" i="1" s="1"/>
  <c r="Y31" i="1" s="1"/>
  <c r="Y32" i="1" s="1"/>
  <c r="R9" i="3"/>
  <c r="R11" i="3"/>
  <c r="R12" i="6"/>
  <c r="V43" i="6" s="1"/>
  <c r="R9" i="6"/>
  <c r="R11" i="6"/>
  <c r="R9" i="1" l="1"/>
  <c r="V43" i="1" s="1"/>
  <c r="R11" i="1"/>
  <c r="R12" i="1"/>
  <c r="L43" i="1" s="1"/>
  <c r="L43" i="6"/>
</calcChain>
</file>

<file path=xl/sharedStrings.xml><?xml version="1.0" encoding="utf-8"?>
<sst xmlns="http://schemas.openxmlformats.org/spreadsheetml/2006/main" count="458" uniqueCount="143">
  <si>
    <t>CASH FLOW ANALYSIS</t>
  </si>
  <si>
    <t xml:space="preserve">Project No </t>
  </si>
  <si>
    <t>Replacement of lamps with LED</t>
  </si>
  <si>
    <t>SN</t>
  </si>
  <si>
    <t>AREA</t>
  </si>
  <si>
    <t>UNIT</t>
  </si>
  <si>
    <t>VALUE</t>
  </si>
  <si>
    <t>COMMENT</t>
  </si>
  <si>
    <t xml:space="preserve">Assumptions </t>
  </si>
  <si>
    <t>Key Input data</t>
  </si>
  <si>
    <t>Results</t>
  </si>
  <si>
    <t>a</t>
  </si>
  <si>
    <t>Electricity Tariff</t>
  </si>
  <si>
    <t>Cost/</t>
  </si>
  <si>
    <t>b</t>
  </si>
  <si>
    <t>Description</t>
  </si>
  <si>
    <t>Unit</t>
  </si>
  <si>
    <t>Benefit</t>
  </si>
  <si>
    <t>Value</t>
  </si>
  <si>
    <t>Saved electricity</t>
  </si>
  <si>
    <t>EUR</t>
  </si>
  <si>
    <t>Net Present Value (NPV)</t>
  </si>
  <si>
    <t>Present</t>
  </si>
  <si>
    <t>Saved fuel</t>
  </si>
  <si>
    <t>Pay-Back Period</t>
  </si>
  <si>
    <t>years</t>
  </si>
  <si>
    <t>c</t>
  </si>
  <si>
    <t>Electrical capacity  (T8 36W)</t>
  </si>
  <si>
    <t>kW</t>
  </si>
  <si>
    <t>Total Energy Saving</t>
  </si>
  <si>
    <t>Benefit Cost Ratio (BCR)</t>
  </si>
  <si>
    <t>d</t>
  </si>
  <si>
    <t>Average operating time</t>
  </si>
  <si>
    <t>h/y</t>
  </si>
  <si>
    <t>Water savings</t>
  </si>
  <si>
    <t>Internal Rate of Return (IRR)</t>
  </si>
  <si>
    <t>%</t>
  </si>
  <si>
    <t>e</t>
  </si>
  <si>
    <t xml:space="preserve">Electricity consumption </t>
  </si>
  <si>
    <t>kWh/y</t>
  </si>
  <si>
    <t xml:space="preserve">b x c </t>
  </si>
  <si>
    <t>Investment Cost</t>
  </si>
  <si>
    <t>f</t>
  </si>
  <si>
    <t>Electricity Costs</t>
  </si>
  <si>
    <t>€/y</t>
  </si>
  <si>
    <t>Reduction in O&amp;M costs</t>
  </si>
  <si>
    <t>Aditional Income from increased sales</t>
  </si>
  <si>
    <t>After</t>
  </si>
  <si>
    <t>Inflation</t>
  </si>
  <si>
    <t>g</t>
  </si>
  <si>
    <t>New capacity (led  18W)</t>
  </si>
  <si>
    <t>Project Lifetime</t>
  </si>
  <si>
    <t>h</t>
  </si>
  <si>
    <t>Tax Rate</t>
  </si>
  <si>
    <t>i</t>
  </si>
  <si>
    <t>Discount Rate</t>
  </si>
  <si>
    <t>j</t>
  </si>
  <si>
    <t>Savings</t>
  </si>
  <si>
    <t>Discounted Cash Flow Calculations (yearly) [ in EURO]</t>
  </si>
  <si>
    <t>k</t>
  </si>
  <si>
    <t>Energy Savings</t>
  </si>
  <si>
    <t xml:space="preserve">kWh </t>
  </si>
  <si>
    <t>Operation Period</t>
  </si>
  <si>
    <t>l</t>
  </si>
  <si>
    <t xml:space="preserve">Energy Cost Savings </t>
  </si>
  <si>
    <t>Operation Year</t>
  </si>
  <si>
    <t>m</t>
  </si>
  <si>
    <t>% of savings</t>
  </si>
  <si>
    <t>for lighting</t>
  </si>
  <si>
    <t>Benefits from Energy Savings</t>
  </si>
  <si>
    <t>n</t>
  </si>
  <si>
    <t>divided in yearly units</t>
  </si>
  <si>
    <t>Total Cost savings</t>
  </si>
  <si>
    <t>Additional Income from increased sales</t>
  </si>
  <si>
    <t>Gross Profit</t>
  </si>
  <si>
    <t>o</t>
  </si>
  <si>
    <t>Investment</t>
  </si>
  <si>
    <t>€</t>
  </si>
  <si>
    <t>Investment costs</t>
  </si>
  <si>
    <t>Net Cash Flow</t>
  </si>
  <si>
    <t>GHG emissions reduction</t>
  </si>
  <si>
    <t>Discounted Cash Flow</t>
  </si>
  <si>
    <t>p</t>
  </si>
  <si>
    <t>Emission factor-electricity</t>
  </si>
  <si>
    <r>
      <t>tCO</t>
    </r>
    <r>
      <rPr>
        <vertAlign val="subscript"/>
        <sz val="10"/>
        <rFont val="Century Gothic"/>
        <family val="2"/>
        <charset val="161"/>
      </rPr>
      <t>2</t>
    </r>
    <r>
      <rPr>
        <sz val="10"/>
        <rFont val="Century Gothic"/>
        <family val="2"/>
        <charset val="161"/>
      </rPr>
      <t>/MWhe</t>
    </r>
  </si>
  <si>
    <t>source: EBRD</t>
  </si>
  <si>
    <t>q</t>
  </si>
  <si>
    <t>CO2 emissions reduction</t>
  </si>
  <si>
    <r>
      <t>tCO</t>
    </r>
    <r>
      <rPr>
        <vertAlign val="subscript"/>
        <sz val="10"/>
        <rFont val="Century Gothic"/>
        <family val="2"/>
        <charset val="161"/>
      </rPr>
      <t>2</t>
    </r>
    <r>
      <rPr>
        <sz val="10"/>
        <rFont val="Century Gothic"/>
        <family val="2"/>
        <charset val="161"/>
      </rPr>
      <t>/y</t>
    </r>
  </si>
  <si>
    <t>Electricity</t>
  </si>
  <si>
    <t>EURO/kWh</t>
  </si>
  <si>
    <t>IRR</t>
  </si>
  <si>
    <t>Cost (€)</t>
  </si>
  <si>
    <t>NPV (€)</t>
  </si>
  <si>
    <t>TOTAL NET DIFFERENCE PER YEAR</t>
  </si>
  <si>
    <t>RB/kWh</t>
  </si>
  <si>
    <t>Eur/kWh</t>
  </si>
  <si>
    <t>Number of lamps</t>
  </si>
  <si>
    <t>No</t>
  </si>
  <si>
    <t>Cost  per lamp</t>
  </si>
  <si>
    <t>Fittings &amp; installation</t>
  </si>
  <si>
    <t xml:space="preserve">Period </t>
  </si>
  <si>
    <t>y</t>
  </si>
  <si>
    <t>Operational lifetime</t>
  </si>
  <si>
    <t>No of changes</t>
  </si>
  <si>
    <t>Replacement cost</t>
  </si>
  <si>
    <t>Eur/lamp</t>
  </si>
  <si>
    <t xml:space="preserve">Eur </t>
  </si>
  <si>
    <t>Total cost per replacement</t>
  </si>
  <si>
    <t>Eur</t>
  </si>
  <si>
    <t>New (LED)</t>
  </si>
  <si>
    <t>Savings in O&amp;M</t>
  </si>
  <si>
    <t>Eur/y</t>
  </si>
  <si>
    <t>Working period</t>
  </si>
  <si>
    <t>installed capacity of lights (5000lamps)</t>
  </si>
  <si>
    <t>Savings in O&amp;M (yearly)</t>
  </si>
  <si>
    <t>Initial</t>
  </si>
  <si>
    <t>Step</t>
  </si>
  <si>
    <t>Cost of LED</t>
  </si>
  <si>
    <t>EUR/W</t>
  </si>
  <si>
    <t>Capacity</t>
  </si>
  <si>
    <t>W</t>
  </si>
  <si>
    <t>€/W</t>
  </si>
  <si>
    <t xml:space="preserve">Financial Exercise 2. O&amp;M Cost </t>
  </si>
  <si>
    <t>1 shift 15 days maint. Period</t>
  </si>
  <si>
    <t xml:space="preserve">Financial Exercise 2A. O&amp;M Cost </t>
  </si>
  <si>
    <t>Financial Exercise 2. Technical and DCF analysis</t>
  </si>
  <si>
    <t>1 shift, 15 days maint. Period</t>
  </si>
  <si>
    <t xml:space="preserve"> </t>
  </si>
  <si>
    <t>Factor for electricity consumption</t>
  </si>
  <si>
    <t>Financial Exercise 2. Technical and Discounted Cash Flow (DCF) analysis</t>
  </si>
  <si>
    <t>(hours of operation per day) X (days operating in a year)</t>
  </si>
  <si>
    <t xml:space="preserve"> c x d </t>
  </si>
  <si>
    <t>b x f</t>
  </si>
  <si>
    <t xml:space="preserve">Financial Exercise. O&amp;M Cost </t>
  </si>
  <si>
    <t>USD/kWh</t>
  </si>
  <si>
    <t>tariff (no VAT), source psrc.am</t>
  </si>
  <si>
    <t>provided in technical specification</t>
  </si>
  <si>
    <t>Electrical capacity  (HPS 40W)</t>
  </si>
  <si>
    <t>New capacity (LED  18W)</t>
  </si>
  <si>
    <t>1 shifts/yearly, 10 days maint. Period</t>
  </si>
  <si>
    <t>installed capacity of lights (3000lamps)</t>
  </si>
  <si>
    <t>Old (HPS)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</si>
</sst>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%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4"/>
      <color indexed="21"/>
      <name val="Century Gothic"/>
      <family val="2"/>
      <charset val="161"/>
    </font>
    <font>
      <sz val="10"/>
      <name val="Century Gothic"/>
      <family val="2"/>
      <charset val="161"/>
    </font>
    <font>
      <sz val="18"/>
      <color indexed="10"/>
      <name val="Century Gothic"/>
      <family val="2"/>
      <charset val="161"/>
    </font>
    <font>
      <b/>
      <i/>
      <sz val="14"/>
      <color indexed="60"/>
      <name val="Century Gothic"/>
      <family val="2"/>
      <charset val="161"/>
    </font>
    <font>
      <b/>
      <sz val="10"/>
      <name val="Century Gothic"/>
      <family val="2"/>
      <charset val="161"/>
    </font>
    <font>
      <b/>
      <sz val="12"/>
      <color indexed="12"/>
      <name val="Century Gothic"/>
      <family val="2"/>
      <charset val="161"/>
    </font>
    <font>
      <b/>
      <sz val="10"/>
      <color indexed="9"/>
      <name val="Century Gothic"/>
      <family val="2"/>
      <charset val="161"/>
    </font>
    <font>
      <sz val="8"/>
      <name val="Century Gothic"/>
      <family val="2"/>
      <charset val="161"/>
    </font>
    <font>
      <b/>
      <sz val="8"/>
      <name val="Century Gothic"/>
      <family val="2"/>
      <charset val="161"/>
    </font>
    <font>
      <sz val="8"/>
      <color rgb="FFFF0000"/>
      <name val="Century Gothic"/>
      <family val="2"/>
      <charset val="161"/>
    </font>
    <font>
      <sz val="8"/>
      <color indexed="10"/>
      <name val="Century Gothic"/>
      <family val="2"/>
      <charset val="161"/>
    </font>
    <font>
      <vertAlign val="subscript"/>
      <sz val="10"/>
      <name val="Century Gothic"/>
      <family val="2"/>
      <charset val="161"/>
    </font>
    <font>
      <sz val="10"/>
      <name val="Calibri"/>
      <family val="2"/>
      <charset val="161"/>
    </font>
    <font>
      <b/>
      <sz val="16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7" fillId="0" borderId="4" xfId="0" applyFont="1" applyBorder="1"/>
    <xf numFmtId="0" fontId="6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3" fillId="0" borderId="4" xfId="0" applyFont="1" applyBorder="1"/>
    <xf numFmtId="0" fontId="3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0" borderId="12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4" fontId="3" fillId="0" borderId="10" xfId="0" applyNumberFormat="1" applyFont="1" applyBorder="1"/>
    <xf numFmtId="164" fontId="3" fillId="0" borderId="11" xfId="0" applyNumberFormat="1" applyFont="1" applyBorder="1"/>
    <xf numFmtId="0" fontId="8" fillId="4" borderId="1" xfId="0" applyFont="1" applyFill="1" applyBorder="1"/>
    <xf numFmtId="0" fontId="8" fillId="4" borderId="14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165" fontId="3" fillId="0" borderId="10" xfId="0" applyNumberFormat="1" applyFont="1" applyBorder="1"/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left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9" fillId="5" borderId="24" xfId="0" applyFont="1" applyFill="1" applyBorder="1"/>
    <xf numFmtId="0" fontId="9" fillId="5" borderId="25" xfId="0" applyFont="1" applyFill="1" applyBorder="1" applyAlignment="1">
      <alignment horizontal="center"/>
    </xf>
    <xf numFmtId="3" fontId="9" fillId="5" borderId="25" xfId="0" applyNumberFormat="1" applyFont="1" applyFill="1" applyBorder="1" applyAlignment="1">
      <alignment horizontal="center"/>
    </xf>
    <xf numFmtId="0" fontId="9" fillId="0" borderId="0" xfId="0" applyFont="1" applyBorder="1"/>
    <xf numFmtId="0" fontId="9" fillId="6" borderId="26" xfId="0" applyFont="1" applyFill="1" applyBorder="1"/>
    <xf numFmtId="0" fontId="9" fillId="6" borderId="27" xfId="0" applyFont="1" applyFill="1" applyBorder="1"/>
    <xf numFmtId="0" fontId="9" fillId="6" borderId="28" xfId="0" applyFont="1" applyFill="1" applyBorder="1"/>
    <xf numFmtId="0" fontId="9" fillId="6" borderId="29" xfId="0" applyFont="1" applyFill="1" applyBorder="1" applyAlignment="1">
      <alignment horizontal="center"/>
    </xf>
    <xf numFmtId="3" fontId="10" fillId="6" borderId="30" xfId="0" applyNumberFormat="1" applyFont="1" applyFill="1" applyBorder="1" applyAlignment="1">
      <alignment horizontal="center"/>
    </xf>
    <xf numFmtId="0" fontId="9" fillId="0" borderId="5" xfId="0" applyFont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center"/>
    </xf>
    <xf numFmtId="0" fontId="9" fillId="5" borderId="31" xfId="0" applyFont="1" applyFill="1" applyBorder="1"/>
    <xf numFmtId="0" fontId="9" fillId="5" borderId="32" xfId="0" applyFont="1" applyFill="1" applyBorder="1" applyAlignment="1">
      <alignment horizontal="center"/>
    </xf>
    <xf numFmtId="3" fontId="9" fillId="5" borderId="32" xfId="0" applyNumberFormat="1" applyFont="1" applyFill="1" applyBorder="1" applyAlignment="1">
      <alignment horizontal="center"/>
    </xf>
    <xf numFmtId="0" fontId="9" fillId="6" borderId="33" xfId="0" applyFont="1" applyFill="1" applyBorder="1"/>
    <xf numFmtId="0" fontId="9" fillId="6" borderId="34" xfId="0" applyFont="1" applyFill="1" applyBorder="1"/>
    <xf numFmtId="0" fontId="9" fillId="6" borderId="35" xfId="0" applyFont="1" applyFill="1" applyBorder="1"/>
    <xf numFmtId="0" fontId="9" fillId="6" borderId="36" xfId="0" applyFont="1" applyFill="1" applyBorder="1" applyAlignment="1">
      <alignment horizontal="center"/>
    </xf>
    <xf numFmtId="166" fontId="9" fillId="6" borderId="37" xfId="0" applyNumberFormat="1" applyFont="1" applyFill="1" applyBorder="1" applyAlignment="1">
      <alignment horizontal="center"/>
    </xf>
    <xf numFmtId="0" fontId="3" fillId="0" borderId="10" xfId="0" applyFont="1" applyBorder="1" applyAlignment="1">
      <alignment wrapText="1"/>
    </xf>
    <xf numFmtId="164" fontId="3" fillId="0" borderId="10" xfId="0" applyNumberFormat="1" applyFont="1" applyFill="1" applyBorder="1"/>
    <xf numFmtId="0" fontId="3" fillId="0" borderId="11" xfId="0" applyFont="1" applyBorder="1" applyAlignment="1">
      <alignment horizontal="center" wrapText="1"/>
    </xf>
    <xf numFmtId="0" fontId="10" fillId="5" borderId="31" xfId="0" applyFont="1" applyFill="1" applyBorder="1"/>
    <xf numFmtId="0" fontId="10" fillId="5" borderId="32" xfId="0" applyFont="1" applyFill="1" applyBorder="1" applyAlignment="1">
      <alignment horizontal="center"/>
    </xf>
    <xf numFmtId="3" fontId="10" fillId="5" borderId="32" xfId="0" applyNumberFormat="1" applyFont="1" applyFill="1" applyBorder="1" applyAlignment="1">
      <alignment horizontal="center"/>
    </xf>
    <xf numFmtId="3" fontId="3" fillId="0" borderId="10" xfId="0" applyNumberFormat="1" applyFont="1" applyFill="1" applyBorder="1"/>
    <xf numFmtId="0" fontId="9" fillId="6" borderId="38" xfId="0" applyFont="1" applyFill="1" applyBorder="1"/>
    <xf numFmtId="0" fontId="9" fillId="6" borderId="39" xfId="0" applyFont="1" applyFill="1" applyBorder="1"/>
    <xf numFmtId="0" fontId="9" fillId="6" borderId="40" xfId="0" applyFont="1" applyFill="1" applyBorder="1"/>
    <xf numFmtId="0" fontId="9" fillId="6" borderId="41" xfId="0" applyFont="1" applyFill="1" applyBorder="1" applyAlignment="1">
      <alignment horizontal="center"/>
    </xf>
    <xf numFmtId="10" fontId="10" fillId="6" borderId="42" xfId="0" applyNumberFormat="1" applyFont="1" applyFill="1" applyBorder="1" applyAlignment="1">
      <alignment horizontal="center"/>
    </xf>
    <xf numFmtId="3" fontId="3" fillId="0" borderId="10" xfId="0" applyNumberFormat="1" applyFont="1" applyBorder="1"/>
    <xf numFmtId="0" fontId="3" fillId="0" borderId="11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3" fontId="6" fillId="0" borderId="10" xfId="0" applyNumberFormat="1" applyFont="1" applyBorder="1"/>
    <xf numFmtId="0" fontId="11" fillId="0" borderId="43" xfId="0" applyFont="1" applyBorder="1"/>
    <xf numFmtId="0" fontId="11" fillId="5" borderId="32" xfId="0" applyFont="1" applyFill="1" applyBorder="1" applyAlignment="1">
      <alignment horizontal="center"/>
    </xf>
    <xf numFmtId="3" fontId="11" fillId="5" borderId="32" xfId="0" applyNumberFormat="1" applyFont="1" applyFill="1" applyBorder="1" applyAlignment="1">
      <alignment horizontal="center"/>
    </xf>
    <xf numFmtId="164" fontId="3" fillId="0" borderId="10" xfId="1" applyNumberFormat="1" applyFont="1" applyFill="1" applyBorder="1"/>
    <xf numFmtId="9" fontId="9" fillId="5" borderId="32" xfId="0" applyNumberFormat="1" applyFont="1" applyFill="1" applyBorder="1" applyAlignment="1">
      <alignment horizontal="center"/>
    </xf>
    <xf numFmtId="0" fontId="9" fillId="0" borderId="4" xfId="0" applyFont="1" applyBorder="1"/>
    <xf numFmtId="0" fontId="3" fillId="7" borderId="9" xfId="0" applyFont="1" applyFill="1" applyBorder="1"/>
    <xf numFmtId="0" fontId="8" fillId="7" borderId="10" xfId="0" applyFont="1" applyFill="1" applyBorder="1"/>
    <xf numFmtId="0" fontId="3" fillId="7" borderId="10" xfId="0" applyFont="1" applyFill="1" applyBorder="1"/>
    <xf numFmtId="0" fontId="3" fillId="7" borderId="11" xfId="0" applyFont="1" applyFill="1" applyBorder="1" applyAlignment="1">
      <alignment horizontal="center"/>
    </xf>
    <xf numFmtId="0" fontId="10" fillId="0" borderId="4" xfId="0" applyFont="1" applyBorder="1"/>
    <xf numFmtId="0" fontId="9" fillId="3" borderId="44" xfId="0" applyFont="1" applyFill="1" applyBorder="1" applyAlignment="1">
      <alignment horizontal="left"/>
    </xf>
    <xf numFmtId="0" fontId="9" fillId="3" borderId="32" xfId="0" applyFont="1" applyFill="1" applyBorder="1" applyAlignment="1">
      <alignment horizont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left"/>
    </xf>
    <xf numFmtId="0" fontId="9" fillId="3" borderId="47" xfId="0" applyFont="1" applyFill="1" applyBorder="1" applyAlignment="1">
      <alignment horizontal="center"/>
    </xf>
    <xf numFmtId="167" fontId="3" fillId="0" borderId="10" xfId="1" applyNumberFormat="1" applyFont="1" applyBorder="1"/>
    <xf numFmtId="0" fontId="3" fillId="0" borderId="11" xfId="0" applyFont="1" applyBorder="1"/>
    <xf numFmtId="0" fontId="9" fillId="0" borderId="20" xfId="0" applyFont="1" applyBorder="1"/>
    <xf numFmtId="0" fontId="9" fillId="0" borderId="19" xfId="0" applyFont="1" applyBorder="1" applyAlignment="1">
      <alignment horizontal="center"/>
    </xf>
    <xf numFmtId="3" fontId="9" fillId="0" borderId="19" xfId="0" applyNumberFormat="1" applyFont="1" applyBorder="1" applyAlignment="1">
      <alignment horizontal="center"/>
    </xf>
    <xf numFmtId="3" fontId="9" fillId="0" borderId="23" xfId="0" applyNumberFormat="1" applyFont="1" applyBorder="1" applyAlignment="1">
      <alignment horizontal="center"/>
    </xf>
    <xf numFmtId="0" fontId="9" fillId="0" borderId="44" xfId="0" applyFont="1" applyFill="1" applyBorder="1"/>
    <xf numFmtId="0" fontId="9" fillId="0" borderId="32" xfId="0" applyFont="1" applyBorder="1"/>
    <xf numFmtId="3" fontId="9" fillId="0" borderId="32" xfId="0" applyNumberFormat="1" applyFont="1" applyBorder="1"/>
    <xf numFmtId="3" fontId="9" fillId="0" borderId="32" xfId="0" applyNumberFormat="1" applyFont="1" applyBorder="1" applyAlignment="1">
      <alignment horizontal="center"/>
    </xf>
    <xf numFmtId="3" fontId="9" fillId="0" borderId="45" xfId="0" applyNumberFormat="1" applyFont="1" applyBorder="1" applyAlignment="1">
      <alignment horizontal="center"/>
    </xf>
    <xf numFmtId="0" fontId="9" fillId="0" borderId="44" xfId="0" applyFont="1" applyBorder="1"/>
    <xf numFmtId="0" fontId="9" fillId="0" borderId="32" xfId="0" applyFont="1" applyBorder="1" applyAlignment="1">
      <alignment horizontal="center"/>
    </xf>
    <xf numFmtId="0" fontId="12" fillId="0" borderId="44" xfId="0" applyFont="1" applyBorder="1"/>
    <xf numFmtId="0" fontId="12" fillId="0" borderId="32" xfId="0" applyFont="1" applyBorder="1" applyAlignment="1">
      <alignment horizontal="center"/>
    </xf>
    <xf numFmtId="3" fontId="12" fillId="0" borderId="32" xfId="0" applyNumberFormat="1" applyFont="1" applyBorder="1" applyAlignment="1">
      <alignment horizontal="center"/>
    </xf>
    <xf numFmtId="3" fontId="12" fillId="0" borderId="45" xfId="0" applyNumberFormat="1" applyFont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0" fillId="0" borderId="44" xfId="0" applyFont="1" applyBorder="1"/>
    <xf numFmtId="0" fontId="10" fillId="0" borderId="32" xfId="0" applyFont="1" applyBorder="1" applyAlignment="1">
      <alignment horizontal="center"/>
    </xf>
    <xf numFmtId="3" fontId="10" fillId="0" borderId="32" xfId="0" applyNumberFormat="1" applyFont="1" applyBorder="1" applyAlignment="1">
      <alignment horizontal="center"/>
    </xf>
    <xf numFmtId="3" fontId="10" fillId="0" borderId="45" xfId="0" applyNumberFormat="1" applyFont="1" applyBorder="1" applyAlignment="1">
      <alignment horizontal="center"/>
    </xf>
    <xf numFmtId="3" fontId="9" fillId="0" borderId="0" xfId="0" applyNumberFormat="1" applyFont="1" applyBorder="1"/>
    <xf numFmtId="0" fontId="3" fillId="0" borderId="48" xfId="0" applyFont="1" applyBorder="1"/>
    <xf numFmtId="0" fontId="3" fillId="0" borderId="49" xfId="0" applyFont="1" applyFill="1" applyBorder="1"/>
    <xf numFmtId="0" fontId="3" fillId="0" borderId="49" xfId="0" applyFont="1" applyBorder="1"/>
    <xf numFmtId="3" fontId="3" fillId="0" borderId="49" xfId="0" applyNumberFormat="1" applyFont="1" applyBorder="1"/>
    <xf numFmtId="0" fontId="3" fillId="0" borderId="50" xfId="0" applyFont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9" fillId="0" borderId="51" xfId="0" applyFont="1" applyBorder="1"/>
    <xf numFmtId="0" fontId="14" fillId="8" borderId="0" xfId="0" applyFont="1" applyFill="1" applyAlignment="1">
      <alignment horizontal="center"/>
    </xf>
    <xf numFmtId="0" fontId="14" fillId="8" borderId="0" xfId="0" applyFont="1" applyFill="1"/>
    <xf numFmtId="0" fontId="14" fillId="8" borderId="52" xfId="0" applyFont="1" applyFill="1" applyBorder="1" applyAlignment="1">
      <alignment horizontal="center"/>
    </xf>
    <xf numFmtId="0" fontId="14" fillId="8" borderId="52" xfId="0" applyFont="1" applyFill="1" applyBorder="1"/>
    <xf numFmtId="0" fontId="14" fillId="0" borderId="0" xfId="0" applyFont="1" applyAlignment="1">
      <alignment horizontal="center"/>
    </xf>
    <xf numFmtId="165" fontId="14" fillId="0" borderId="52" xfId="0" applyNumberFormat="1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" fillId="0" borderId="0" xfId="1" applyNumberFormat="1"/>
    <xf numFmtId="3" fontId="14" fillId="0" borderId="0" xfId="0" applyNumberFormat="1" applyFont="1" applyAlignment="1">
      <alignment horizontal="center"/>
    </xf>
    <xf numFmtId="3" fontId="14" fillId="9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0" fontId="15" fillId="10" borderId="0" xfId="0" applyFont="1" applyFill="1"/>
    <xf numFmtId="0" fontId="0" fillId="11" borderId="0" xfId="0" applyFill="1"/>
    <xf numFmtId="9" fontId="14" fillId="0" borderId="52" xfId="1" applyFont="1" applyBorder="1" applyAlignment="1">
      <alignment horizontal="center"/>
    </xf>
    <xf numFmtId="9" fontId="14" fillId="0" borderId="0" xfId="1" applyFont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165" fontId="14" fillId="0" borderId="0" xfId="0" applyNumberFormat="1" applyFont="1"/>
    <xf numFmtId="9" fontId="3" fillId="0" borderId="0" xfId="2" applyFont="1" applyAlignment="1">
      <alignment horizontal="center"/>
    </xf>
    <xf numFmtId="3" fontId="3" fillId="0" borderId="0" xfId="2" applyNumberFormat="1" applyFont="1"/>
    <xf numFmtId="167" fontId="14" fillId="0" borderId="0" xfId="1" applyNumberFormat="1" applyFont="1" applyAlignment="1">
      <alignment horizontal="center"/>
    </xf>
    <xf numFmtId="0" fontId="0" fillId="0" borderId="52" xfId="0" applyBorder="1"/>
    <xf numFmtId="3" fontId="0" fillId="0" borderId="52" xfId="0" applyNumberFormat="1" applyBorder="1"/>
    <xf numFmtId="0" fontId="15" fillId="13" borderId="0" xfId="0" applyFont="1" applyFill="1"/>
    <xf numFmtId="0" fontId="3" fillId="13" borderId="0" xfId="0" applyFont="1" applyFill="1"/>
    <xf numFmtId="0" fontId="4" fillId="13" borderId="0" xfId="0" applyFont="1" applyFill="1"/>
    <xf numFmtId="9" fontId="9" fillId="11" borderId="32" xfId="0" applyNumberFormat="1" applyFont="1" applyFill="1" applyBorder="1" applyAlignment="1">
      <alignment horizontal="center"/>
    </xf>
    <xf numFmtId="165" fontId="3" fillId="11" borderId="10" xfId="0" applyNumberFormat="1" applyFont="1" applyFill="1" applyBorder="1"/>
    <xf numFmtId="9" fontId="9" fillId="11" borderId="32" xfId="1" applyFont="1" applyFill="1" applyBorder="1" applyAlignment="1">
      <alignment horizontal="center"/>
    </xf>
    <xf numFmtId="9" fontId="0" fillId="0" borderId="0" xfId="0" applyNumberFormat="1"/>
    <xf numFmtId="0" fontId="3" fillId="11" borderId="0" xfId="0" applyFont="1" applyFill="1" applyBorder="1"/>
    <xf numFmtId="0" fontId="9" fillId="3" borderId="53" xfId="0" applyFont="1" applyFill="1" applyBorder="1" applyAlignment="1">
      <alignment horizontal="center"/>
    </xf>
    <xf numFmtId="0" fontId="0" fillId="0" borderId="13" xfId="0" applyBorder="1"/>
    <xf numFmtId="0" fontId="0" fillId="0" borderId="52" xfId="0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12" borderId="0" xfId="0" applyFill="1" applyAlignment="1">
      <alignment horizontal="center"/>
    </xf>
    <xf numFmtId="3" fontId="0" fillId="12" borderId="13" xfId="0" applyNumberFormat="1" applyFill="1" applyBorder="1" applyAlignment="1">
      <alignment horizontal="center"/>
    </xf>
    <xf numFmtId="3" fontId="0" fillId="12" borderId="0" xfId="0" applyNumberFormat="1" applyFill="1" applyAlignment="1">
      <alignment horizontal="center"/>
    </xf>
    <xf numFmtId="3" fontId="0" fillId="11" borderId="0" xfId="0" applyNumberFormat="1" applyFill="1" applyAlignment="1">
      <alignment horizontal="center"/>
    </xf>
    <xf numFmtId="0" fontId="17" fillId="0" borderId="0" xfId="0" applyFont="1"/>
    <xf numFmtId="3" fontId="3" fillId="0" borderId="10" xfId="0" quotePrefix="1" applyNumberFormat="1" applyFont="1" applyBorder="1"/>
    <xf numFmtId="0" fontId="9" fillId="0" borderId="54" xfId="0" applyFont="1" applyBorder="1"/>
    <xf numFmtId="0" fontId="9" fillId="3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/>
    </xf>
    <xf numFmtId="3" fontId="9" fillId="0" borderId="22" xfId="0" applyNumberFormat="1" applyFont="1" applyBorder="1" applyAlignment="1">
      <alignment horizontal="center"/>
    </xf>
    <xf numFmtId="3" fontId="9" fillId="0" borderId="56" xfId="0" applyNumberFormat="1" applyFont="1" applyBorder="1" applyAlignment="1">
      <alignment horizontal="center"/>
    </xf>
    <xf numFmtId="3" fontId="12" fillId="0" borderId="56" xfId="0" applyNumberFormat="1" applyFont="1" applyBorder="1" applyAlignment="1">
      <alignment horizontal="center"/>
    </xf>
    <xf numFmtId="3" fontId="10" fillId="0" borderId="56" xfId="0" applyNumberFormat="1" applyFont="1" applyBorder="1" applyAlignment="1">
      <alignment horizontal="center"/>
    </xf>
    <xf numFmtId="3" fontId="9" fillId="0" borderId="59" xfId="0" applyNumberFormat="1" applyFont="1" applyBorder="1" applyAlignment="1">
      <alignment horizontal="center"/>
    </xf>
    <xf numFmtId="3" fontId="9" fillId="0" borderId="58" xfId="0" applyNumberFormat="1" applyFont="1" applyBorder="1" applyAlignment="1">
      <alignment horizontal="center"/>
    </xf>
    <xf numFmtId="3" fontId="12" fillId="0" borderId="58" xfId="0" applyNumberFormat="1" applyFont="1" applyBorder="1" applyAlignment="1">
      <alignment horizontal="center"/>
    </xf>
    <xf numFmtId="3" fontId="10" fillId="0" borderId="58" xfId="0" applyNumberFormat="1" applyFont="1" applyBorder="1" applyAlignment="1">
      <alignment horizontal="center"/>
    </xf>
    <xf numFmtId="0" fontId="9" fillId="0" borderId="60" xfId="0" applyFont="1" applyBorder="1"/>
    <xf numFmtId="3" fontId="9" fillId="0" borderId="55" xfId="0" applyNumberFormat="1" applyFont="1" applyBorder="1" applyAlignment="1">
      <alignment horizontal="center"/>
    </xf>
    <xf numFmtId="0" fontId="9" fillId="3" borderId="19" xfId="0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Percent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'Exercise solution'!$X$82</c:f>
          <c:strCache>
            <c:ptCount val="1"/>
            <c:pt idx="0">
              <c:v>Project  NPV vs Investment Cost </c:v>
            </c:pt>
          </c:strCache>
        </c:strRef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'Exercise solution'!$U$44:$U$56</c:f>
              <c:numCache>
                <c:formatCode>#,##0</c:formatCode>
                <c:ptCount val="13"/>
                <c:pt idx="0">
                  <c:v>70000</c:v>
                </c:pt>
                <c:pt idx="1">
                  <c:v>75000</c:v>
                </c:pt>
                <c:pt idx="2">
                  <c:v>80000</c:v>
                </c:pt>
                <c:pt idx="3">
                  <c:v>85000</c:v>
                </c:pt>
                <c:pt idx="4">
                  <c:v>90000</c:v>
                </c:pt>
                <c:pt idx="5">
                  <c:v>95000</c:v>
                </c:pt>
                <c:pt idx="6">
                  <c:v>100000</c:v>
                </c:pt>
                <c:pt idx="7">
                  <c:v>105000</c:v>
                </c:pt>
                <c:pt idx="8">
                  <c:v>110000.00000000001</c:v>
                </c:pt>
                <c:pt idx="9">
                  <c:v>114999.99999999999</c:v>
                </c:pt>
                <c:pt idx="10">
                  <c:v>120000</c:v>
                </c:pt>
                <c:pt idx="11">
                  <c:v>125000</c:v>
                </c:pt>
                <c:pt idx="12">
                  <c:v>130000</c:v>
                </c:pt>
              </c:numCache>
            </c:numRef>
          </c:xVal>
          <c:yVal>
            <c:numRef>
              <c:f>'Exercise solution'!$V$44:$V$56</c:f>
              <c:numCache>
                <c:formatCode>#,##0</c:formatCode>
                <c:ptCount val="13"/>
                <c:pt idx="0">
                  <c:v>42352.899184253678</c:v>
                </c:pt>
                <c:pt idx="1">
                  <c:v>37352.899184253678</c:v>
                </c:pt>
                <c:pt idx="2">
                  <c:v>32352.899184253693</c:v>
                </c:pt>
                <c:pt idx="3">
                  <c:v>27352.899184253693</c:v>
                </c:pt>
                <c:pt idx="4">
                  <c:v>22352.899184253689</c:v>
                </c:pt>
                <c:pt idx="5">
                  <c:v>17352.899184253689</c:v>
                </c:pt>
                <c:pt idx="6">
                  <c:v>12352.899184253693</c:v>
                </c:pt>
                <c:pt idx="7">
                  <c:v>7352.899184253678</c:v>
                </c:pt>
                <c:pt idx="8">
                  <c:v>2352.8991842536484</c:v>
                </c:pt>
                <c:pt idx="9">
                  <c:v>-2647.1008157463225</c:v>
                </c:pt>
                <c:pt idx="10">
                  <c:v>-7647.100815746322</c:v>
                </c:pt>
                <c:pt idx="11">
                  <c:v>-12647.100815746327</c:v>
                </c:pt>
                <c:pt idx="12">
                  <c:v>-17647.100815746329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3F-4820-861B-F4788B796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67144"/>
        <c:axId val="524569496"/>
      </c:scatterChart>
      <c:valAx>
        <c:axId val="524567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CAPEX (Eur)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crossAx val="524569496"/>
        <c:crosses val="autoZero"/>
        <c:crossBetween val="midCat"/>
      </c:valAx>
      <c:valAx>
        <c:axId val="524569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NPV</a:t>
                </a:r>
                <a:r>
                  <a:rPr lang="en-GB" baseline="0"/>
                  <a:t> (Eur)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1105530978598658E-2"/>
              <c:y val="0.40224282579369625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crossAx val="524567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'Exercise solution'!$M$82</c:f>
          <c:strCache>
            <c:ptCount val="1"/>
            <c:pt idx="0">
              <c:v>Project  IRR vs electricity price</c:v>
            </c:pt>
          </c:strCache>
        </c:strRef>
      </c:tx>
      <c:overlay val="0"/>
    </c:title>
    <c:autoTitleDeleted val="0"/>
    <c:plotArea>
      <c:layout>
        <c:manualLayout>
          <c:layoutTarget val="inner"/>
          <c:xMode val="edge"/>
          <c:yMode val="edge"/>
          <c:x val="0.12223855218450794"/>
          <c:y val="0.13681182243523907"/>
          <c:w val="0.83793275346230855"/>
          <c:h val="0.67560333219217161"/>
        </c:manualLayout>
      </c:layout>
      <c:scatterChart>
        <c:scatterStyle val="smooth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'Exercise solution'!$K$44:$K$56</c:f>
              <c:numCache>
                <c:formatCode>#,##0.000</c:formatCode>
                <c:ptCount val="13"/>
                <c:pt idx="0">
                  <c:v>3.9999999999999966E-2</c:v>
                </c:pt>
                <c:pt idx="1">
                  <c:v>4.4999999999999964E-2</c:v>
                </c:pt>
                <c:pt idx="2">
                  <c:v>4.9999999999999961E-2</c:v>
                </c:pt>
                <c:pt idx="3">
                  <c:v>5.4999999999999966E-2</c:v>
                </c:pt>
                <c:pt idx="4">
                  <c:v>5.999999999999997E-2</c:v>
                </c:pt>
                <c:pt idx="5">
                  <c:v>6.4999999999999974E-2</c:v>
                </c:pt>
                <c:pt idx="6">
                  <c:v>6.9999999999999979E-2</c:v>
                </c:pt>
                <c:pt idx="7">
                  <c:v>7.4999999999999983E-2</c:v>
                </c:pt>
                <c:pt idx="8">
                  <c:v>7.9999999999999988E-2</c:v>
                </c:pt>
                <c:pt idx="9">
                  <c:v>8.4999999999999992E-2</c:v>
                </c:pt>
                <c:pt idx="10">
                  <c:v>0.09</c:v>
                </c:pt>
                <c:pt idx="11">
                  <c:v>9.5000000000000001E-2</c:v>
                </c:pt>
                <c:pt idx="12">
                  <c:v>0.1</c:v>
                </c:pt>
              </c:numCache>
            </c:numRef>
          </c:xVal>
          <c:yVal>
            <c:numRef>
              <c:f>'Exercise solution'!$L$44:$L$56</c:f>
              <c:numCache>
                <c:formatCode>0%</c:formatCode>
                <c:ptCount val="13"/>
                <c:pt idx="0">
                  <c:v>0.13538703235186755</c:v>
                </c:pt>
                <c:pt idx="1">
                  <c:v>0.14561906186060147</c:v>
                </c:pt>
                <c:pt idx="2">
                  <c:v>0.15568047408011521</c:v>
                </c:pt>
                <c:pt idx="3">
                  <c:v>0.16558937811963448</c:v>
                </c:pt>
                <c:pt idx="4">
                  <c:v>0.17536150821835328</c:v>
                </c:pt>
                <c:pt idx="5">
                  <c:v>0.18501061197170077</c:v>
                </c:pt>
                <c:pt idx="6">
                  <c:v>0.19454876177974612</c:v>
                </c:pt>
                <c:pt idx="7">
                  <c:v>0.20398660716906125</c:v>
                </c:pt>
                <c:pt idx="8">
                  <c:v>0.2133335810673167</c:v>
                </c:pt>
                <c:pt idx="9">
                  <c:v>0.22259806983924735</c:v>
                </c:pt>
                <c:pt idx="10">
                  <c:v>0.23178755453215993</c:v>
                </c:pt>
                <c:pt idx="11">
                  <c:v>0.24090872904357741</c:v>
                </c:pt>
                <c:pt idx="12">
                  <c:v>0.24996759963777526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0-4203-A0EA-DAD4A72B6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70672"/>
        <c:axId val="524570280"/>
      </c:scatterChart>
      <c:valAx>
        <c:axId val="52457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Electricity tariff (Euro/kWh)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70280"/>
        <c:crosses val="autoZero"/>
        <c:crossBetween val="midCat"/>
      </c:valAx>
      <c:valAx>
        <c:axId val="524570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IRR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70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flip="none" rotWithShape="1">
      <a:gsLst>
        <a:gs pos="73000">
          <a:schemeClr val="tx2">
            <a:lumMod val="40000"/>
            <a:lumOff val="60000"/>
          </a:schemeClr>
        </a:gs>
        <a:gs pos="97000">
          <a:schemeClr val="accent1"/>
        </a:gs>
        <a:gs pos="100000">
          <a:srgbClr val="E5E5FF"/>
        </a:gs>
        <a:gs pos="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  <a:gs pos="0">
          <a:schemeClr val="bg1"/>
        </a:gs>
        <a:gs pos="10000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</a:gsLst>
      <a:path path="circle">
        <a:fillToRect l="100000" t="100000"/>
      </a:path>
      <a:tileRect r="-100000" b="-100000"/>
    </a:gra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Project  IRR  vs Investment Cost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023795104707469"/>
          <c:y val="0.13681182243523907"/>
          <c:w val="0.7815478402917051"/>
          <c:h val="0.67560333219217161"/>
        </c:manualLayout>
      </c:layout>
      <c:scatterChart>
        <c:scatterStyle val="smooth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'Exercise &amp; solution'!$U$44:$U$56</c:f>
              <c:numCache>
                <c:formatCode>#,##0.000</c:formatCode>
                <c:ptCount val="13"/>
                <c:pt idx="0">
                  <c:v>1.6000000000000005</c:v>
                </c:pt>
                <c:pt idx="1">
                  <c:v>1.5500000000000005</c:v>
                </c:pt>
                <c:pt idx="2">
                  <c:v>1.5000000000000004</c:v>
                </c:pt>
                <c:pt idx="3">
                  <c:v>1.4500000000000004</c:v>
                </c:pt>
                <c:pt idx="4">
                  <c:v>1.4000000000000004</c:v>
                </c:pt>
                <c:pt idx="5">
                  <c:v>1.3500000000000003</c:v>
                </c:pt>
                <c:pt idx="6">
                  <c:v>1.3000000000000003</c:v>
                </c:pt>
                <c:pt idx="7">
                  <c:v>1.2500000000000002</c:v>
                </c:pt>
                <c:pt idx="8">
                  <c:v>1.2000000000000002</c:v>
                </c:pt>
                <c:pt idx="9">
                  <c:v>1.1500000000000001</c:v>
                </c:pt>
                <c:pt idx="10">
                  <c:v>1.1000000000000001</c:v>
                </c:pt>
                <c:pt idx="11">
                  <c:v>1.05</c:v>
                </c:pt>
                <c:pt idx="12">
                  <c:v>1</c:v>
                </c:pt>
              </c:numCache>
            </c:numRef>
          </c:xVal>
          <c:yVal>
            <c:numRef>
              <c:f>'Exercise &amp; solution'!$V$44:$V$56</c:f>
              <c:numCache>
                <c:formatCode>0.0%</c:formatCode>
                <c:ptCount val="13"/>
                <c:pt idx="0">
                  <c:v>4.3869120228189118E-2</c:v>
                </c:pt>
                <c:pt idx="1">
                  <c:v>4.3869120228189118E-2</c:v>
                </c:pt>
                <c:pt idx="2">
                  <c:v>4.3869120228189118E-2</c:v>
                </c:pt>
                <c:pt idx="3">
                  <c:v>4.3869120228189118E-2</c:v>
                </c:pt>
                <c:pt idx="4">
                  <c:v>4.3869120228189118E-2</c:v>
                </c:pt>
                <c:pt idx="5">
                  <c:v>4.3869120228189118E-2</c:v>
                </c:pt>
                <c:pt idx="6">
                  <c:v>4.3869120228189118E-2</c:v>
                </c:pt>
                <c:pt idx="7">
                  <c:v>4.3869120228189118E-2</c:v>
                </c:pt>
                <c:pt idx="8">
                  <c:v>4.3869120228189118E-2</c:v>
                </c:pt>
                <c:pt idx="9">
                  <c:v>4.3869120228189118E-2</c:v>
                </c:pt>
                <c:pt idx="10">
                  <c:v>4.3869120228189118E-2</c:v>
                </c:pt>
                <c:pt idx="11">
                  <c:v>4.3869120228189118E-2</c:v>
                </c:pt>
                <c:pt idx="12">
                  <c:v>4.3869120228189118E-2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6C-4694-951B-2F4CC3901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64008"/>
        <c:axId val="524569104"/>
      </c:scatterChart>
      <c:valAx>
        <c:axId val="524564008"/>
        <c:scaling>
          <c:orientation val="minMax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CAPEX(Euro/W)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69104"/>
        <c:crosses val="autoZero"/>
        <c:crossBetween val="midCat"/>
      </c:valAx>
      <c:valAx>
        <c:axId val="524569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IRR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640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flip="none" rotWithShape="1">
      <a:gsLst>
        <a:gs pos="73000">
          <a:schemeClr val="tx2">
            <a:lumMod val="40000"/>
            <a:lumOff val="60000"/>
          </a:schemeClr>
        </a:gs>
        <a:gs pos="97000">
          <a:schemeClr val="accent1"/>
        </a:gs>
        <a:gs pos="100000">
          <a:srgbClr val="E5E5FF"/>
        </a:gs>
        <a:gs pos="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  <a:gs pos="0">
          <a:schemeClr val="bg1"/>
        </a:gs>
        <a:gs pos="10000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</a:gsLst>
      <a:path path="circle">
        <a:fillToRect l="100000" t="100000"/>
      </a:path>
      <a:tileRect r="-100000" b="-100000"/>
    </a:gra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'Exercise solution'!$M$82</c:f>
          <c:strCache>
            <c:ptCount val="1"/>
            <c:pt idx="0">
              <c:v>Project  IRR vs electricity price</c:v>
            </c:pt>
          </c:strCache>
        </c:strRef>
      </c:tx>
      <c:overlay val="0"/>
    </c:title>
    <c:autoTitleDeleted val="0"/>
    <c:plotArea>
      <c:layout>
        <c:manualLayout>
          <c:layoutTarget val="inner"/>
          <c:xMode val="edge"/>
          <c:yMode val="edge"/>
          <c:x val="0.12223855218450794"/>
          <c:y val="0.13681182243523907"/>
          <c:w val="0.83793275346230855"/>
          <c:h val="0.67560333219217161"/>
        </c:manualLayout>
      </c:layout>
      <c:scatterChart>
        <c:scatterStyle val="smoothMarker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'Exercise &amp; solution'!$K$44:$K$56</c:f>
              <c:numCache>
                <c:formatCode>#,##0.000</c:formatCode>
                <c:ptCount val="13"/>
                <c:pt idx="0">
                  <c:v>3.9999999999999966E-2</c:v>
                </c:pt>
                <c:pt idx="1">
                  <c:v>4.4999999999999964E-2</c:v>
                </c:pt>
                <c:pt idx="2">
                  <c:v>4.9999999999999961E-2</c:v>
                </c:pt>
                <c:pt idx="3">
                  <c:v>5.4999999999999966E-2</c:v>
                </c:pt>
                <c:pt idx="4">
                  <c:v>5.999999999999997E-2</c:v>
                </c:pt>
                <c:pt idx="5">
                  <c:v>6.4999999999999974E-2</c:v>
                </c:pt>
                <c:pt idx="6">
                  <c:v>6.9999999999999979E-2</c:v>
                </c:pt>
                <c:pt idx="7">
                  <c:v>7.4999999999999983E-2</c:v>
                </c:pt>
                <c:pt idx="8">
                  <c:v>7.9999999999999988E-2</c:v>
                </c:pt>
                <c:pt idx="9">
                  <c:v>8.4999999999999992E-2</c:v>
                </c:pt>
                <c:pt idx="10">
                  <c:v>0.09</c:v>
                </c:pt>
                <c:pt idx="11">
                  <c:v>9.5000000000000001E-2</c:v>
                </c:pt>
                <c:pt idx="12">
                  <c:v>0.1</c:v>
                </c:pt>
              </c:numCache>
            </c:numRef>
          </c:xVal>
          <c:yVal>
            <c:numRef>
              <c:f>'Exercise &amp; solution'!$L$44:$L$56</c:f>
              <c:numCache>
                <c:formatCode>0%</c:formatCode>
                <c:ptCount val="13"/>
                <c:pt idx="0">
                  <c:v>4.3869120228189118E-2</c:v>
                </c:pt>
                <c:pt idx="1">
                  <c:v>4.3869120228189118E-2</c:v>
                </c:pt>
                <c:pt idx="2">
                  <c:v>4.3869120228189118E-2</c:v>
                </c:pt>
                <c:pt idx="3">
                  <c:v>4.3869120228189118E-2</c:v>
                </c:pt>
                <c:pt idx="4">
                  <c:v>4.3869120228189118E-2</c:v>
                </c:pt>
                <c:pt idx="5">
                  <c:v>4.3869120228189118E-2</c:v>
                </c:pt>
                <c:pt idx="6">
                  <c:v>4.3869120228189118E-2</c:v>
                </c:pt>
                <c:pt idx="7">
                  <c:v>4.3869120228189118E-2</c:v>
                </c:pt>
                <c:pt idx="8">
                  <c:v>4.3869120228189118E-2</c:v>
                </c:pt>
                <c:pt idx="9">
                  <c:v>4.3869120228189118E-2</c:v>
                </c:pt>
                <c:pt idx="10">
                  <c:v>4.3869120228189118E-2</c:v>
                </c:pt>
                <c:pt idx="11">
                  <c:v>4.3869120228189118E-2</c:v>
                </c:pt>
                <c:pt idx="12">
                  <c:v>4.3869120228189118E-2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7-4A9D-B61B-EE703649E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64400"/>
        <c:axId val="524565184"/>
      </c:scatterChart>
      <c:valAx>
        <c:axId val="52456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Electricity tariff (Euro/kWh)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65184"/>
        <c:crosses val="autoZero"/>
        <c:crossBetween val="midCat"/>
      </c:valAx>
      <c:valAx>
        <c:axId val="524565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IRR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45644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flip="none" rotWithShape="1">
      <a:gsLst>
        <a:gs pos="73000">
          <a:schemeClr val="tx2">
            <a:lumMod val="40000"/>
            <a:lumOff val="60000"/>
          </a:schemeClr>
        </a:gs>
        <a:gs pos="97000">
          <a:schemeClr val="accent1"/>
        </a:gs>
        <a:gs pos="100000">
          <a:srgbClr val="E5E5FF"/>
        </a:gs>
        <a:gs pos="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  <a:gs pos="0">
          <a:schemeClr val="bg1"/>
        </a:gs>
        <a:gs pos="100000">
          <a:srgbClr xmlns:mc="http://schemas.openxmlformats.org/markup-compatibility/2006" xmlns:a14="http://schemas.microsoft.com/office/drawing/2010/main" val="FCFCFF" mc:Ignorable="a14" a14:legacySpreadsheetColorIndex="31">
            <a:gamma/>
            <a:tint val="6275"/>
            <a:invGamma/>
          </a:srgbClr>
        </a:gs>
      </a:gsLst>
      <a:path path="circle">
        <a:fillToRect l="100000" t="100000"/>
      </a:path>
      <a:tileRect r="-100000" b="-100000"/>
    </a:gra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367394</xdr:colOff>
      <xdr:row>60</xdr:row>
      <xdr:rowOff>63952</xdr:rowOff>
    </xdr:from>
    <xdr:to>
      <xdr:col>29</xdr:col>
      <xdr:colOff>204107</xdr:colOff>
      <xdr:row>78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778328</xdr:colOff>
      <xdr:row>56</xdr:row>
      <xdr:rowOff>145596</xdr:rowOff>
    </xdr:from>
    <xdr:to>
      <xdr:col>18</xdr:col>
      <xdr:colOff>559253</xdr:colOff>
      <xdr:row>79</xdr:row>
      <xdr:rowOff>145596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058149" y="11521167"/>
          <a:ext cx="8367033" cy="4381500"/>
          <a:chOff x="8058149" y="11521167"/>
          <a:chExt cx="8367033" cy="43815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aphicFramePr>
            <a:graphicFrameLocks/>
          </xdr:cNvGraphicFramePr>
        </xdr:nvGraphicFramePr>
        <xdr:xfrm>
          <a:off x="8058149" y="11521167"/>
          <a:ext cx="8367033" cy="4381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1890241" y="13741612"/>
            <a:ext cx="358588" cy="313765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l-GR" sz="1100"/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12096750" y="13873683"/>
            <a:ext cx="22412" cy="1322294"/>
          </a:xfrm>
          <a:prstGeom prst="line">
            <a:avLst/>
          </a:prstGeom>
          <a:ln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0.6286</cdr:x>
      <cdr:y>0.11895</cdr:y>
    </cdr:from>
    <cdr:to>
      <cdr:x>0.62904</cdr:x>
      <cdr:y>0.84941</cdr:y>
    </cdr:to>
    <cdr:sp macro="" textlink="">
      <cdr:nvSpPr>
        <cdr:cNvPr id="2334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261416" y="521190"/>
          <a:ext cx="3644" cy="320050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0.63315</cdr:x>
      <cdr:y>0.42502</cdr:y>
    </cdr:from>
    <cdr:to>
      <cdr:x>0.7567</cdr:x>
      <cdr:y>0.50615</cdr:y>
    </cdr:to>
    <cdr:sp macro="" textlink="">
      <cdr:nvSpPr>
        <cdr:cNvPr id="2334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99484" y="1862219"/>
          <a:ext cx="1034112" cy="3554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l-GR" sz="1200" b="0" i="0" u="none" strike="noStrike" baseline="0">
              <a:solidFill>
                <a:srgbClr val="FF0000"/>
              </a:solidFill>
              <a:latin typeface="Calibri"/>
            </a:rPr>
            <a:t>Baseline</a:t>
          </a:r>
          <a:endParaRPr lang="el-G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120864</xdr:colOff>
      <xdr:row>57</xdr:row>
      <xdr:rowOff>7923</xdr:rowOff>
    </xdr:from>
    <xdr:to>
      <xdr:col>31</xdr:col>
      <xdr:colOff>155862</xdr:colOff>
      <xdr:row>79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606878</xdr:colOff>
      <xdr:row>56</xdr:row>
      <xdr:rowOff>145596</xdr:rowOff>
    </xdr:from>
    <xdr:to>
      <xdr:col>18</xdr:col>
      <xdr:colOff>559253</xdr:colOff>
      <xdr:row>79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519707</xdr:colOff>
      <xdr:row>69</xdr:row>
      <xdr:rowOff>120862</xdr:rowOff>
    </xdr:from>
    <xdr:to>
      <xdr:col>12</xdr:col>
      <xdr:colOff>43658</xdr:colOff>
      <xdr:row>71</xdr:row>
      <xdr:rowOff>53627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1514278" y="13986541"/>
          <a:ext cx="367594" cy="313765"/>
        </a:xfrm>
        <a:prstGeom prst="ellipse">
          <a:avLst/>
        </a:prstGeom>
        <a:solidFill>
          <a:schemeClr val="lt1">
            <a:alpha val="0"/>
          </a:schemeClr>
        </a:solidFill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707572</xdr:colOff>
      <xdr:row>70</xdr:row>
      <xdr:rowOff>40821</xdr:rowOff>
    </xdr:from>
    <xdr:to>
      <xdr:col>11</xdr:col>
      <xdr:colOff>741928</xdr:colOff>
      <xdr:row>76</xdr:row>
      <xdr:rowOff>51228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1702143" y="14097000"/>
          <a:ext cx="34356" cy="1153407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0.54145</cdr:x>
      <cdr:y>0.14449</cdr:y>
    </cdr:from>
    <cdr:to>
      <cdr:x>0.54304</cdr:x>
      <cdr:y>0.82339</cdr:y>
    </cdr:to>
    <cdr:sp macro="" textlink="">
      <cdr:nvSpPr>
        <cdr:cNvPr id="2334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702745" y="604398"/>
          <a:ext cx="10874" cy="283989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0.38443</cdr:x>
      <cdr:y>0.399</cdr:y>
    </cdr:from>
    <cdr:to>
      <cdr:x>0.50798</cdr:x>
      <cdr:y>0.48013</cdr:y>
    </cdr:to>
    <cdr:sp macro="" textlink="">
      <cdr:nvSpPr>
        <cdr:cNvPr id="2334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28948" y="1669034"/>
          <a:ext cx="844905" cy="3393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l-GR" sz="1200" b="0" i="0" u="none" strike="noStrike" baseline="0">
              <a:solidFill>
                <a:srgbClr val="FF0000"/>
              </a:solidFill>
              <a:latin typeface="Calibri"/>
            </a:rPr>
            <a:t>Baseline</a:t>
          </a:r>
          <a:endParaRPr lang="el-GR"/>
        </a:p>
      </cdr:txBody>
    </cdr:sp>
  </cdr:relSizeAnchor>
  <cdr:relSizeAnchor xmlns:cdr="http://schemas.openxmlformats.org/drawingml/2006/chartDrawing">
    <cdr:from>
      <cdr:x>0.7118</cdr:x>
      <cdr:y>0.51309</cdr:y>
    </cdr:from>
    <cdr:to>
      <cdr:x>0.76555</cdr:x>
      <cdr:y>0.5881</cdr:y>
    </cdr:to>
    <cdr:sp macro="" textlink="">
      <cdr:nvSpPr>
        <cdr:cNvPr id="4" name="Oval 3"/>
        <cdr:cNvSpPr/>
      </cdr:nvSpPr>
      <cdr:spPr>
        <a:xfrm xmlns:a="http://schemas.openxmlformats.org/drawingml/2006/main">
          <a:off x="4867722" y="2146306"/>
          <a:ext cx="367573" cy="313773"/>
        </a:xfrm>
        <a:prstGeom xmlns:a="http://schemas.openxmlformats.org/drawingml/2006/main" prst="ellipse">
          <a:avLst/>
        </a:prstGeom>
        <a:solidFill xmlns:a="http://schemas.openxmlformats.org/drawingml/2006/main">
          <a:schemeClr val="lt1">
            <a:alpha val="0"/>
          </a:schemeClr>
        </a:solidFill>
        <a:ln xmlns:a="http://schemas.openxmlformats.org/drawingml/2006/main">
          <a:prstDash val="sys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0.73844</cdr:x>
      <cdr:y>0.54785</cdr:y>
    </cdr:from>
    <cdr:to>
      <cdr:x>0.74042</cdr:x>
      <cdr:y>0.81784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869481B8-6C07-47E3-8D98-C04AF67D5376}"/>
            </a:ext>
          </a:extLst>
        </cdr:cNvPr>
        <cdr:cNvCxnSpPr/>
      </cdr:nvCxnSpPr>
      <cdr:spPr>
        <a:xfrm xmlns:a="http://schemas.openxmlformats.org/drawingml/2006/main">
          <a:off x="5049850" y="2291684"/>
          <a:ext cx="13595" cy="1129404"/>
        </a:xfrm>
        <a:prstGeom xmlns:a="http://schemas.openxmlformats.org/drawingml/2006/main" prst="line">
          <a:avLst/>
        </a:prstGeom>
        <a:ln xmlns:a="http://schemas.openxmlformats.org/drawingml/2006/main">
          <a:prstDash val="sys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0.6286</cdr:x>
      <cdr:y>0.11895</cdr:y>
    </cdr:from>
    <cdr:to>
      <cdr:x>0.62904</cdr:x>
      <cdr:y>0.84941</cdr:y>
    </cdr:to>
    <cdr:sp macro="" textlink="">
      <cdr:nvSpPr>
        <cdr:cNvPr id="2334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261416" y="521190"/>
          <a:ext cx="3644" cy="320050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0.63315</cdr:x>
      <cdr:y>0.42502</cdr:y>
    </cdr:from>
    <cdr:to>
      <cdr:x>0.7567</cdr:x>
      <cdr:y>0.50615</cdr:y>
    </cdr:to>
    <cdr:sp macro="" textlink="">
      <cdr:nvSpPr>
        <cdr:cNvPr id="2334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99484" y="1862219"/>
          <a:ext cx="1034112" cy="3554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l-GR" sz="1200" b="0" i="0" u="none" strike="noStrike" baseline="0">
              <a:solidFill>
                <a:srgbClr val="FF0000"/>
              </a:solidFill>
              <a:latin typeface="Calibri"/>
            </a:rPr>
            <a:t>Baseline</a:t>
          </a:r>
          <a:endParaRPr lang="el-GR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LU/Documents/A-&#913;&#925;&#927;&#921;&#922;&#932;&#913;%20&#917;&#929;&#915;&#913;/RFE%201413/0.%20CLOSED/21.%20Sib%20Agro/3.%20Analysis/Investments-analysis-vs1-04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_Meat Process"/>
      <sheetName val="Base_Poultry"/>
      <sheetName val="Base_Pig Plant"/>
      <sheetName val="PO-1"/>
      <sheetName val="PO-2"/>
      <sheetName val="PO-3"/>
      <sheetName val="PO-4"/>
      <sheetName val="PO-5"/>
      <sheetName val="PO-6"/>
      <sheetName val="ME-1"/>
      <sheetName val="ME-2"/>
      <sheetName val="ME-3"/>
      <sheetName val="ME-4"/>
      <sheetName val="ME-5"/>
      <sheetName val="ME-6"/>
      <sheetName val="ME-7"/>
      <sheetName val="ME-8"/>
      <sheetName val="ME-9"/>
      <sheetName val="ME-10"/>
      <sheetName val="ME-11"/>
      <sheetName val="PI-1"/>
      <sheetName val="PI-2"/>
      <sheetName val="PI-3"/>
      <sheetName val="PI-4"/>
      <sheetName val="PI-5"/>
      <sheetName val="PI-6"/>
      <sheetName val="Summary res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">
          <cell r="E7" t="str">
            <v>tariff for 2013 (no VAT)</v>
          </cell>
        </row>
        <row r="8">
          <cell r="E8" t="str">
            <v>tariff for 2013 (no VAT)</v>
          </cell>
        </row>
        <row r="38">
          <cell r="D38">
            <v>0.8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35"/>
  <sheetViews>
    <sheetView tabSelected="1" topLeftCell="A7" zoomScale="110" zoomScaleNormal="110" workbookViewId="0">
      <selection activeCell="K13" sqref="K13"/>
    </sheetView>
  </sheetViews>
  <sheetFormatPr defaultRowHeight="15" x14ac:dyDescent="0.25"/>
  <cols>
    <col min="1" max="1" width="4.28515625" customWidth="1"/>
    <col min="2" max="2" width="28.7109375" customWidth="1"/>
    <col min="3" max="3" width="13.7109375" customWidth="1"/>
    <col min="4" max="4" width="12.85546875" customWidth="1"/>
    <col min="5" max="5" width="21.140625" bestFit="1" customWidth="1"/>
    <col min="7" max="7" width="10" customWidth="1"/>
    <col min="9" max="9" width="36.28515625" customWidth="1"/>
    <col min="10" max="10" width="10.28515625" bestFit="1" customWidth="1"/>
    <col min="12" max="12" width="12.5703125" bestFit="1" customWidth="1"/>
    <col min="13" max="13" width="11" customWidth="1"/>
    <col min="17" max="17" width="9.85546875" customWidth="1"/>
    <col min="18" max="18" width="12" customWidth="1"/>
    <col min="21" max="21" width="10.140625" bestFit="1" customWidth="1"/>
  </cols>
  <sheetData>
    <row r="1" spans="1:26" s="2" customFormat="1" ht="24" x14ac:dyDescent="0.35">
      <c r="A1" s="1"/>
      <c r="E1" s="3"/>
      <c r="I1" s="4" t="s">
        <v>0</v>
      </c>
    </row>
    <row r="2" spans="1:26" s="2" customFormat="1" ht="24.75" thickBot="1" x14ac:dyDescent="0.4">
      <c r="A2" s="5" t="s">
        <v>1</v>
      </c>
      <c r="C2" s="5"/>
      <c r="E2" s="3"/>
    </row>
    <row r="3" spans="1:26" s="2" customFormat="1" ht="15.75" x14ac:dyDescent="0.25">
      <c r="A3" s="6" t="s">
        <v>2</v>
      </c>
      <c r="C3" s="5"/>
      <c r="I3" s="7" t="s">
        <v>1</v>
      </c>
      <c r="J3" s="8">
        <f>C2</f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s="2" customFormat="1" ht="16.5" thickBot="1" x14ac:dyDescent="0.3">
      <c r="C4" s="5"/>
      <c r="I4" s="11" t="str">
        <f>A3</f>
        <v>Replacement of lamps with LED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1:26" s="2" customFormat="1" ht="13.5" x14ac:dyDescent="0.25">
      <c r="A5" s="15" t="s">
        <v>3</v>
      </c>
      <c r="B5" s="16" t="s">
        <v>4</v>
      </c>
      <c r="C5" s="16" t="s">
        <v>5</v>
      </c>
      <c r="D5" s="16" t="s">
        <v>6</v>
      </c>
      <c r="E5" s="17" t="s">
        <v>7</v>
      </c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spans="1:26" s="2" customFormat="1" ht="14.25" thickBot="1" x14ac:dyDescent="0.3">
      <c r="A6" s="19"/>
      <c r="B6" s="20" t="s">
        <v>8</v>
      </c>
      <c r="C6" s="20"/>
      <c r="D6" s="20"/>
      <c r="E6" s="21"/>
      <c r="I6" s="22" t="s">
        <v>9</v>
      </c>
      <c r="J6" s="23"/>
      <c r="K6" s="23"/>
      <c r="L6" s="13"/>
      <c r="M6" s="13"/>
      <c r="N6" s="12" t="s">
        <v>10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spans="1:26" s="2" customFormat="1" ht="13.5" x14ac:dyDescent="0.25">
      <c r="A7" s="24" t="s">
        <v>11</v>
      </c>
      <c r="B7" s="25" t="s">
        <v>12</v>
      </c>
      <c r="C7" s="25" t="s">
        <v>135</v>
      </c>
      <c r="D7" s="26">
        <v>46</v>
      </c>
      <c r="E7" s="27" t="s">
        <v>136</v>
      </c>
      <c r="I7" s="28"/>
      <c r="J7" s="29"/>
      <c r="K7" s="29" t="s">
        <v>13</v>
      </c>
      <c r="L7" s="13"/>
      <c r="M7" s="13"/>
      <c r="N7" s="30"/>
      <c r="O7" s="31"/>
      <c r="P7" s="32"/>
      <c r="Q7" s="33"/>
      <c r="R7" s="34"/>
      <c r="S7" s="13"/>
      <c r="T7" s="13"/>
      <c r="U7" s="13"/>
      <c r="V7" s="13"/>
      <c r="W7" s="13"/>
      <c r="X7" s="13"/>
      <c r="Y7" s="13"/>
      <c r="Z7" s="14"/>
    </row>
    <row r="8" spans="1:26" s="2" customFormat="1" ht="14.25" thickBot="1" x14ac:dyDescent="0.3">
      <c r="A8" s="24" t="s">
        <v>14</v>
      </c>
      <c r="B8" s="25" t="s">
        <v>12</v>
      </c>
      <c r="C8" s="25" t="s">
        <v>96</v>
      </c>
      <c r="D8" s="35">
        <v>7.2999999999999995E-2</v>
      </c>
      <c r="E8" s="27" t="str">
        <f>E7</f>
        <v>tariff (no VAT), source psrc.am</v>
      </c>
      <c r="I8" s="36" t="s">
        <v>15</v>
      </c>
      <c r="J8" s="37" t="s">
        <v>16</v>
      </c>
      <c r="K8" s="37" t="s">
        <v>17</v>
      </c>
      <c r="L8" s="13"/>
      <c r="M8" s="13"/>
      <c r="N8" s="38" t="s">
        <v>15</v>
      </c>
      <c r="O8" s="36"/>
      <c r="P8" s="39"/>
      <c r="Q8" s="40" t="s">
        <v>16</v>
      </c>
      <c r="R8" s="41" t="s">
        <v>18</v>
      </c>
      <c r="S8" s="13"/>
      <c r="T8" s="13"/>
      <c r="U8" s="13"/>
      <c r="V8" s="13"/>
      <c r="W8" s="13"/>
      <c r="X8" s="13"/>
      <c r="Y8" s="13"/>
      <c r="Z8" s="14"/>
    </row>
    <row r="9" spans="1:26" s="2" customFormat="1" ht="14.25" x14ac:dyDescent="0.3">
      <c r="A9" s="18"/>
      <c r="B9" s="13"/>
      <c r="C9" s="13"/>
      <c r="D9" s="13"/>
      <c r="E9" s="14"/>
      <c r="I9" s="42" t="s">
        <v>19</v>
      </c>
      <c r="J9" s="43" t="s">
        <v>20</v>
      </c>
      <c r="K9" s="44">
        <f>D24</f>
        <v>10262.34</v>
      </c>
      <c r="L9" s="45"/>
      <c r="M9" s="45"/>
      <c r="N9" s="46" t="s">
        <v>21</v>
      </c>
      <c r="O9" s="47"/>
      <c r="P9" s="48"/>
      <c r="Q9" s="49" t="s">
        <v>20</v>
      </c>
      <c r="R9" s="50">
        <f>SUM(J32:Y32)</f>
        <v>22605.037644985958</v>
      </c>
      <c r="S9" s="45"/>
      <c r="T9" s="45"/>
      <c r="U9" s="45"/>
      <c r="V9" s="45"/>
      <c r="W9" s="45"/>
      <c r="X9" s="45"/>
      <c r="Y9" s="45"/>
      <c r="Z9" s="14"/>
    </row>
    <row r="10" spans="1:26" s="2" customFormat="1" ht="14.25" x14ac:dyDescent="0.3">
      <c r="A10" s="19"/>
      <c r="B10" s="20" t="s">
        <v>22</v>
      </c>
      <c r="C10" s="52"/>
      <c r="D10" s="52"/>
      <c r="E10" s="53"/>
      <c r="I10" s="54" t="s">
        <v>23</v>
      </c>
      <c r="J10" s="55" t="str">
        <f>J9</f>
        <v>EUR</v>
      </c>
      <c r="K10" s="56">
        <v>0</v>
      </c>
      <c r="L10" s="45"/>
      <c r="M10" s="45"/>
      <c r="N10" s="57" t="s">
        <v>24</v>
      </c>
      <c r="O10" s="58"/>
      <c r="P10" s="59"/>
      <c r="Q10" s="60" t="s">
        <v>25</v>
      </c>
      <c r="R10" s="61">
        <f>K13/(K11+K12+K15+K14)</f>
        <v>5.1301725522385393</v>
      </c>
      <c r="S10" s="45"/>
      <c r="T10" s="45"/>
      <c r="U10" s="45"/>
      <c r="V10" s="45"/>
      <c r="W10" s="45"/>
      <c r="X10" s="45"/>
      <c r="Y10" s="45"/>
      <c r="Z10" s="14"/>
    </row>
    <row r="11" spans="1:26" s="2" customFormat="1" ht="27.75" x14ac:dyDescent="0.3">
      <c r="A11" s="24" t="s">
        <v>26</v>
      </c>
      <c r="B11" s="62" t="s">
        <v>138</v>
      </c>
      <c r="C11" s="25" t="s">
        <v>28</v>
      </c>
      <c r="D11" s="63">
        <f>40*3000/1000</f>
        <v>120</v>
      </c>
      <c r="E11" s="64" t="s">
        <v>141</v>
      </c>
      <c r="I11" s="65" t="s">
        <v>29</v>
      </c>
      <c r="J11" s="66" t="str">
        <f>J10</f>
        <v>EUR</v>
      </c>
      <c r="K11" s="67">
        <f>+K10+K9</f>
        <v>10262.34</v>
      </c>
      <c r="L11" s="45"/>
      <c r="M11" s="45"/>
      <c r="N11" s="57" t="s">
        <v>30</v>
      </c>
      <c r="O11" s="58"/>
      <c r="P11" s="59"/>
      <c r="Q11" s="60"/>
      <c r="R11" s="61">
        <f>SUM(K32:Y32)/(J31*-1)</f>
        <v>1.3276092412316807</v>
      </c>
      <c r="S11" s="45"/>
      <c r="T11" s="45"/>
      <c r="U11" s="45"/>
      <c r="V11" s="45"/>
      <c r="W11" s="45"/>
      <c r="X11" s="45"/>
      <c r="Y11" s="45"/>
      <c r="Z11" s="14"/>
    </row>
    <row r="12" spans="1:26" s="2" customFormat="1" ht="28.5" thickBot="1" x14ac:dyDescent="0.35">
      <c r="A12" s="24" t="s">
        <v>31</v>
      </c>
      <c r="B12" s="25" t="s">
        <v>32</v>
      </c>
      <c r="C12" s="25" t="s">
        <v>33</v>
      </c>
      <c r="D12" s="68">
        <f>(365-10)*6</f>
        <v>2130</v>
      </c>
      <c r="E12" s="64" t="s">
        <v>140</v>
      </c>
      <c r="I12" s="54" t="s">
        <v>34</v>
      </c>
      <c r="J12" s="55" t="str">
        <f>J11</f>
        <v>EUR</v>
      </c>
      <c r="K12" s="56">
        <v>0</v>
      </c>
      <c r="L12" s="45"/>
      <c r="M12" s="45"/>
      <c r="N12" s="69" t="s">
        <v>35</v>
      </c>
      <c r="O12" s="70"/>
      <c r="P12" s="71"/>
      <c r="Q12" s="72" t="s">
        <v>36</v>
      </c>
      <c r="R12" s="73">
        <f>IF(IRR(J31:Y31)&gt;0,IRR(J31:Y31),0)</f>
        <v>0.17828724591723089</v>
      </c>
      <c r="S12" s="45"/>
      <c r="T12" s="45"/>
      <c r="U12" s="45"/>
      <c r="V12" s="45"/>
      <c r="W12" s="45"/>
      <c r="X12" s="45"/>
      <c r="Y12" s="45"/>
      <c r="Z12" s="14"/>
    </row>
    <row r="13" spans="1:26" s="2" customFormat="1" ht="14.25" x14ac:dyDescent="0.3">
      <c r="A13" s="24" t="s">
        <v>37</v>
      </c>
      <c r="B13" s="25" t="s">
        <v>38</v>
      </c>
      <c r="C13" s="25" t="s">
        <v>39</v>
      </c>
      <c r="D13" s="74">
        <f>D11*D12</f>
        <v>255600</v>
      </c>
      <c r="E13" s="75" t="s">
        <v>40</v>
      </c>
      <c r="I13" s="54" t="s">
        <v>41</v>
      </c>
      <c r="J13" s="55" t="s">
        <v>20</v>
      </c>
      <c r="K13" s="56">
        <f>D30</f>
        <v>69000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14"/>
    </row>
    <row r="14" spans="1:26" s="2" customFormat="1" ht="14.25" x14ac:dyDescent="0.3">
      <c r="A14" s="76" t="s">
        <v>42</v>
      </c>
      <c r="B14" s="77" t="s">
        <v>43</v>
      </c>
      <c r="C14" s="77" t="s">
        <v>44</v>
      </c>
      <c r="D14" s="78">
        <f>D13*D8</f>
        <v>18658.8</v>
      </c>
      <c r="E14" s="75" t="str">
        <f>CONCATENATE(A8," x ",A13)</f>
        <v>b x e</v>
      </c>
      <c r="I14" s="79" t="s">
        <v>45</v>
      </c>
      <c r="J14" s="80" t="str">
        <f>J13</f>
        <v>EUR</v>
      </c>
      <c r="K14" s="81">
        <f>D26</f>
        <v>3187.5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14"/>
    </row>
    <row r="15" spans="1:26" s="2" customFormat="1" ht="14.25" x14ac:dyDescent="0.3">
      <c r="A15" s="24"/>
      <c r="B15" s="25"/>
      <c r="C15" s="25"/>
      <c r="D15" s="74"/>
      <c r="E15" s="75"/>
      <c r="I15" s="54" t="s">
        <v>46</v>
      </c>
      <c r="J15" s="55" t="str">
        <f>J14</f>
        <v>EUR</v>
      </c>
      <c r="K15" s="56">
        <v>0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14"/>
    </row>
    <row r="16" spans="1:26" s="2" customFormat="1" ht="14.25" x14ac:dyDescent="0.3">
      <c r="A16" s="19"/>
      <c r="B16" s="20" t="s">
        <v>47</v>
      </c>
      <c r="C16" s="52"/>
      <c r="D16" s="52"/>
      <c r="E16" s="53"/>
      <c r="I16" s="54" t="s">
        <v>48</v>
      </c>
      <c r="J16" s="55" t="s">
        <v>36</v>
      </c>
      <c r="K16" s="56">
        <v>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14"/>
    </row>
    <row r="17" spans="1:26" s="2" customFormat="1" ht="27.75" x14ac:dyDescent="0.3">
      <c r="A17" s="24" t="s">
        <v>49</v>
      </c>
      <c r="B17" s="62" t="s">
        <v>139</v>
      </c>
      <c r="C17" s="25" t="s">
        <v>28</v>
      </c>
      <c r="D17" s="82">
        <f>18*3000/1000</f>
        <v>54</v>
      </c>
      <c r="E17" s="64" t="str">
        <f>E11</f>
        <v>installed capacity of lights (3000lamps)</v>
      </c>
      <c r="I17" s="54" t="s">
        <v>51</v>
      </c>
      <c r="J17" s="55" t="s">
        <v>25</v>
      </c>
      <c r="K17" s="55">
        <v>16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14"/>
    </row>
    <row r="18" spans="1:26" s="2" customFormat="1" ht="30" customHeight="1" x14ac:dyDescent="0.3">
      <c r="A18" s="18" t="s">
        <v>52</v>
      </c>
      <c r="B18" s="25" t="s">
        <v>32</v>
      </c>
      <c r="C18" s="25" t="s">
        <v>33</v>
      </c>
      <c r="D18" s="68">
        <f>D12</f>
        <v>2130</v>
      </c>
      <c r="E18" s="64" t="str">
        <f>E12</f>
        <v>1 shifts/yearly, 10 days maint. Period</v>
      </c>
      <c r="I18" s="54" t="s">
        <v>53</v>
      </c>
      <c r="J18" s="55" t="s">
        <v>36</v>
      </c>
      <c r="K18" s="55">
        <v>0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14"/>
    </row>
    <row r="19" spans="1:26" s="2" customFormat="1" ht="14.25" x14ac:dyDescent="0.3">
      <c r="A19" s="24" t="s">
        <v>54</v>
      </c>
      <c r="B19" s="25" t="s">
        <v>38</v>
      </c>
      <c r="C19" s="25" t="s">
        <v>39</v>
      </c>
      <c r="D19" s="68">
        <f>D17*D18</f>
        <v>115020</v>
      </c>
      <c r="E19" s="75" t="str">
        <f>CONCATENATE(A17," x ",A18, )</f>
        <v>g x h</v>
      </c>
      <c r="I19" s="54" t="s">
        <v>55</v>
      </c>
      <c r="J19" s="55" t="s">
        <v>36</v>
      </c>
      <c r="K19" s="83">
        <v>0.12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14"/>
    </row>
    <row r="20" spans="1:26" s="2" customFormat="1" ht="14.25" x14ac:dyDescent="0.3">
      <c r="A20" s="76" t="s">
        <v>56</v>
      </c>
      <c r="B20" s="77" t="s">
        <v>43</v>
      </c>
      <c r="C20" s="77" t="s">
        <v>44</v>
      </c>
      <c r="D20" s="78">
        <f>D19*D8</f>
        <v>8396.4599999999991</v>
      </c>
      <c r="E20" s="75" t="str">
        <f>CONCATENATE(A19," x ",A8)</f>
        <v>i x b</v>
      </c>
      <c r="I20" s="8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14"/>
    </row>
    <row r="21" spans="1:26" s="2" customFormat="1" ht="14.25" x14ac:dyDescent="0.3">
      <c r="A21" s="24"/>
      <c r="B21" s="25"/>
      <c r="C21" s="25"/>
      <c r="D21" s="74"/>
      <c r="E21" s="75"/>
      <c r="I21" s="8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14"/>
    </row>
    <row r="22" spans="1:26" s="2" customFormat="1" ht="14.25" x14ac:dyDescent="0.3">
      <c r="A22" s="85"/>
      <c r="B22" s="86" t="s">
        <v>57</v>
      </c>
      <c r="C22" s="87"/>
      <c r="D22" s="87"/>
      <c r="E22" s="88"/>
      <c r="I22" s="89" t="s">
        <v>58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172"/>
      <c r="Z22" s="14"/>
    </row>
    <row r="23" spans="1:26" s="2" customFormat="1" ht="14.25" x14ac:dyDescent="0.3">
      <c r="A23" s="24" t="s">
        <v>59</v>
      </c>
      <c r="B23" s="25" t="s">
        <v>60</v>
      </c>
      <c r="C23" s="25" t="s">
        <v>61</v>
      </c>
      <c r="D23" s="74">
        <f>D13-D19</f>
        <v>140580</v>
      </c>
      <c r="E23" s="75" t="str">
        <f>CONCATENATE(A13," - ",A19)</f>
        <v>e - i</v>
      </c>
      <c r="I23" s="90" t="s">
        <v>62</v>
      </c>
      <c r="J23" s="91">
        <v>0</v>
      </c>
      <c r="K23" s="91">
        <v>1</v>
      </c>
      <c r="L23" s="91">
        <v>2</v>
      </c>
      <c r="M23" s="91">
        <v>3</v>
      </c>
      <c r="N23" s="91">
        <v>4</v>
      </c>
      <c r="O23" s="91">
        <v>5</v>
      </c>
      <c r="P23" s="91">
        <v>6</v>
      </c>
      <c r="Q23" s="91">
        <v>7</v>
      </c>
      <c r="R23" s="91">
        <v>8</v>
      </c>
      <c r="S23" s="91">
        <v>9</v>
      </c>
      <c r="T23" s="91">
        <v>10</v>
      </c>
      <c r="U23" s="91">
        <v>11</v>
      </c>
      <c r="V23" s="91">
        <v>12</v>
      </c>
      <c r="W23" s="91">
        <v>13</v>
      </c>
      <c r="X23" s="173">
        <v>14</v>
      </c>
      <c r="Y23" s="185">
        <v>15</v>
      </c>
      <c r="Z23" s="92">
        <v>16</v>
      </c>
    </row>
    <row r="24" spans="1:26" s="2" customFormat="1" thickBot="1" x14ac:dyDescent="0.35">
      <c r="A24" s="24" t="s">
        <v>63</v>
      </c>
      <c r="B24" s="25" t="s">
        <v>64</v>
      </c>
      <c r="C24" s="25" t="s">
        <v>44</v>
      </c>
      <c r="D24" s="74">
        <f>D23*D8</f>
        <v>10262.34</v>
      </c>
      <c r="E24" s="75" t="str">
        <f>CONCATENATE(A23," x ",A8)</f>
        <v>k x b</v>
      </c>
      <c r="I24" s="93" t="s">
        <v>65</v>
      </c>
      <c r="J24" s="94">
        <v>2021</v>
      </c>
      <c r="K24" s="94">
        <v>2022</v>
      </c>
      <c r="L24" s="94">
        <v>2023</v>
      </c>
      <c r="M24" s="94">
        <v>2024</v>
      </c>
      <c r="N24" s="94">
        <v>2025</v>
      </c>
      <c r="O24" s="94">
        <v>2026</v>
      </c>
      <c r="P24" s="94">
        <v>2027</v>
      </c>
      <c r="Q24" s="94">
        <v>2028</v>
      </c>
      <c r="R24" s="94">
        <v>2029</v>
      </c>
      <c r="S24" s="94">
        <v>2030</v>
      </c>
      <c r="T24" s="94">
        <v>2031</v>
      </c>
      <c r="U24" s="94">
        <v>2032</v>
      </c>
      <c r="V24" s="94">
        <v>2033</v>
      </c>
      <c r="W24" s="94">
        <v>2034</v>
      </c>
      <c r="X24" s="174">
        <v>2035</v>
      </c>
      <c r="Y24" s="94">
        <v>2036</v>
      </c>
      <c r="Z24" s="161">
        <v>2037</v>
      </c>
    </row>
    <row r="25" spans="1:26" s="2" customFormat="1" thickTop="1" x14ac:dyDescent="0.3">
      <c r="A25" s="24" t="s">
        <v>66</v>
      </c>
      <c r="B25" s="25" t="s">
        <v>67</v>
      </c>
      <c r="C25" s="25" t="s">
        <v>36</v>
      </c>
      <c r="D25" s="95">
        <f>1-D20/D14</f>
        <v>0.55000000000000004</v>
      </c>
      <c r="E25" s="96" t="s">
        <v>68</v>
      </c>
      <c r="I25" s="97" t="s">
        <v>69</v>
      </c>
      <c r="J25" s="98"/>
      <c r="K25" s="99">
        <f>K11</f>
        <v>10262.34</v>
      </c>
      <c r="L25" s="99">
        <f t="shared" ref="L25:Z28" si="0">K25</f>
        <v>10262.34</v>
      </c>
      <c r="M25" s="99">
        <f t="shared" si="0"/>
        <v>10262.34</v>
      </c>
      <c r="N25" s="99">
        <f t="shared" si="0"/>
        <v>10262.34</v>
      </c>
      <c r="O25" s="99">
        <f t="shared" si="0"/>
        <v>10262.34</v>
      </c>
      <c r="P25" s="99">
        <f t="shared" si="0"/>
        <v>10262.34</v>
      </c>
      <c r="Q25" s="99">
        <f t="shared" si="0"/>
        <v>10262.34</v>
      </c>
      <c r="R25" s="99">
        <f t="shared" si="0"/>
        <v>10262.34</v>
      </c>
      <c r="S25" s="99">
        <f t="shared" si="0"/>
        <v>10262.34</v>
      </c>
      <c r="T25" s="99">
        <f t="shared" si="0"/>
        <v>10262.34</v>
      </c>
      <c r="U25" s="99">
        <f t="shared" si="0"/>
        <v>10262.34</v>
      </c>
      <c r="V25" s="99">
        <f t="shared" si="0"/>
        <v>10262.34</v>
      </c>
      <c r="W25" s="99">
        <f t="shared" si="0"/>
        <v>10262.34</v>
      </c>
      <c r="X25" s="175">
        <f t="shared" si="0"/>
        <v>10262.34</v>
      </c>
      <c r="Y25" s="99">
        <f t="shared" si="0"/>
        <v>10262.34</v>
      </c>
      <c r="Z25" s="179">
        <f t="shared" si="0"/>
        <v>10262.34</v>
      </c>
    </row>
    <row r="26" spans="1:26" s="2" customFormat="1" ht="14.25" x14ac:dyDescent="0.3">
      <c r="A26" s="24" t="s">
        <v>70</v>
      </c>
      <c r="B26" s="25" t="s">
        <v>45</v>
      </c>
      <c r="C26" s="25" t="s">
        <v>44</v>
      </c>
      <c r="D26" s="171">
        <f>'Exercise LED O&amp;M Q'!E13</f>
        <v>3187.5</v>
      </c>
      <c r="E26" s="75" t="s">
        <v>71</v>
      </c>
      <c r="I26" s="101" t="s">
        <v>34</v>
      </c>
      <c r="J26" s="102"/>
      <c r="K26" s="103">
        <f>K12</f>
        <v>0</v>
      </c>
      <c r="L26" s="104">
        <f t="shared" si="0"/>
        <v>0</v>
      </c>
      <c r="M26" s="104">
        <f t="shared" si="0"/>
        <v>0</v>
      </c>
      <c r="N26" s="104">
        <f t="shared" si="0"/>
        <v>0</v>
      </c>
      <c r="O26" s="104">
        <f t="shared" si="0"/>
        <v>0</v>
      </c>
      <c r="P26" s="104">
        <f t="shared" si="0"/>
        <v>0</v>
      </c>
      <c r="Q26" s="104">
        <f t="shared" si="0"/>
        <v>0</v>
      </c>
      <c r="R26" s="104">
        <f t="shared" si="0"/>
        <v>0</v>
      </c>
      <c r="S26" s="104">
        <f t="shared" si="0"/>
        <v>0</v>
      </c>
      <c r="T26" s="104">
        <f t="shared" si="0"/>
        <v>0</v>
      </c>
      <c r="U26" s="104">
        <f t="shared" si="0"/>
        <v>0</v>
      </c>
      <c r="V26" s="104">
        <f t="shared" si="0"/>
        <v>0</v>
      </c>
      <c r="W26" s="104">
        <f t="shared" si="0"/>
        <v>0</v>
      </c>
      <c r="X26" s="176">
        <f t="shared" si="0"/>
        <v>0</v>
      </c>
      <c r="Y26" s="104">
        <f t="shared" si="0"/>
        <v>0</v>
      </c>
      <c r="Z26" s="180">
        <f t="shared" si="0"/>
        <v>0</v>
      </c>
    </row>
    <row r="27" spans="1:26" s="2" customFormat="1" ht="14.25" x14ac:dyDescent="0.3">
      <c r="A27" s="24" t="s">
        <v>70</v>
      </c>
      <c r="B27" s="77" t="s">
        <v>72</v>
      </c>
      <c r="C27" s="77" t="s">
        <v>44</v>
      </c>
      <c r="D27" s="78">
        <f>D24+D26</f>
        <v>13449.84</v>
      </c>
      <c r="E27" s="75"/>
      <c r="I27" s="106" t="s">
        <v>73</v>
      </c>
      <c r="J27" s="107"/>
      <c r="K27" s="104">
        <f>K15</f>
        <v>0</v>
      </c>
      <c r="L27" s="104">
        <f t="shared" si="0"/>
        <v>0</v>
      </c>
      <c r="M27" s="104">
        <f t="shared" si="0"/>
        <v>0</v>
      </c>
      <c r="N27" s="104">
        <f t="shared" si="0"/>
        <v>0</v>
      </c>
      <c r="O27" s="104">
        <f t="shared" si="0"/>
        <v>0</v>
      </c>
      <c r="P27" s="104">
        <f t="shared" si="0"/>
        <v>0</v>
      </c>
      <c r="Q27" s="104">
        <f t="shared" si="0"/>
        <v>0</v>
      </c>
      <c r="R27" s="104">
        <f t="shared" si="0"/>
        <v>0</v>
      </c>
      <c r="S27" s="104">
        <f t="shared" si="0"/>
        <v>0</v>
      </c>
      <c r="T27" s="104">
        <f t="shared" si="0"/>
        <v>0</v>
      </c>
      <c r="U27" s="104">
        <f t="shared" si="0"/>
        <v>0</v>
      </c>
      <c r="V27" s="104">
        <f t="shared" si="0"/>
        <v>0</v>
      </c>
      <c r="W27" s="104">
        <f t="shared" si="0"/>
        <v>0</v>
      </c>
      <c r="X27" s="176">
        <f t="shared" si="0"/>
        <v>0</v>
      </c>
      <c r="Y27" s="104">
        <f t="shared" si="0"/>
        <v>0</v>
      </c>
      <c r="Z27" s="180">
        <f t="shared" si="0"/>
        <v>0</v>
      </c>
    </row>
    <row r="28" spans="1:26" s="2" customFormat="1" ht="14.25" x14ac:dyDescent="0.3">
      <c r="A28" s="24"/>
      <c r="B28" s="25"/>
      <c r="C28" s="25"/>
      <c r="D28" s="25"/>
      <c r="E28" s="75"/>
      <c r="I28" s="108" t="str">
        <f>I14</f>
        <v>Reduction in O&amp;M costs</v>
      </c>
      <c r="J28" s="109"/>
      <c r="K28" s="110">
        <f>K14</f>
        <v>3187.5</v>
      </c>
      <c r="L28" s="110">
        <f t="shared" si="0"/>
        <v>3187.5</v>
      </c>
      <c r="M28" s="110">
        <f t="shared" si="0"/>
        <v>3187.5</v>
      </c>
      <c r="N28" s="110">
        <f t="shared" si="0"/>
        <v>3187.5</v>
      </c>
      <c r="O28" s="110">
        <f t="shared" si="0"/>
        <v>3187.5</v>
      </c>
      <c r="P28" s="110">
        <f t="shared" si="0"/>
        <v>3187.5</v>
      </c>
      <c r="Q28" s="110">
        <f t="shared" si="0"/>
        <v>3187.5</v>
      </c>
      <c r="R28" s="110">
        <f t="shared" si="0"/>
        <v>3187.5</v>
      </c>
      <c r="S28" s="110">
        <f t="shared" si="0"/>
        <v>3187.5</v>
      </c>
      <c r="T28" s="110">
        <f t="shared" si="0"/>
        <v>3187.5</v>
      </c>
      <c r="U28" s="110">
        <f t="shared" si="0"/>
        <v>3187.5</v>
      </c>
      <c r="V28" s="110">
        <f t="shared" si="0"/>
        <v>3187.5</v>
      </c>
      <c r="W28" s="110">
        <f t="shared" si="0"/>
        <v>3187.5</v>
      </c>
      <c r="X28" s="177">
        <f t="shared" si="0"/>
        <v>3187.5</v>
      </c>
      <c r="Y28" s="110">
        <f t="shared" si="0"/>
        <v>3187.5</v>
      </c>
      <c r="Z28" s="181">
        <f t="shared" si="0"/>
        <v>3187.5</v>
      </c>
    </row>
    <row r="29" spans="1:26" s="2" customFormat="1" ht="13.5" x14ac:dyDescent="0.25">
      <c r="A29" s="19"/>
      <c r="B29" s="20" t="s">
        <v>41</v>
      </c>
      <c r="C29" s="20"/>
      <c r="D29" s="20"/>
      <c r="E29" s="112"/>
      <c r="I29" s="113" t="s">
        <v>74</v>
      </c>
      <c r="J29" s="114"/>
      <c r="K29" s="115">
        <f t="shared" ref="K29:Y29" si="1">+K25+K26+K27+K28</f>
        <v>13449.84</v>
      </c>
      <c r="L29" s="115">
        <f t="shared" si="1"/>
        <v>13449.84</v>
      </c>
      <c r="M29" s="115">
        <f t="shared" si="1"/>
        <v>13449.84</v>
      </c>
      <c r="N29" s="115">
        <f t="shared" si="1"/>
        <v>13449.84</v>
      </c>
      <c r="O29" s="115">
        <f t="shared" si="1"/>
        <v>13449.84</v>
      </c>
      <c r="P29" s="115">
        <f t="shared" si="1"/>
        <v>13449.84</v>
      </c>
      <c r="Q29" s="115">
        <f t="shared" si="1"/>
        <v>13449.84</v>
      </c>
      <c r="R29" s="115">
        <f t="shared" si="1"/>
        <v>13449.84</v>
      </c>
      <c r="S29" s="115">
        <f t="shared" si="1"/>
        <v>13449.84</v>
      </c>
      <c r="T29" s="115">
        <f t="shared" si="1"/>
        <v>13449.84</v>
      </c>
      <c r="U29" s="115">
        <f t="shared" si="1"/>
        <v>13449.84</v>
      </c>
      <c r="V29" s="115">
        <f t="shared" si="1"/>
        <v>13449.84</v>
      </c>
      <c r="W29" s="115">
        <f t="shared" si="1"/>
        <v>13449.84</v>
      </c>
      <c r="X29" s="178">
        <f t="shared" si="1"/>
        <v>13449.84</v>
      </c>
      <c r="Y29" s="115">
        <f t="shared" si="1"/>
        <v>13449.84</v>
      </c>
      <c r="Z29" s="182">
        <f t="shared" ref="Z29" si="2">+Z25+Z26+Z27+Z28</f>
        <v>13449.84</v>
      </c>
    </row>
    <row r="30" spans="1:26" s="2" customFormat="1" ht="14.25" x14ac:dyDescent="0.3">
      <c r="A30" s="24" t="s">
        <v>75</v>
      </c>
      <c r="B30" s="25" t="s">
        <v>76</v>
      </c>
      <c r="C30" s="77" t="s">
        <v>77</v>
      </c>
      <c r="D30" s="68">
        <f>20*3000+'Exercise LED O&amp;M Q'!E6*'Exercise LED O&amp;M Q'!E4</f>
        <v>69000</v>
      </c>
      <c r="E30" s="75"/>
      <c r="I30" s="106" t="s">
        <v>78</v>
      </c>
      <c r="J30" s="104">
        <f>-K13</f>
        <v>-69000</v>
      </c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77"/>
      <c r="Y30" s="110"/>
      <c r="Z30" s="181"/>
    </row>
    <row r="31" spans="1:26" s="2" customFormat="1" ht="14.25" x14ac:dyDescent="0.3">
      <c r="A31" s="24"/>
      <c r="B31" s="25"/>
      <c r="C31" s="25"/>
      <c r="D31" s="25"/>
      <c r="E31" s="96"/>
      <c r="I31" s="106" t="s">
        <v>79</v>
      </c>
      <c r="J31" s="104">
        <f>J30</f>
        <v>-69000</v>
      </c>
      <c r="K31" s="104">
        <f t="shared" ref="K31:Y31" si="3">K29</f>
        <v>13449.84</v>
      </c>
      <c r="L31" s="104">
        <f t="shared" si="3"/>
        <v>13449.84</v>
      </c>
      <c r="M31" s="104">
        <f t="shared" si="3"/>
        <v>13449.84</v>
      </c>
      <c r="N31" s="104">
        <f t="shared" si="3"/>
        <v>13449.84</v>
      </c>
      <c r="O31" s="104">
        <f t="shared" si="3"/>
        <v>13449.84</v>
      </c>
      <c r="P31" s="104">
        <f t="shared" si="3"/>
        <v>13449.84</v>
      </c>
      <c r="Q31" s="104">
        <f t="shared" si="3"/>
        <v>13449.84</v>
      </c>
      <c r="R31" s="104">
        <f t="shared" si="3"/>
        <v>13449.84</v>
      </c>
      <c r="S31" s="104">
        <f t="shared" si="3"/>
        <v>13449.84</v>
      </c>
      <c r="T31" s="104">
        <f t="shared" si="3"/>
        <v>13449.84</v>
      </c>
      <c r="U31" s="104">
        <f t="shared" si="3"/>
        <v>13449.84</v>
      </c>
      <c r="V31" s="104">
        <f t="shared" si="3"/>
        <v>13449.84</v>
      </c>
      <c r="W31" s="104">
        <f t="shared" si="3"/>
        <v>13449.84</v>
      </c>
      <c r="X31" s="176">
        <f t="shared" si="3"/>
        <v>13449.84</v>
      </c>
      <c r="Y31" s="104">
        <f t="shared" si="3"/>
        <v>13449.84</v>
      </c>
      <c r="Z31" s="180">
        <f t="shared" ref="Z31" si="4">Z29</f>
        <v>13449.84</v>
      </c>
    </row>
    <row r="32" spans="1:26" s="2" customFormat="1" ht="14.25" x14ac:dyDescent="0.3">
      <c r="A32" s="19"/>
      <c r="B32" s="20" t="s">
        <v>80</v>
      </c>
      <c r="C32" s="20"/>
      <c r="D32" s="20"/>
      <c r="E32" s="21"/>
      <c r="I32" s="106" t="s">
        <v>81</v>
      </c>
      <c r="J32" s="104">
        <f>J31</f>
        <v>-69000</v>
      </c>
      <c r="K32" s="104">
        <f t="shared" ref="K32:Y32" si="5">+(K31/((1+$K$19)^K23))</f>
        <v>12008.785714285714</v>
      </c>
      <c r="L32" s="104">
        <f t="shared" si="5"/>
        <v>10722.130102040815</v>
      </c>
      <c r="M32" s="104">
        <f t="shared" si="5"/>
        <v>9573.3304482507265</v>
      </c>
      <c r="N32" s="104">
        <f t="shared" si="5"/>
        <v>8547.6164716524345</v>
      </c>
      <c r="O32" s="104">
        <f t="shared" si="5"/>
        <v>7631.8004211182451</v>
      </c>
      <c r="P32" s="104">
        <f t="shared" si="5"/>
        <v>6814.1075188555751</v>
      </c>
      <c r="Q32" s="104">
        <f t="shared" si="5"/>
        <v>6084.0245704067629</v>
      </c>
      <c r="R32" s="104">
        <f t="shared" si="5"/>
        <v>5432.1647950060378</v>
      </c>
      <c r="S32" s="104">
        <f t="shared" si="5"/>
        <v>4850.147138398248</v>
      </c>
      <c r="T32" s="104">
        <f t="shared" si="5"/>
        <v>4330.4885164270072</v>
      </c>
      <c r="U32" s="104">
        <f t="shared" si="5"/>
        <v>3866.5076039526839</v>
      </c>
      <c r="V32" s="104">
        <f t="shared" si="5"/>
        <v>3452.2389321006112</v>
      </c>
      <c r="W32" s="104">
        <f t="shared" si="5"/>
        <v>3082.356189375545</v>
      </c>
      <c r="X32" s="176">
        <f t="shared" si="5"/>
        <v>2752.1037405138791</v>
      </c>
      <c r="Y32" s="104">
        <f t="shared" si="5"/>
        <v>2457.2354826016781</v>
      </c>
      <c r="Z32" s="180">
        <f t="shared" ref="Z32" si="6">+(Z31/((1+$K$19)^Z23))</f>
        <v>2193.9602523229264</v>
      </c>
    </row>
    <row r="33" spans="1:26" s="2" customFormat="1" x14ac:dyDescent="0.3">
      <c r="A33" s="24" t="s">
        <v>82</v>
      </c>
      <c r="B33" s="25" t="s">
        <v>83</v>
      </c>
      <c r="C33" s="25" t="s">
        <v>84</v>
      </c>
      <c r="D33" s="35">
        <f>'[1]ME-6'!D38</f>
        <v>0.8</v>
      </c>
      <c r="E33" s="75" t="s">
        <v>85</v>
      </c>
      <c r="I33" s="84"/>
      <c r="J33" s="117"/>
      <c r="K33" s="117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183"/>
      <c r="Z33" s="184"/>
    </row>
    <row r="34" spans="1:26" s="2" customFormat="1" ht="15.75" thickBot="1" x14ac:dyDescent="0.35">
      <c r="A34" s="118" t="s">
        <v>86</v>
      </c>
      <c r="B34" s="119" t="s">
        <v>87</v>
      </c>
      <c r="C34" s="120" t="s">
        <v>88</v>
      </c>
      <c r="D34" s="121">
        <f>D33*D23/1000</f>
        <v>112.464</v>
      </c>
      <c r="E34" s="122" t="str">
        <f>CONCATENATE(A33," x ",A23)</f>
        <v>p x k</v>
      </c>
      <c r="I34" s="123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5"/>
    </row>
    <row r="35" spans="1:26" s="2" customFormat="1" ht="13.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F29"/>
  <sheetViews>
    <sheetView workbookViewId="0">
      <selection activeCell="I12" sqref="I12"/>
    </sheetView>
  </sheetViews>
  <sheetFormatPr defaultRowHeight="15" x14ac:dyDescent="0.25"/>
  <cols>
    <col min="2" max="2" width="25.7109375" customWidth="1"/>
    <col min="4" max="4" width="13.85546875" customWidth="1"/>
  </cols>
  <sheetData>
    <row r="1" spans="2:5" ht="21" x14ac:dyDescent="0.35">
      <c r="B1" s="140" t="s">
        <v>134</v>
      </c>
      <c r="C1" s="140"/>
      <c r="D1" s="140"/>
      <c r="E1" s="140"/>
    </row>
    <row r="3" spans="2:5" x14ac:dyDescent="0.25">
      <c r="D3" t="s">
        <v>142</v>
      </c>
      <c r="E3" t="s">
        <v>110</v>
      </c>
    </row>
    <row r="4" spans="2:5" x14ac:dyDescent="0.25">
      <c r="B4" t="s">
        <v>97</v>
      </c>
      <c r="C4" t="s">
        <v>98</v>
      </c>
      <c r="D4">
        <v>3000</v>
      </c>
      <c r="E4">
        <f>D4</f>
        <v>3000</v>
      </c>
    </row>
    <row r="5" spans="2:5" x14ac:dyDescent="0.25">
      <c r="B5" t="s">
        <v>99</v>
      </c>
      <c r="C5" t="s">
        <v>106</v>
      </c>
      <c r="D5" s="141">
        <v>6</v>
      </c>
      <c r="E5" s="141">
        <v>20</v>
      </c>
    </row>
    <row r="6" spans="2:5" x14ac:dyDescent="0.25">
      <c r="B6" t="s">
        <v>100</v>
      </c>
      <c r="C6" t="s">
        <v>106</v>
      </c>
      <c r="D6" s="141">
        <v>2</v>
      </c>
      <c r="E6" s="141">
        <v>3</v>
      </c>
    </row>
    <row r="7" spans="2:5" ht="15.75" thickBot="1" x14ac:dyDescent="0.3">
      <c r="B7" s="151" t="s">
        <v>108</v>
      </c>
      <c r="C7" s="151" t="s">
        <v>107</v>
      </c>
      <c r="D7" s="152">
        <f>D4*(D5+D6)</f>
        <v>24000</v>
      </c>
      <c r="E7" s="152">
        <f>E4*(E5+E6)</f>
        <v>69000</v>
      </c>
    </row>
    <row r="8" spans="2:5" ht="15.75" thickTop="1" x14ac:dyDescent="0.25">
      <c r="B8" t="s">
        <v>101</v>
      </c>
      <c r="C8" t="s">
        <v>102</v>
      </c>
      <c r="D8" s="141">
        <v>16</v>
      </c>
      <c r="E8">
        <f>D8</f>
        <v>16</v>
      </c>
    </row>
    <row r="9" spans="2:5" x14ac:dyDescent="0.25">
      <c r="B9" t="s">
        <v>103</v>
      </c>
      <c r="C9" t="s">
        <v>52</v>
      </c>
      <c r="D9" s="141">
        <v>8000</v>
      </c>
      <c r="E9" s="141">
        <v>35000</v>
      </c>
    </row>
    <row r="10" spans="2:5" x14ac:dyDescent="0.25">
      <c r="B10" t="s">
        <v>113</v>
      </c>
      <c r="C10" t="s">
        <v>33</v>
      </c>
      <c r="D10">
        <v>2130</v>
      </c>
      <c r="E10">
        <f>D10</f>
        <v>2130</v>
      </c>
    </row>
    <row r="11" spans="2:5" x14ac:dyDescent="0.25">
      <c r="B11" t="s">
        <v>104</v>
      </c>
      <c r="C11" t="s">
        <v>98</v>
      </c>
      <c r="D11">
        <f>ROUNDUP(D10/D9*D8,0)</f>
        <v>5</v>
      </c>
      <c r="E11">
        <f>ROUNDUP(E10/E9*E8,0)</f>
        <v>1</v>
      </c>
    </row>
    <row r="12" spans="2:5" x14ac:dyDescent="0.25">
      <c r="B12" t="s">
        <v>105</v>
      </c>
      <c r="C12" t="s">
        <v>109</v>
      </c>
      <c r="D12" s="139">
        <f>D11*D7</f>
        <v>120000</v>
      </c>
      <c r="E12" s="139">
        <f>E11*E7</f>
        <v>69000</v>
      </c>
    </row>
    <row r="13" spans="2:5" x14ac:dyDescent="0.25">
      <c r="B13" t="s">
        <v>111</v>
      </c>
      <c r="C13" t="s">
        <v>112</v>
      </c>
      <c r="E13" s="139">
        <f>(D12-E12)/E8</f>
        <v>3187.5</v>
      </c>
    </row>
    <row r="28" spans="5:6" ht="75" x14ac:dyDescent="0.25">
      <c r="E28" s="138" t="s">
        <v>94</v>
      </c>
      <c r="F28">
        <f>F20</f>
        <v>0</v>
      </c>
    </row>
    <row r="29" spans="5:6" x14ac:dyDescent="0.25">
      <c r="E29" s="1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F29"/>
  <sheetViews>
    <sheetView workbookViewId="0">
      <selection activeCell="G25" sqref="G25"/>
    </sheetView>
  </sheetViews>
  <sheetFormatPr defaultRowHeight="15" x14ac:dyDescent="0.25"/>
  <cols>
    <col min="2" max="2" width="25.7109375" customWidth="1"/>
    <col min="4" max="4" width="13.85546875" customWidth="1"/>
  </cols>
  <sheetData>
    <row r="1" spans="2:6" ht="21" x14ac:dyDescent="0.35">
      <c r="B1" s="140" t="s">
        <v>123</v>
      </c>
      <c r="C1" s="140"/>
      <c r="D1" s="140"/>
      <c r="E1" s="140"/>
    </row>
    <row r="3" spans="2:6" ht="15.75" thickBot="1" x14ac:dyDescent="0.3">
      <c r="B3" s="151"/>
      <c r="C3" s="151"/>
      <c r="D3" s="163" t="s">
        <v>142</v>
      </c>
      <c r="E3" s="163" t="s">
        <v>110</v>
      </c>
    </row>
    <row r="4" spans="2:6" ht="15.75" thickTop="1" x14ac:dyDescent="0.25">
      <c r="B4" t="s">
        <v>97</v>
      </c>
      <c r="C4" t="s">
        <v>98</v>
      </c>
      <c r="D4" s="146">
        <v>3000</v>
      </c>
      <c r="E4" s="145">
        <f>D4</f>
        <v>3000</v>
      </c>
    </row>
    <row r="5" spans="2:6" x14ac:dyDescent="0.25">
      <c r="B5" t="s">
        <v>99</v>
      </c>
      <c r="C5" t="s">
        <v>106</v>
      </c>
      <c r="D5" s="146">
        <v>6</v>
      </c>
      <c r="E5" s="146">
        <v>20</v>
      </c>
    </row>
    <row r="6" spans="2:6" x14ac:dyDescent="0.25">
      <c r="B6" t="s">
        <v>100</v>
      </c>
      <c r="C6" t="s">
        <v>106</v>
      </c>
      <c r="D6" s="146">
        <v>2</v>
      </c>
      <c r="E6" s="146">
        <v>3</v>
      </c>
    </row>
    <row r="7" spans="2:6" ht="15.75" thickBot="1" x14ac:dyDescent="0.3">
      <c r="B7" s="162" t="s">
        <v>108</v>
      </c>
      <c r="C7" s="162" t="s">
        <v>107</v>
      </c>
      <c r="D7" s="164">
        <f>D4*(D5+D6)</f>
        <v>24000</v>
      </c>
      <c r="E7" s="164">
        <f>E4*(E5+E6)</f>
        <v>69000</v>
      </c>
    </row>
    <row r="8" spans="2:6" x14ac:dyDescent="0.25">
      <c r="B8" t="s">
        <v>101</v>
      </c>
      <c r="C8" t="s">
        <v>102</v>
      </c>
      <c r="D8" s="146">
        <v>16</v>
      </c>
      <c r="E8" s="145">
        <f>D8</f>
        <v>16</v>
      </c>
    </row>
    <row r="9" spans="2:6" x14ac:dyDescent="0.25">
      <c r="B9" t="s">
        <v>103</v>
      </c>
      <c r="C9" t="s">
        <v>52</v>
      </c>
      <c r="D9" s="169">
        <v>8000</v>
      </c>
      <c r="E9" s="169">
        <v>35000</v>
      </c>
      <c r="F9" s="170" t="s">
        <v>137</v>
      </c>
    </row>
    <row r="10" spans="2:6" x14ac:dyDescent="0.25">
      <c r="B10" t="s">
        <v>113</v>
      </c>
      <c r="C10" t="s">
        <v>33</v>
      </c>
      <c r="D10" s="169">
        <v>2130</v>
      </c>
      <c r="E10" s="165">
        <f>D10</f>
        <v>2130</v>
      </c>
      <c r="F10" s="170" t="s">
        <v>131</v>
      </c>
    </row>
    <row r="11" spans="2:6" x14ac:dyDescent="0.25">
      <c r="B11" t="s">
        <v>104</v>
      </c>
      <c r="C11" t="s">
        <v>98</v>
      </c>
      <c r="D11" s="145">
        <f>ROUNDUP(D10/D9*D8,0)</f>
        <v>5</v>
      </c>
      <c r="E11" s="145">
        <f>ROUNDUP(E10/E9*E8,0)</f>
        <v>1</v>
      </c>
    </row>
    <row r="12" spans="2:6" x14ac:dyDescent="0.25">
      <c r="B12" t="s">
        <v>105</v>
      </c>
      <c r="C12" t="s">
        <v>109</v>
      </c>
      <c r="D12" s="165">
        <f>D11*D7</f>
        <v>120000</v>
      </c>
      <c r="E12" s="165">
        <f>E11*E7</f>
        <v>69000</v>
      </c>
    </row>
    <row r="13" spans="2:6" x14ac:dyDescent="0.25">
      <c r="B13" t="s">
        <v>115</v>
      </c>
      <c r="C13" t="s">
        <v>112</v>
      </c>
      <c r="D13" s="145"/>
      <c r="E13" s="165">
        <f>(D12-E12)/E8</f>
        <v>3187.5</v>
      </c>
    </row>
    <row r="28" spans="5:6" ht="75" x14ac:dyDescent="0.25">
      <c r="E28" s="138" t="s">
        <v>94</v>
      </c>
      <c r="F28">
        <f>F20</f>
        <v>0</v>
      </c>
    </row>
    <row r="29" spans="5:6" x14ac:dyDescent="0.25">
      <c r="E29" s="1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Y82"/>
  <sheetViews>
    <sheetView topLeftCell="F1" zoomScale="70" zoomScaleNormal="70" workbookViewId="0">
      <selection activeCell="F26" sqref="A26:XFD26"/>
    </sheetView>
  </sheetViews>
  <sheetFormatPr defaultRowHeight="15" x14ac:dyDescent="0.25"/>
  <cols>
    <col min="1" max="1" width="4.28515625" customWidth="1"/>
    <col min="2" max="2" width="28.7109375" customWidth="1"/>
    <col min="3" max="3" width="13.7109375" customWidth="1"/>
    <col min="4" max="4" width="12.85546875" customWidth="1"/>
    <col min="5" max="5" width="21.140625" bestFit="1" customWidth="1"/>
    <col min="7" max="7" width="10" customWidth="1"/>
    <col min="9" max="9" width="36.28515625" customWidth="1"/>
    <col min="10" max="10" width="10.28515625" bestFit="1" customWidth="1"/>
    <col min="12" max="12" width="12.5703125" bestFit="1" customWidth="1"/>
    <col min="13" max="13" width="11" customWidth="1"/>
    <col min="17" max="17" width="9.85546875" customWidth="1"/>
    <col min="18" max="18" width="12" customWidth="1"/>
    <col min="21" max="21" width="10.140625" bestFit="1" customWidth="1"/>
  </cols>
  <sheetData>
    <row r="1" spans="1:25" s="2" customFormat="1" ht="24" x14ac:dyDescent="0.35">
      <c r="A1" s="153" t="s">
        <v>126</v>
      </c>
      <c r="B1" s="154"/>
      <c r="C1" s="154"/>
      <c r="D1" s="154"/>
      <c r="E1" s="155"/>
      <c r="I1" s="4" t="s">
        <v>0</v>
      </c>
    </row>
    <row r="2" spans="1:25" s="2" customFormat="1" ht="24.75" thickBot="1" x14ac:dyDescent="0.4">
      <c r="A2" s="5" t="s">
        <v>1</v>
      </c>
      <c r="C2" s="5"/>
      <c r="E2" s="3"/>
    </row>
    <row r="3" spans="1:25" s="2" customFormat="1" ht="15.75" x14ac:dyDescent="0.25">
      <c r="A3" s="6" t="s">
        <v>2</v>
      </c>
      <c r="C3" s="5"/>
      <c r="I3" s="7" t="s">
        <v>1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25" s="2" customFormat="1" ht="16.5" thickBot="1" x14ac:dyDescent="0.3">
      <c r="C4" s="5"/>
      <c r="I4" s="11" t="str">
        <f>A3</f>
        <v>Replacement of lamps with LED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</row>
    <row r="5" spans="1:25" s="2" customFormat="1" ht="13.5" x14ac:dyDescent="0.25">
      <c r="A5" s="15" t="s">
        <v>3</v>
      </c>
      <c r="B5" s="16" t="s">
        <v>4</v>
      </c>
      <c r="C5" s="16" t="s">
        <v>5</v>
      </c>
      <c r="D5" s="16" t="s">
        <v>6</v>
      </c>
      <c r="E5" s="17" t="s">
        <v>7</v>
      </c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</row>
    <row r="6" spans="1:25" s="2" customFormat="1" ht="14.25" thickBot="1" x14ac:dyDescent="0.3">
      <c r="A6" s="19"/>
      <c r="B6" s="20" t="s">
        <v>8</v>
      </c>
      <c r="C6" s="20"/>
      <c r="D6" s="20"/>
      <c r="E6" s="21"/>
      <c r="I6" s="22" t="s">
        <v>9</v>
      </c>
      <c r="J6" s="23"/>
      <c r="K6" s="23"/>
      <c r="L6" s="13"/>
      <c r="M6" s="13"/>
      <c r="N6" s="12" t="s">
        <v>10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1:25" s="2" customFormat="1" ht="13.5" x14ac:dyDescent="0.25">
      <c r="A7" s="24" t="s">
        <v>11</v>
      </c>
      <c r="B7" s="25" t="s">
        <v>12</v>
      </c>
      <c r="C7" s="25" t="s">
        <v>95</v>
      </c>
      <c r="D7" s="26">
        <v>3.07</v>
      </c>
      <c r="E7" s="27" t="str">
        <f>'[1]ME-6'!E7</f>
        <v>tariff for 2013 (no VAT)</v>
      </c>
      <c r="I7" s="28"/>
      <c r="J7" s="29"/>
      <c r="K7" s="29" t="s">
        <v>13</v>
      </c>
      <c r="L7" s="13"/>
      <c r="M7" s="13"/>
      <c r="N7" s="30"/>
      <c r="O7" s="31"/>
      <c r="P7" s="32"/>
      <c r="Q7" s="33"/>
      <c r="R7" s="34"/>
      <c r="S7" s="13"/>
      <c r="T7" s="13"/>
      <c r="U7" s="13"/>
      <c r="V7" s="13"/>
      <c r="W7" s="13"/>
      <c r="X7" s="13"/>
      <c r="Y7" s="14"/>
    </row>
    <row r="8" spans="1:25" s="2" customFormat="1" ht="14.25" thickBot="1" x14ac:dyDescent="0.3">
      <c r="A8" s="24" t="s">
        <v>14</v>
      </c>
      <c r="B8" s="25" t="s">
        <v>12</v>
      </c>
      <c r="C8" s="25" t="s">
        <v>96</v>
      </c>
      <c r="D8" s="157">
        <v>7.2999999999999995E-2</v>
      </c>
      <c r="E8" s="27" t="str">
        <f>'[1]ME-6'!E8</f>
        <v>tariff for 2013 (no VAT)</v>
      </c>
      <c r="I8" s="36" t="s">
        <v>15</v>
      </c>
      <c r="J8" s="37" t="s">
        <v>16</v>
      </c>
      <c r="K8" s="37" t="s">
        <v>17</v>
      </c>
      <c r="L8" s="13"/>
      <c r="M8" s="13"/>
      <c r="N8" s="38" t="s">
        <v>15</v>
      </c>
      <c r="O8" s="36"/>
      <c r="P8" s="39"/>
      <c r="Q8" s="40" t="s">
        <v>16</v>
      </c>
      <c r="R8" s="41" t="s">
        <v>18</v>
      </c>
      <c r="S8" s="13"/>
      <c r="T8" s="13"/>
      <c r="U8" s="13"/>
      <c r="V8" s="13"/>
      <c r="W8" s="13"/>
      <c r="X8" s="13"/>
      <c r="Y8" s="14"/>
    </row>
    <row r="9" spans="1:25" s="2" customFormat="1" ht="14.25" x14ac:dyDescent="0.3">
      <c r="A9" s="18"/>
      <c r="B9" s="13"/>
      <c r="C9" s="13"/>
      <c r="D9" s="13"/>
      <c r="E9" s="14"/>
      <c r="I9" s="42" t="s">
        <v>19</v>
      </c>
      <c r="J9" s="43" t="s">
        <v>20</v>
      </c>
      <c r="K9" s="44">
        <f>D24</f>
        <v>8396.4599999999991</v>
      </c>
      <c r="L9" s="45"/>
      <c r="M9" s="45"/>
      <c r="N9" s="46" t="s">
        <v>21</v>
      </c>
      <c r="O9" s="47"/>
      <c r="P9" s="48"/>
      <c r="Q9" s="49" t="s">
        <v>20</v>
      </c>
      <c r="R9" s="50">
        <f>SUM(J32:Y32)</f>
        <v>43352.899184253678</v>
      </c>
      <c r="S9" s="45"/>
      <c r="T9" s="45"/>
      <c r="U9" s="45"/>
      <c r="V9" s="45"/>
      <c r="W9" s="45"/>
      <c r="X9" s="45"/>
      <c r="Y9" s="51"/>
    </row>
    <row r="10" spans="1:25" s="2" customFormat="1" ht="14.25" x14ac:dyDescent="0.3">
      <c r="A10" s="19"/>
      <c r="B10" s="20" t="s">
        <v>22</v>
      </c>
      <c r="C10" s="52"/>
      <c r="D10" s="52"/>
      <c r="E10" s="53"/>
      <c r="I10" s="54" t="s">
        <v>23</v>
      </c>
      <c r="J10" s="55" t="str">
        <f>J9</f>
        <v>EUR</v>
      </c>
      <c r="K10" s="56">
        <v>0</v>
      </c>
      <c r="L10" s="45"/>
      <c r="M10" s="45"/>
      <c r="N10" s="57" t="s">
        <v>24</v>
      </c>
      <c r="O10" s="58"/>
      <c r="P10" s="59"/>
      <c r="Q10" s="60" t="s">
        <v>25</v>
      </c>
      <c r="R10" s="61">
        <f>K13/(K11+K12+K15+K14)</f>
        <v>4.6711699452863833</v>
      </c>
      <c r="S10" s="45"/>
      <c r="T10" s="45"/>
      <c r="U10" s="45"/>
      <c r="V10" s="45"/>
      <c r="W10" s="45"/>
      <c r="X10" s="45"/>
      <c r="Y10" s="51"/>
    </row>
    <row r="11" spans="1:25" s="2" customFormat="1" ht="27.75" x14ac:dyDescent="0.3">
      <c r="A11" s="24" t="s">
        <v>26</v>
      </c>
      <c r="B11" s="62" t="s">
        <v>27</v>
      </c>
      <c r="C11" s="25" t="s">
        <v>28</v>
      </c>
      <c r="D11" s="63">
        <f>'O&amp;M Solutions'!D4*36/1000</f>
        <v>108</v>
      </c>
      <c r="E11" s="64" t="s">
        <v>114</v>
      </c>
      <c r="I11" s="65" t="s">
        <v>29</v>
      </c>
      <c r="J11" s="66" t="str">
        <f>J10</f>
        <v>EUR</v>
      </c>
      <c r="K11" s="67">
        <f>+K10+K9+K14</f>
        <v>11583.96</v>
      </c>
      <c r="L11" s="45"/>
      <c r="M11" s="45"/>
      <c r="N11" s="57" t="s">
        <v>30</v>
      </c>
      <c r="O11" s="58"/>
      <c r="P11" s="59"/>
      <c r="Q11" s="60"/>
      <c r="R11" s="61">
        <f>SUM(K32:Y32)/(J31*-1)</f>
        <v>1.6283028867283142</v>
      </c>
      <c r="S11" s="45"/>
      <c r="T11" s="45"/>
      <c r="U11" s="45"/>
      <c r="V11" s="45"/>
      <c r="W11" s="45"/>
      <c r="X11" s="45"/>
      <c r="Y11" s="51"/>
    </row>
    <row r="12" spans="1:25" s="2" customFormat="1" ht="28.5" thickBot="1" x14ac:dyDescent="0.35">
      <c r="A12" s="24" t="s">
        <v>31</v>
      </c>
      <c r="B12" s="25" t="s">
        <v>32</v>
      </c>
      <c r="C12" s="25" t="s">
        <v>33</v>
      </c>
      <c r="D12" s="68">
        <f>'O&amp;M Solutions'!D10</f>
        <v>2130</v>
      </c>
      <c r="E12" s="64" t="s">
        <v>124</v>
      </c>
      <c r="I12" s="54" t="s">
        <v>34</v>
      </c>
      <c r="J12" s="55" t="str">
        <f>J11</f>
        <v>EUR</v>
      </c>
      <c r="K12" s="56">
        <v>0</v>
      </c>
      <c r="L12" s="45"/>
      <c r="M12" s="45"/>
      <c r="N12" s="69" t="s">
        <v>35</v>
      </c>
      <c r="O12" s="70"/>
      <c r="P12" s="71"/>
      <c r="Q12" s="72" t="s">
        <v>36</v>
      </c>
      <c r="R12" s="73">
        <f>IF(IRR(J31:Y31)&gt;0,IRR(J31:Y31),0)</f>
        <v>0.20022287671393424</v>
      </c>
      <c r="S12" s="45"/>
      <c r="T12" s="45"/>
      <c r="U12" s="45"/>
      <c r="V12" s="45"/>
      <c r="W12" s="45"/>
      <c r="X12" s="45"/>
      <c r="Y12" s="51"/>
    </row>
    <row r="13" spans="1:25" s="2" customFormat="1" ht="14.25" x14ac:dyDescent="0.3">
      <c r="A13" s="24" t="s">
        <v>37</v>
      </c>
      <c r="B13" s="25" t="s">
        <v>38</v>
      </c>
      <c r="C13" s="25" t="s">
        <v>39</v>
      </c>
      <c r="D13" s="74">
        <f>D11*D12</f>
        <v>230040</v>
      </c>
      <c r="E13" s="75" t="s">
        <v>132</v>
      </c>
      <c r="I13" s="54" t="s">
        <v>41</v>
      </c>
      <c r="J13" s="55" t="s">
        <v>20</v>
      </c>
      <c r="K13" s="56">
        <f>D30</f>
        <v>69000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51"/>
    </row>
    <row r="14" spans="1:25" s="2" customFormat="1" ht="14.25" x14ac:dyDescent="0.3">
      <c r="A14" s="76" t="s">
        <v>42</v>
      </c>
      <c r="B14" s="77" t="s">
        <v>43</v>
      </c>
      <c r="C14" s="77" t="s">
        <v>44</v>
      </c>
      <c r="D14" s="78">
        <f>D13*D8</f>
        <v>16792.919999999998</v>
      </c>
      <c r="E14" s="75" t="s">
        <v>133</v>
      </c>
      <c r="I14" s="79" t="s">
        <v>45</v>
      </c>
      <c r="J14" s="80" t="str">
        <f>J13</f>
        <v>EUR</v>
      </c>
      <c r="K14" s="81">
        <f>D26</f>
        <v>3187.5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51"/>
    </row>
    <row r="15" spans="1:25" s="2" customFormat="1" ht="14.25" x14ac:dyDescent="0.3">
      <c r="A15" s="24"/>
      <c r="B15" s="25"/>
      <c r="C15" s="25"/>
      <c r="D15" s="74"/>
      <c r="E15" s="75"/>
      <c r="I15" s="54" t="s">
        <v>46</v>
      </c>
      <c r="J15" s="55" t="str">
        <f>J14</f>
        <v>EUR</v>
      </c>
      <c r="K15" s="56">
        <v>0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51"/>
    </row>
    <row r="16" spans="1:25" s="2" customFormat="1" ht="14.25" x14ac:dyDescent="0.3">
      <c r="A16" s="19"/>
      <c r="B16" s="20" t="s">
        <v>47</v>
      </c>
      <c r="C16" s="52"/>
      <c r="D16" s="52"/>
      <c r="E16" s="53"/>
      <c r="I16" s="54" t="s">
        <v>48</v>
      </c>
      <c r="J16" s="55" t="s">
        <v>36</v>
      </c>
      <c r="K16" s="158">
        <v>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51"/>
    </row>
    <row r="17" spans="1:25" s="2" customFormat="1" ht="27.75" x14ac:dyDescent="0.3">
      <c r="A17" s="24" t="s">
        <v>49</v>
      </c>
      <c r="B17" s="62" t="s">
        <v>50</v>
      </c>
      <c r="C17" s="25" t="s">
        <v>28</v>
      </c>
      <c r="D17" s="82">
        <f>'O&amp;M Solutions'!E4*18/1000</f>
        <v>54</v>
      </c>
      <c r="E17" s="64" t="str">
        <f>E11</f>
        <v>installed capacity of lights (5000lamps)</v>
      </c>
      <c r="I17" s="54" t="s">
        <v>51</v>
      </c>
      <c r="J17" s="55" t="s">
        <v>25</v>
      </c>
      <c r="K17" s="55">
        <v>15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51"/>
    </row>
    <row r="18" spans="1:25" s="2" customFormat="1" ht="30.75" customHeight="1" x14ac:dyDescent="0.3">
      <c r="A18" s="18" t="s">
        <v>52</v>
      </c>
      <c r="B18" s="25" t="s">
        <v>32</v>
      </c>
      <c r="C18" s="25" t="s">
        <v>33</v>
      </c>
      <c r="D18" s="68">
        <f>D12</f>
        <v>2130</v>
      </c>
      <c r="E18" s="64" t="str">
        <f>E12</f>
        <v>1 shift 15 days maint. Period</v>
      </c>
      <c r="I18" s="54" t="s">
        <v>53</v>
      </c>
      <c r="J18" s="55" t="s">
        <v>36</v>
      </c>
      <c r="K18" s="55">
        <v>0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51"/>
    </row>
    <row r="19" spans="1:25" s="2" customFormat="1" ht="14.25" x14ac:dyDescent="0.3">
      <c r="A19" s="24" t="s">
        <v>54</v>
      </c>
      <c r="B19" s="25" t="s">
        <v>38</v>
      </c>
      <c r="C19" s="25" t="s">
        <v>39</v>
      </c>
      <c r="D19" s="68">
        <f>D17*D18</f>
        <v>115020</v>
      </c>
      <c r="E19" s="75" t="str">
        <f>CONCATENATE(A17," x ",A18, )</f>
        <v>g x h</v>
      </c>
      <c r="I19" s="54" t="s">
        <v>55</v>
      </c>
      <c r="J19" s="55" t="s">
        <v>36</v>
      </c>
      <c r="K19" s="156">
        <v>0.1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51"/>
    </row>
    <row r="20" spans="1:25" s="2" customFormat="1" ht="14.25" x14ac:dyDescent="0.3">
      <c r="A20" s="76" t="s">
        <v>56</v>
      </c>
      <c r="B20" s="77" t="s">
        <v>43</v>
      </c>
      <c r="C20" s="77" t="s">
        <v>44</v>
      </c>
      <c r="D20" s="78">
        <f>D19*D8</f>
        <v>8396.4599999999991</v>
      </c>
      <c r="E20" s="75" t="str">
        <f>CONCATENATE(A19," x ",A8)</f>
        <v>i x b</v>
      </c>
      <c r="I20" s="8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51"/>
    </row>
    <row r="21" spans="1:25" s="2" customFormat="1" ht="14.25" x14ac:dyDescent="0.3">
      <c r="A21" s="24"/>
      <c r="B21" s="25"/>
      <c r="C21" s="25"/>
      <c r="D21" s="74"/>
      <c r="E21" s="75"/>
      <c r="I21" s="8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51"/>
    </row>
    <row r="22" spans="1:25" s="2" customFormat="1" ht="14.25" x14ac:dyDescent="0.3">
      <c r="A22" s="85"/>
      <c r="B22" s="86" t="s">
        <v>57</v>
      </c>
      <c r="C22" s="87"/>
      <c r="D22" s="87"/>
      <c r="E22" s="88"/>
      <c r="I22" s="89" t="s">
        <v>58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51"/>
    </row>
    <row r="23" spans="1:25" s="2" customFormat="1" ht="14.25" x14ac:dyDescent="0.3">
      <c r="A23" s="24" t="s">
        <v>59</v>
      </c>
      <c r="B23" s="25" t="s">
        <v>60</v>
      </c>
      <c r="C23" s="25" t="s">
        <v>61</v>
      </c>
      <c r="D23" s="74">
        <f>D13-D19</f>
        <v>115020</v>
      </c>
      <c r="E23" s="75" t="str">
        <f>CONCATENATE(A13," - ",A19)</f>
        <v>e - i</v>
      </c>
      <c r="I23" s="90" t="s">
        <v>62</v>
      </c>
      <c r="J23" s="91">
        <v>0</v>
      </c>
      <c r="K23" s="91">
        <v>1</v>
      </c>
      <c r="L23" s="91">
        <v>2</v>
      </c>
      <c r="M23" s="91">
        <v>3</v>
      </c>
      <c r="N23" s="91">
        <v>4</v>
      </c>
      <c r="O23" s="91">
        <v>5</v>
      </c>
      <c r="P23" s="91">
        <v>6</v>
      </c>
      <c r="Q23" s="91">
        <v>7</v>
      </c>
      <c r="R23" s="91">
        <v>8</v>
      </c>
      <c r="S23" s="91">
        <v>9</v>
      </c>
      <c r="T23" s="91">
        <v>10</v>
      </c>
      <c r="U23" s="91">
        <v>11</v>
      </c>
      <c r="V23" s="91">
        <v>12</v>
      </c>
      <c r="W23" s="91">
        <v>13</v>
      </c>
      <c r="X23" s="91">
        <v>14</v>
      </c>
      <c r="Y23" s="92">
        <v>15</v>
      </c>
    </row>
    <row r="24" spans="1:25" s="2" customFormat="1" thickBot="1" x14ac:dyDescent="0.35">
      <c r="A24" s="24" t="s">
        <v>63</v>
      </c>
      <c r="B24" s="25" t="s">
        <v>64</v>
      </c>
      <c r="C24" s="25" t="s">
        <v>44</v>
      </c>
      <c r="D24" s="74">
        <f>D23*D8</f>
        <v>8396.4599999999991</v>
      </c>
      <c r="E24" s="75" t="str">
        <f>CONCATENATE(A23," x ",A8)</f>
        <v>k x b</v>
      </c>
      <c r="I24" s="93" t="s">
        <v>65</v>
      </c>
      <c r="J24" s="94">
        <v>2015</v>
      </c>
      <c r="K24" s="94">
        <v>2016</v>
      </c>
      <c r="L24" s="94">
        <v>2017</v>
      </c>
      <c r="M24" s="94">
        <v>2018</v>
      </c>
      <c r="N24" s="94">
        <v>2019</v>
      </c>
      <c r="O24" s="94">
        <v>2020</v>
      </c>
      <c r="P24" s="94">
        <v>2021</v>
      </c>
      <c r="Q24" s="94">
        <v>2022</v>
      </c>
      <c r="R24" s="94">
        <v>2023</v>
      </c>
      <c r="S24" s="94">
        <v>2024</v>
      </c>
      <c r="T24" s="94">
        <v>2025</v>
      </c>
      <c r="U24" s="94">
        <v>2026</v>
      </c>
      <c r="V24" s="94">
        <v>2027</v>
      </c>
      <c r="W24" s="94">
        <v>2028</v>
      </c>
      <c r="X24" s="94">
        <v>2029</v>
      </c>
      <c r="Y24" s="161">
        <v>2030</v>
      </c>
    </row>
    <row r="25" spans="1:25" s="2" customFormat="1" thickTop="1" x14ac:dyDescent="0.3">
      <c r="A25" s="24" t="s">
        <v>66</v>
      </c>
      <c r="B25" s="25" t="s">
        <v>67</v>
      </c>
      <c r="C25" s="25" t="s">
        <v>36</v>
      </c>
      <c r="D25" s="95">
        <f>1-D20/D14</f>
        <v>0.5</v>
      </c>
      <c r="E25" s="96" t="s">
        <v>68</v>
      </c>
      <c r="I25" s="97" t="s">
        <v>69</v>
      </c>
      <c r="J25" s="98"/>
      <c r="K25" s="99">
        <f>K11</f>
        <v>11583.96</v>
      </c>
      <c r="L25" s="99">
        <f>K25*(1+$K$16)</f>
        <v>11583.96</v>
      </c>
      <c r="M25" s="99">
        <f t="shared" ref="M25:Y25" si="0">L25*(1+$K$16)</f>
        <v>11583.96</v>
      </c>
      <c r="N25" s="99">
        <f t="shared" si="0"/>
        <v>11583.96</v>
      </c>
      <c r="O25" s="99">
        <f t="shared" si="0"/>
        <v>11583.96</v>
      </c>
      <c r="P25" s="99">
        <f t="shared" si="0"/>
        <v>11583.96</v>
      </c>
      <c r="Q25" s="99">
        <f t="shared" si="0"/>
        <v>11583.96</v>
      </c>
      <c r="R25" s="99">
        <f t="shared" si="0"/>
        <v>11583.96</v>
      </c>
      <c r="S25" s="99">
        <f t="shared" si="0"/>
        <v>11583.96</v>
      </c>
      <c r="T25" s="99">
        <f t="shared" si="0"/>
        <v>11583.96</v>
      </c>
      <c r="U25" s="99">
        <f t="shared" si="0"/>
        <v>11583.96</v>
      </c>
      <c r="V25" s="99">
        <f t="shared" si="0"/>
        <v>11583.96</v>
      </c>
      <c r="W25" s="99">
        <f t="shared" si="0"/>
        <v>11583.96</v>
      </c>
      <c r="X25" s="99">
        <f t="shared" si="0"/>
        <v>11583.96</v>
      </c>
      <c r="Y25" s="100">
        <f t="shared" si="0"/>
        <v>11583.96</v>
      </c>
    </row>
    <row r="26" spans="1:25" s="2" customFormat="1" ht="14.25" x14ac:dyDescent="0.3">
      <c r="A26" s="24" t="s">
        <v>70</v>
      </c>
      <c r="B26" s="25" t="s">
        <v>45</v>
      </c>
      <c r="C26" s="25" t="s">
        <v>44</v>
      </c>
      <c r="D26" s="74">
        <f>'O&amp;M Solutions'!E13</f>
        <v>3187.5</v>
      </c>
      <c r="E26" s="75" t="s">
        <v>71</v>
      </c>
      <c r="I26" s="101" t="s">
        <v>34</v>
      </c>
      <c r="J26" s="102"/>
      <c r="K26" s="104">
        <f>K12</f>
        <v>0</v>
      </c>
      <c r="L26" s="104">
        <f t="shared" ref="L26:Y27" si="1">K26</f>
        <v>0</v>
      </c>
      <c r="M26" s="104">
        <f t="shared" si="1"/>
        <v>0</v>
      </c>
      <c r="N26" s="104">
        <f t="shared" si="1"/>
        <v>0</v>
      </c>
      <c r="O26" s="104">
        <f t="shared" si="1"/>
        <v>0</v>
      </c>
      <c r="P26" s="104">
        <f t="shared" si="1"/>
        <v>0</v>
      </c>
      <c r="Q26" s="104">
        <f t="shared" si="1"/>
        <v>0</v>
      </c>
      <c r="R26" s="104">
        <f t="shared" si="1"/>
        <v>0</v>
      </c>
      <c r="S26" s="104">
        <f t="shared" si="1"/>
        <v>0</v>
      </c>
      <c r="T26" s="104">
        <f t="shared" si="1"/>
        <v>0</v>
      </c>
      <c r="U26" s="104">
        <f t="shared" si="1"/>
        <v>0</v>
      </c>
      <c r="V26" s="104">
        <f t="shared" si="1"/>
        <v>0</v>
      </c>
      <c r="W26" s="104">
        <f t="shared" si="1"/>
        <v>0</v>
      </c>
      <c r="X26" s="104">
        <f t="shared" si="1"/>
        <v>0</v>
      </c>
      <c r="Y26" s="105">
        <f t="shared" si="1"/>
        <v>0</v>
      </c>
    </row>
    <row r="27" spans="1:25" s="2" customFormat="1" ht="14.25" x14ac:dyDescent="0.3">
      <c r="A27" s="24" t="s">
        <v>70</v>
      </c>
      <c r="B27" s="77" t="s">
        <v>72</v>
      </c>
      <c r="C27" s="77" t="s">
        <v>44</v>
      </c>
      <c r="D27" s="78">
        <f>D24+D26</f>
        <v>11583.96</v>
      </c>
      <c r="E27" s="75"/>
      <c r="I27" s="106" t="s">
        <v>73</v>
      </c>
      <c r="J27" s="107"/>
      <c r="K27" s="104">
        <f>K15</f>
        <v>0</v>
      </c>
      <c r="L27" s="104">
        <f t="shared" si="1"/>
        <v>0</v>
      </c>
      <c r="M27" s="104">
        <f t="shared" si="1"/>
        <v>0</v>
      </c>
      <c r="N27" s="104">
        <f t="shared" si="1"/>
        <v>0</v>
      </c>
      <c r="O27" s="104">
        <f t="shared" si="1"/>
        <v>0</v>
      </c>
      <c r="P27" s="104">
        <f t="shared" si="1"/>
        <v>0</v>
      </c>
      <c r="Q27" s="104">
        <f t="shared" si="1"/>
        <v>0</v>
      </c>
      <c r="R27" s="104">
        <f t="shared" si="1"/>
        <v>0</v>
      </c>
      <c r="S27" s="104">
        <f t="shared" si="1"/>
        <v>0</v>
      </c>
      <c r="T27" s="104">
        <f t="shared" si="1"/>
        <v>0</v>
      </c>
      <c r="U27" s="104">
        <f t="shared" si="1"/>
        <v>0</v>
      </c>
      <c r="V27" s="104">
        <f t="shared" si="1"/>
        <v>0</v>
      </c>
      <c r="W27" s="104">
        <f t="shared" si="1"/>
        <v>0</v>
      </c>
      <c r="X27" s="104">
        <f t="shared" si="1"/>
        <v>0</v>
      </c>
      <c r="Y27" s="105">
        <f t="shared" si="1"/>
        <v>0</v>
      </c>
    </row>
    <row r="28" spans="1:25" s="2" customFormat="1" ht="14.25" x14ac:dyDescent="0.3">
      <c r="A28" s="24"/>
      <c r="B28" s="25"/>
      <c r="C28" s="25"/>
      <c r="D28" s="25"/>
      <c r="E28" s="75"/>
      <c r="I28" s="108" t="str">
        <f>I14</f>
        <v>Reduction in O&amp;M costs</v>
      </c>
      <c r="J28" s="109"/>
      <c r="K28" s="110">
        <f>K14</f>
        <v>3187.5</v>
      </c>
      <c r="L28" s="110">
        <f>K28*(1+$K16)</f>
        <v>3187.5</v>
      </c>
      <c r="M28" s="110">
        <f t="shared" ref="M28:Y28" si="2">L28*(1+$K16)</f>
        <v>3187.5</v>
      </c>
      <c r="N28" s="110">
        <f t="shared" si="2"/>
        <v>3187.5</v>
      </c>
      <c r="O28" s="110">
        <f t="shared" si="2"/>
        <v>3187.5</v>
      </c>
      <c r="P28" s="110">
        <f t="shared" si="2"/>
        <v>3187.5</v>
      </c>
      <c r="Q28" s="110">
        <f t="shared" si="2"/>
        <v>3187.5</v>
      </c>
      <c r="R28" s="110">
        <f t="shared" si="2"/>
        <v>3187.5</v>
      </c>
      <c r="S28" s="110">
        <f t="shared" si="2"/>
        <v>3187.5</v>
      </c>
      <c r="T28" s="110">
        <f t="shared" si="2"/>
        <v>3187.5</v>
      </c>
      <c r="U28" s="110">
        <f t="shared" si="2"/>
        <v>3187.5</v>
      </c>
      <c r="V28" s="110">
        <f t="shared" si="2"/>
        <v>3187.5</v>
      </c>
      <c r="W28" s="110">
        <f t="shared" si="2"/>
        <v>3187.5</v>
      </c>
      <c r="X28" s="110">
        <f t="shared" si="2"/>
        <v>3187.5</v>
      </c>
      <c r="Y28" s="111">
        <f t="shared" si="2"/>
        <v>3187.5</v>
      </c>
    </row>
    <row r="29" spans="1:25" s="2" customFormat="1" ht="13.5" x14ac:dyDescent="0.25">
      <c r="A29" s="19"/>
      <c r="B29" s="20" t="s">
        <v>41</v>
      </c>
      <c r="C29" s="20"/>
      <c r="D29" s="20"/>
      <c r="E29" s="112"/>
      <c r="I29" s="113" t="s">
        <v>74</v>
      </c>
      <c r="J29" s="114"/>
      <c r="K29" s="115">
        <f t="shared" ref="K29:Y29" si="3">+K25+K26+K27+K28</f>
        <v>14771.46</v>
      </c>
      <c r="L29" s="115">
        <f t="shared" si="3"/>
        <v>14771.46</v>
      </c>
      <c r="M29" s="115">
        <f t="shared" si="3"/>
        <v>14771.46</v>
      </c>
      <c r="N29" s="115">
        <f t="shared" si="3"/>
        <v>14771.46</v>
      </c>
      <c r="O29" s="115">
        <f t="shared" si="3"/>
        <v>14771.46</v>
      </c>
      <c r="P29" s="115">
        <f t="shared" si="3"/>
        <v>14771.46</v>
      </c>
      <c r="Q29" s="115">
        <f t="shared" si="3"/>
        <v>14771.46</v>
      </c>
      <c r="R29" s="115">
        <f t="shared" si="3"/>
        <v>14771.46</v>
      </c>
      <c r="S29" s="115">
        <f t="shared" si="3"/>
        <v>14771.46</v>
      </c>
      <c r="T29" s="115">
        <f t="shared" si="3"/>
        <v>14771.46</v>
      </c>
      <c r="U29" s="115">
        <f t="shared" si="3"/>
        <v>14771.46</v>
      </c>
      <c r="V29" s="115">
        <f t="shared" si="3"/>
        <v>14771.46</v>
      </c>
      <c r="W29" s="115">
        <f t="shared" si="3"/>
        <v>14771.46</v>
      </c>
      <c r="X29" s="115">
        <f t="shared" si="3"/>
        <v>14771.46</v>
      </c>
      <c r="Y29" s="116">
        <f t="shared" si="3"/>
        <v>14771.46</v>
      </c>
    </row>
    <row r="30" spans="1:25" s="2" customFormat="1" ht="14.25" x14ac:dyDescent="0.3">
      <c r="A30" s="24" t="s">
        <v>75</v>
      </c>
      <c r="B30" s="25" t="s">
        <v>76</v>
      </c>
      <c r="C30" s="77" t="s">
        <v>77</v>
      </c>
      <c r="D30" s="68">
        <f>'O&amp;M Solutions'!E7</f>
        <v>69000</v>
      </c>
      <c r="E30" s="75"/>
      <c r="I30" s="106" t="s">
        <v>78</v>
      </c>
      <c r="J30" s="104">
        <f>-K13</f>
        <v>-69000</v>
      </c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1"/>
    </row>
    <row r="31" spans="1:25" s="2" customFormat="1" ht="14.25" x14ac:dyDescent="0.3">
      <c r="A31" s="24"/>
      <c r="B31" s="25"/>
      <c r="C31" s="25"/>
      <c r="D31" s="25"/>
      <c r="E31" s="96"/>
      <c r="I31" s="106" t="s">
        <v>79</v>
      </c>
      <c r="J31" s="104">
        <f>J30</f>
        <v>-69000</v>
      </c>
      <c r="K31" s="104">
        <f t="shared" ref="K31:Y31" si="4">K29</f>
        <v>14771.46</v>
      </c>
      <c r="L31" s="104">
        <f t="shared" si="4"/>
        <v>14771.46</v>
      </c>
      <c r="M31" s="104">
        <f>M29</f>
        <v>14771.46</v>
      </c>
      <c r="N31" s="104">
        <f t="shared" si="4"/>
        <v>14771.46</v>
      </c>
      <c r="O31" s="104">
        <f t="shared" si="4"/>
        <v>14771.46</v>
      </c>
      <c r="P31" s="104">
        <f t="shared" si="4"/>
        <v>14771.46</v>
      </c>
      <c r="Q31" s="104">
        <f t="shared" si="4"/>
        <v>14771.46</v>
      </c>
      <c r="R31" s="104">
        <f t="shared" si="4"/>
        <v>14771.46</v>
      </c>
      <c r="S31" s="104">
        <f t="shared" si="4"/>
        <v>14771.46</v>
      </c>
      <c r="T31" s="104">
        <f t="shared" si="4"/>
        <v>14771.46</v>
      </c>
      <c r="U31" s="104">
        <f t="shared" si="4"/>
        <v>14771.46</v>
      </c>
      <c r="V31" s="104">
        <f t="shared" si="4"/>
        <v>14771.46</v>
      </c>
      <c r="W31" s="104">
        <f t="shared" si="4"/>
        <v>14771.46</v>
      </c>
      <c r="X31" s="104">
        <f t="shared" si="4"/>
        <v>14771.46</v>
      </c>
      <c r="Y31" s="105">
        <f t="shared" si="4"/>
        <v>14771.46</v>
      </c>
    </row>
    <row r="32" spans="1:25" s="2" customFormat="1" ht="14.25" x14ac:dyDescent="0.3">
      <c r="A32" s="19"/>
      <c r="B32" s="20" t="s">
        <v>80</v>
      </c>
      <c r="C32" s="20"/>
      <c r="D32" s="20"/>
      <c r="E32" s="21"/>
      <c r="I32" s="106" t="s">
        <v>81</v>
      </c>
      <c r="J32" s="104">
        <f>J31</f>
        <v>-69000</v>
      </c>
      <c r="K32" s="104">
        <f t="shared" ref="K32:Y32" si="5">+(K31/((1+$K$19)^K23))</f>
        <v>13428.599999999999</v>
      </c>
      <c r="L32" s="104">
        <f t="shared" si="5"/>
        <v>12207.818181818178</v>
      </c>
      <c r="M32" s="104">
        <f t="shared" si="5"/>
        <v>11098.016528925617</v>
      </c>
      <c r="N32" s="104">
        <f t="shared" si="5"/>
        <v>10089.105935386924</v>
      </c>
      <c r="O32" s="104">
        <f t="shared" si="5"/>
        <v>9171.9144867153846</v>
      </c>
      <c r="P32" s="104">
        <f t="shared" si="5"/>
        <v>8338.1040788321661</v>
      </c>
      <c r="Q32" s="104">
        <f t="shared" si="5"/>
        <v>7580.0946171201504</v>
      </c>
      <c r="R32" s="104">
        <f t="shared" si="5"/>
        <v>6890.9951064728648</v>
      </c>
      <c r="S32" s="104">
        <f t="shared" si="5"/>
        <v>6264.5410058844218</v>
      </c>
      <c r="T32" s="104">
        <f t="shared" si="5"/>
        <v>5695.0372780767466</v>
      </c>
      <c r="U32" s="104">
        <f t="shared" si="5"/>
        <v>5177.306616433405</v>
      </c>
      <c r="V32" s="104">
        <f t="shared" si="5"/>
        <v>4706.6423785758234</v>
      </c>
      <c r="W32" s="104">
        <f t="shared" si="5"/>
        <v>4278.7657987052935</v>
      </c>
      <c r="X32" s="104">
        <f t="shared" si="5"/>
        <v>3889.7870897320845</v>
      </c>
      <c r="Y32" s="105">
        <f t="shared" si="5"/>
        <v>3536.1700815746221</v>
      </c>
    </row>
    <row r="33" spans="1:25" s="2" customFormat="1" x14ac:dyDescent="0.3">
      <c r="A33" s="24" t="s">
        <v>82</v>
      </c>
      <c r="B33" s="25" t="s">
        <v>83</v>
      </c>
      <c r="C33" s="25" t="s">
        <v>84</v>
      </c>
      <c r="D33" s="35">
        <v>0.8</v>
      </c>
      <c r="E33" s="75" t="s">
        <v>85</v>
      </c>
      <c r="I33" s="84"/>
      <c r="J33" s="117"/>
      <c r="K33" s="117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51"/>
    </row>
    <row r="34" spans="1:25" s="2" customFormat="1" ht="15.75" thickBot="1" x14ac:dyDescent="0.35">
      <c r="A34" s="118" t="s">
        <v>86</v>
      </c>
      <c r="B34" s="119" t="s">
        <v>87</v>
      </c>
      <c r="C34" s="120" t="s">
        <v>88</v>
      </c>
      <c r="D34" s="121">
        <f>D33*D23/1000</f>
        <v>92.016000000000005</v>
      </c>
      <c r="E34" s="122" t="str">
        <f>CONCATENATE(A33," x ",A23)</f>
        <v>p x k</v>
      </c>
      <c r="I34" s="123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5"/>
    </row>
    <row r="35" spans="1:25" s="2" customFormat="1" ht="13.5" x14ac:dyDescent="0.25"/>
    <row r="41" spans="1:25" x14ac:dyDescent="0.25">
      <c r="J41" s="126"/>
      <c r="K41" s="126" t="s">
        <v>89</v>
      </c>
      <c r="L41" s="127"/>
      <c r="M41" s="127"/>
      <c r="T41" s="126"/>
      <c r="U41" s="126" t="s">
        <v>78</v>
      </c>
      <c r="V41" s="126"/>
    </row>
    <row r="42" spans="1:25" ht="15.75" thickBot="1" x14ac:dyDescent="0.3">
      <c r="J42" s="128"/>
      <c r="K42" s="128" t="s">
        <v>90</v>
      </c>
      <c r="L42" s="128" t="s">
        <v>91</v>
      </c>
      <c r="M42" s="129"/>
      <c r="T42" s="126"/>
      <c r="U42" s="126" t="s">
        <v>92</v>
      </c>
      <c r="V42" s="126" t="s">
        <v>93</v>
      </c>
    </row>
    <row r="43" spans="1:25" ht="16.5" thickTop="1" thickBot="1" x14ac:dyDescent="0.3">
      <c r="J43" s="130"/>
      <c r="K43" s="131"/>
      <c r="L43" s="142">
        <f>R12</f>
        <v>0.20022287671393424</v>
      </c>
      <c r="M43" s="132"/>
      <c r="N43" s="130"/>
      <c r="T43" s="133"/>
      <c r="U43" s="134"/>
      <c r="V43" s="134">
        <f>R9</f>
        <v>43352.899184253678</v>
      </c>
    </row>
    <row r="44" spans="1:25" ht="15.75" thickTop="1" x14ac:dyDescent="0.25">
      <c r="J44" s="130">
        <f t="shared" ref="J44:J54" si="6">J45+P$56</f>
        <v>0.39999999999999963</v>
      </c>
      <c r="K44" s="147">
        <f t="shared" ref="K44:K54" si="7">J44*P$55</f>
        <v>3.9999999999999966E-2</v>
      </c>
      <c r="L44" s="143">
        <f t="dataTable" ref="L44:L56" dt2D="0" dtr="0" r1="D8"/>
        <v>0.13538703235186755</v>
      </c>
      <c r="M44" s="148">
        <f>K44/0.07</f>
        <v>0.57142857142857084</v>
      </c>
      <c r="N44" s="149"/>
      <c r="O44" s="149"/>
      <c r="P44" s="2"/>
      <c r="Q44" s="135"/>
      <c r="R44" s="135"/>
      <c r="T44" s="130">
        <v>0.7</v>
      </c>
      <c r="U44" s="136">
        <f t="shared" ref="U44:U49" si="8">U$50*T44</f>
        <v>70000</v>
      </c>
      <c r="V44" s="136">
        <f t="dataTable" ref="V44:V56" dt2D="0" dtr="0" r1="D30" ca="1"/>
        <v>42352.899184253678</v>
      </c>
    </row>
    <row r="45" spans="1:25" x14ac:dyDescent="0.25">
      <c r="J45" s="130">
        <f t="shared" si="6"/>
        <v>0.44999999999999962</v>
      </c>
      <c r="K45" s="147">
        <f t="shared" si="7"/>
        <v>4.4999999999999964E-2</v>
      </c>
      <c r="L45" s="143">
        <v>0.14561906186060147</v>
      </c>
      <c r="M45" s="148">
        <f t="shared" ref="M45:M56" si="9">K45/0.07</f>
        <v>0.64285714285714224</v>
      </c>
      <c r="N45" s="149"/>
      <c r="O45" s="149"/>
      <c r="P45" s="149"/>
      <c r="Q45" s="135"/>
      <c r="R45" s="135"/>
      <c r="T45" s="130">
        <v>0.75</v>
      </c>
      <c r="U45" s="136">
        <f t="shared" si="8"/>
        <v>75000</v>
      </c>
      <c r="V45" s="136">
        <v>37352.899184253678</v>
      </c>
    </row>
    <row r="46" spans="1:25" x14ac:dyDescent="0.25">
      <c r="J46" s="130">
        <f t="shared" si="6"/>
        <v>0.49999999999999961</v>
      </c>
      <c r="K46" s="147">
        <f t="shared" si="7"/>
        <v>4.9999999999999961E-2</v>
      </c>
      <c r="L46" s="143">
        <v>0.15568047408011521</v>
      </c>
      <c r="M46" s="148">
        <f t="shared" si="9"/>
        <v>0.71428571428571364</v>
      </c>
      <c r="N46" s="149"/>
      <c r="O46" s="149"/>
      <c r="P46" s="149"/>
      <c r="Q46" s="135"/>
      <c r="R46" s="135"/>
      <c r="T46" s="130">
        <v>0.8</v>
      </c>
      <c r="U46" s="136">
        <f t="shared" si="8"/>
        <v>80000</v>
      </c>
      <c r="V46" s="136">
        <v>32352.899184253693</v>
      </c>
    </row>
    <row r="47" spans="1:25" x14ac:dyDescent="0.25">
      <c r="J47" s="130">
        <f t="shared" si="6"/>
        <v>0.5499999999999996</v>
      </c>
      <c r="K47" s="147">
        <f t="shared" si="7"/>
        <v>5.4999999999999966E-2</v>
      </c>
      <c r="L47" s="143">
        <v>0.16558937811963448</v>
      </c>
      <c r="M47" s="148">
        <f t="shared" si="9"/>
        <v>0.78571428571428514</v>
      </c>
      <c r="N47" s="149"/>
      <c r="O47" s="149"/>
      <c r="P47" s="149"/>
      <c r="Q47" s="135"/>
      <c r="R47" s="135"/>
      <c r="T47" s="130">
        <v>0.85</v>
      </c>
      <c r="U47" s="136">
        <f t="shared" si="8"/>
        <v>85000</v>
      </c>
      <c r="V47" s="136">
        <v>27352.899184253693</v>
      </c>
    </row>
    <row r="48" spans="1:25" x14ac:dyDescent="0.25">
      <c r="J48" s="130">
        <f t="shared" si="6"/>
        <v>0.59999999999999964</v>
      </c>
      <c r="K48" s="147">
        <f t="shared" si="7"/>
        <v>5.999999999999997E-2</v>
      </c>
      <c r="L48" s="143">
        <v>0.17536150821835328</v>
      </c>
      <c r="M48" s="148">
        <f t="shared" si="9"/>
        <v>0.85714285714285665</v>
      </c>
      <c r="N48" s="149"/>
      <c r="O48" s="149"/>
      <c r="P48" s="149"/>
      <c r="Q48" s="135"/>
      <c r="R48" s="135"/>
      <c r="T48" s="130">
        <v>0.9</v>
      </c>
      <c r="U48" s="136">
        <f t="shared" si="8"/>
        <v>90000</v>
      </c>
      <c r="V48" s="136">
        <v>22352.899184253689</v>
      </c>
    </row>
    <row r="49" spans="10:22" x14ac:dyDescent="0.25">
      <c r="J49" s="130">
        <f t="shared" si="6"/>
        <v>0.64999999999999969</v>
      </c>
      <c r="K49" s="147">
        <f t="shared" si="7"/>
        <v>6.4999999999999974E-2</v>
      </c>
      <c r="L49" s="143">
        <v>0.18501061197170077</v>
      </c>
      <c r="M49" s="148">
        <f t="shared" si="9"/>
        <v>0.92857142857142816</v>
      </c>
      <c r="N49" s="149"/>
      <c r="O49" s="149"/>
      <c r="P49" s="149"/>
      <c r="Q49" s="135"/>
      <c r="R49" s="135"/>
      <c r="T49" s="130">
        <v>0.95</v>
      </c>
      <c r="U49" s="136">
        <f t="shared" si="8"/>
        <v>95000</v>
      </c>
      <c r="V49" s="136">
        <v>17352.899184253689</v>
      </c>
    </row>
    <row r="50" spans="10:22" ht="15" customHeight="1" x14ac:dyDescent="0.25">
      <c r="J50" s="130">
        <f t="shared" si="6"/>
        <v>0.69999999999999973</v>
      </c>
      <c r="K50" s="147">
        <f t="shared" si="7"/>
        <v>6.9999999999999979E-2</v>
      </c>
      <c r="L50" s="143">
        <v>0.19454876177974612</v>
      </c>
      <c r="M50" s="148">
        <f t="shared" si="9"/>
        <v>0.99999999999999956</v>
      </c>
      <c r="N50" s="149"/>
      <c r="O50" s="149"/>
      <c r="P50" s="149"/>
      <c r="Q50" s="135"/>
      <c r="R50" s="135"/>
      <c r="T50" s="130">
        <v>1</v>
      </c>
      <c r="U50" s="137">
        <v>100000</v>
      </c>
      <c r="V50" s="136">
        <v>12352.899184253693</v>
      </c>
    </row>
    <row r="51" spans="10:22" x14ac:dyDescent="0.25">
      <c r="J51" s="130">
        <f t="shared" si="6"/>
        <v>0.74999999999999978</v>
      </c>
      <c r="K51" s="147">
        <f t="shared" si="7"/>
        <v>7.4999999999999983E-2</v>
      </c>
      <c r="L51" s="143">
        <v>0.20398660716906125</v>
      </c>
      <c r="M51" s="148">
        <f t="shared" si="9"/>
        <v>1.0714285714285712</v>
      </c>
      <c r="N51" s="149"/>
      <c r="O51" s="149"/>
      <c r="P51" s="149"/>
      <c r="Q51" s="135"/>
      <c r="R51" s="135"/>
      <c r="T51" s="130">
        <v>1.05</v>
      </c>
      <c r="U51" s="136">
        <f t="shared" ref="U51:U56" si="10">U$50*T51</f>
        <v>105000</v>
      </c>
      <c r="V51" s="136">
        <v>7352.899184253678</v>
      </c>
    </row>
    <row r="52" spans="10:22" x14ac:dyDescent="0.25">
      <c r="J52" s="130">
        <f t="shared" si="6"/>
        <v>0.79999999999999982</v>
      </c>
      <c r="K52" s="147">
        <f t="shared" si="7"/>
        <v>7.9999999999999988E-2</v>
      </c>
      <c r="L52" s="143">
        <v>0.2133335810673167</v>
      </c>
      <c r="M52" s="148">
        <f t="shared" si="9"/>
        <v>1.1428571428571426</v>
      </c>
      <c r="N52" s="149"/>
      <c r="O52" s="149"/>
      <c r="P52" s="149"/>
      <c r="Q52" s="135"/>
      <c r="R52" s="135"/>
      <c r="T52" s="130">
        <v>1.1000000000000001</v>
      </c>
      <c r="U52" s="136">
        <f t="shared" si="10"/>
        <v>110000.00000000001</v>
      </c>
      <c r="V52" s="136">
        <v>2352.8991842536484</v>
      </c>
    </row>
    <row r="53" spans="10:22" x14ac:dyDescent="0.25">
      <c r="J53" s="130">
        <f t="shared" si="6"/>
        <v>0.84999999999999987</v>
      </c>
      <c r="K53" s="147">
        <f t="shared" si="7"/>
        <v>8.4999999999999992E-2</v>
      </c>
      <c r="L53" s="143">
        <v>0.22259806983924735</v>
      </c>
      <c r="M53" s="148">
        <f t="shared" si="9"/>
        <v>1.214285714285714</v>
      </c>
      <c r="N53" s="149"/>
      <c r="O53" s="149"/>
      <c r="P53" s="149"/>
      <c r="Q53" s="135"/>
      <c r="R53" s="135"/>
      <c r="T53" s="130">
        <v>1.1499999999999999</v>
      </c>
      <c r="U53" s="136">
        <f t="shared" si="10"/>
        <v>114999.99999999999</v>
      </c>
      <c r="V53" s="136">
        <v>-2647.1008157463225</v>
      </c>
    </row>
    <row r="54" spans="10:22" x14ac:dyDescent="0.25">
      <c r="J54" s="130">
        <f t="shared" si="6"/>
        <v>0.89999999999999991</v>
      </c>
      <c r="K54" s="147">
        <f t="shared" si="7"/>
        <v>0.09</v>
      </c>
      <c r="L54" s="143">
        <v>0.23178755453215993</v>
      </c>
      <c r="M54" s="148">
        <f t="shared" si="9"/>
        <v>1.2857142857142856</v>
      </c>
      <c r="N54" s="149"/>
      <c r="O54" s="149"/>
      <c r="P54" s="149"/>
      <c r="Q54" s="135"/>
      <c r="R54" s="135"/>
      <c r="T54" s="130">
        <v>1.2</v>
      </c>
      <c r="U54" s="136">
        <f t="shared" si="10"/>
        <v>120000</v>
      </c>
      <c r="V54" s="136">
        <v>-7647.100815746322</v>
      </c>
    </row>
    <row r="55" spans="10:22" x14ac:dyDescent="0.25">
      <c r="J55" s="130">
        <f>J56+P$56</f>
        <v>0.95</v>
      </c>
      <c r="K55" s="147">
        <f>J55*P$55</f>
        <v>9.5000000000000001E-2</v>
      </c>
      <c r="L55" s="143">
        <v>0.24090872904357741</v>
      </c>
      <c r="M55" s="148">
        <f t="shared" si="9"/>
        <v>1.357142857142857</v>
      </c>
      <c r="N55" s="149"/>
      <c r="O55" s="145" t="s">
        <v>116</v>
      </c>
      <c r="P55" s="146">
        <v>0.1</v>
      </c>
      <c r="Q55" s="135"/>
      <c r="R55" s="135"/>
      <c r="T55" s="130">
        <v>1.25</v>
      </c>
      <c r="U55" s="136">
        <f t="shared" si="10"/>
        <v>125000</v>
      </c>
      <c r="V55" s="136">
        <v>-12647.100815746327</v>
      </c>
    </row>
    <row r="56" spans="10:22" x14ac:dyDescent="0.25">
      <c r="J56" s="130">
        <v>1</v>
      </c>
      <c r="K56" s="147">
        <f>J56*P$55</f>
        <v>0.1</v>
      </c>
      <c r="L56" s="143">
        <v>0.24996759963777526</v>
      </c>
      <c r="M56" s="148">
        <f t="shared" si="9"/>
        <v>1.4285714285714286</v>
      </c>
      <c r="N56" s="149"/>
      <c r="O56" s="145" t="s">
        <v>117</v>
      </c>
      <c r="P56" s="146">
        <v>-0.05</v>
      </c>
      <c r="Q56" s="135"/>
      <c r="R56" s="135"/>
      <c r="T56" s="130">
        <v>1.3</v>
      </c>
      <c r="U56" s="136">
        <f t="shared" si="10"/>
        <v>130000</v>
      </c>
      <c r="V56" s="136">
        <v>-17647.100815746329</v>
      </c>
    </row>
    <row r="57" spans="10:22" x14ac:dyDescent="0.25">
      <c r="L57" s="144"/>
    </row>
    <row r="82" spans="13:24" x14ac:dyDescent="0.25">
      <c r="M82" t="str">
        <f>CONCATENATE("Project ",$C$2," IRR vs electricity price")</f>
        <v>Project  IRR vs electricity price</v>
      </c>
      <c r="X82" t="str">
        <f>CONCATENATE("Project ",$C$2," NPV vs Investment Cost ")</f>
        <v xml:space="preserve">Project  NPV vs Investment Cost 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B1:E31"/>
  <sheetViews>
    <sheetView workbookViewId="0">
      <selection activeCell="I21" sqref="I21"/>
    </sheetView>
  </sheetViews>
  <sheetFormatPr defaultRowHeight="15" x14ac:dyDescent="0.25"/>
  <cols>
    <col min="2" max="2" width="25.7109375" customWidth="1"/>
    <col min="4" max="4" width="13.85546875" customWidth="1"/>
  </cols>
  <sheetData>
    <row r="1" spans="2:5" ht="21" x14ac:dyDescent="0.35">
      <c r="B1" s="140" t="s">
        <v>125</v>
      </c>
      <c r="C1" s="140"/>
      <c r="D1" s="140"/>
      <c r="E1" s="140"/>
    </row>
    <row r="2" spans="2:5" x14ac:dyDescent="0.25">
      <c r="D2" s="145"/>
      <c r="E2" s="145"/>
    </row>
    <row r="3" spans="2:5" ht="15.75" thickBot="1" x14ac:dyDescent="0.3">
      <c r="B3" s="151"/>
      <c r="C3" s="151"/>
      <c r="D3" s="163" t="s">
        <v>142</v>
      </c>
      <c r="E3" s="163" t="s">
        <v>110</v>
      </c>
    </row>
    <row r="4" spans="2:5" ht="15.75" thickTop="1" x14ac:dyDescent="0.25">
      <c r="B4" t="s">
        <v>97</v>
      </c>
      <c r="C4" t="s">
        <v>98</v>
      </c>
      <c r="D4" s="166">
        <f>'O&amp;M Solutions'!D4</f>
        <v>3000</v>
      </c>
      <c r="E4" s="166">
        <f>D4</f>
        <v>3000</v>
      </c>
    </row>
    <row r="5" spans="2:5" x14ac:dyDescent="0.25">
      <c r="B5" t="s">
        <v>120</v>
      </c>
      <c r="C5" t="s">
        <v>121</v>
      </c>
      <c r="D5" s="146">
        <v>40</v>
      </c>
      <c r="E5" s="146">
        <v>18</v>
      </c>
    </row>
    <row r="6" spans="2:5" x14ac:dyDescent="0.25">
      <c r="B6" t="s">
        <v>118</v>
      </c>
      <c r="C6" t="s">
        <v>119</v>
      </c>
      <c r="D6" s="146">
        <f>'O&amp;M Solutions'!D5/'Exercise O&amp;M'!D5</f>
        <v>0.15</v>
      </c>
      <c r="E6" s="146">
        <f>'O&amp;M Solutions'!E5/'Exercise O&amp;M'!E5</f>
        <v>1.1111111111111112</v>
      </c>
    </row>
    <row r="7" spans="2:5" x14ac:dyDescent="0.25">
      <c r="B7" t="s">
        <v>99</v>
      </c>
      <c r="C7" t="s">
        <v>106</v>
      </c>
      <c r="D7" s="145">
        <f>D5*D6</f>
        <v>6</v>
      </c>
      <c r="E7" s="145">
        <f>E5*E6</f>
        <v>20</v>
      </c>
    </row>
    <row r="8" spans="2:5" x14ac:dyDescent="0.25">
      <c r="B8" t="s">
        <v>100</v>
      </c>
      <c r="C8" t="s">
        <v>106</v>
      </c>
      <c r="D8" s="166">
        <f>'O&amp;M Solutions'!D6</f>
        <v>2</v>
      </c>
      <c r="E8" s="166">
        <f>'O&amp;M Solutions'!E6</f>
        <v>3</v>
      </c>
    </row>
    <row r="9" spans="2:5" ht="15.75" thickBot="1" x14ac:dyDescent="0.3">
      <c r="B9" s="162" t="s">
        <v>108</v>
      </c>
      <c r="C9" s="162" t="s">
        <v>107</v>
      </c>
      <c r="D9" s="167">
        <f>D4*(D7+D8)</f>
        <v>24000</v>
      </c>
      <c r="E9" s="167">
        <f>E4*(E7+E8)</f>
        <v>69000</v>
      </c>
    </row>
    <row r="10" spans="2:5" x14ac:dyDescent="0.25">
      <c r="B10" t="s">
        <v>101</v>
      </c>
      <c r="C10" t="s">
        <v>102</v>
      </c>
      <c r="D10" s="166">
        <f>'O&amp;M Solutions'!D8</f>
        <v>16</v>
      </c>
      <c r="E10" s="166">
        <f>D10</f>
        <v>16</v>
      </c>
    </row>
    <row r="11" spans="2:5" x14ac:dyDescent="0.25">
      <c r="B11" t="s">
        <v>103</v>
      </c>
      <c r="C11" t="s">
        <v>52</v>
      </c>
      <c r="D11" s="168">
        <f>'O&amp;M Solutions'!D9</f>
        <v>8000</v>
      </c>
      <c r="E11" s="168">
        <f>'O&amp;M Solutions'!E9</f>
        <v>35000</v>
      </c>
    </row>
    <row r="12" spans="2:5" x14ac:dyDescent="0.25">
      <c r="B12" t="s">
        <v>113</v>
      </c>
      <c r="C12" t="s">
        <v>33</v>
      </c>
      <c r="D12" s="168">
        <f>'O&amp;M Solutions'!D10</f>
        <v>2130</v>
      </c>
      <c r="E12" s="168">
        <f>D12</f>
        <v>2130</v>
      </c>
    </row>
    <row r="13" spans="2:5" x14ac:dyDescent="0.25">
      <c r="B13" t="s">
        <v>104</v>
      </c>
      <c r="C13" t="s">
        <v>98</v>
      </c>
      <c r="D13" s="166">
        <f>ROUNDUP(D12/D11*D10,0)</f>
        <v>5</v>
      </c>
      <c r="E13" s="166">
        <f>ROUNDUP(E12/E11*E10,0)</f>
        <v>1</v>
      </c>
    </row>
    <row r="14" spans="2:5" x14ac:dyDescent="0.25">
      <c r="B14" t="s">
        <v>105</v>
      </c>
      <c r="C14" t="s">
        <v>109</v>
      </c>
      <c r="D14" s="165">
        <f>D13*D9</f>
        <v>120000</v>
      </c>
      <c r="E14" s="165">
        <f>E13*E9</f>
        <v>69000</v>
      </c>
    </row>
    <row r="15" spans="2:5" x14ac:dyDescent="0.25">
      <c r="B15" t="s">
        <v>115</v>
      </c>
      <c r="C15" t="s">
        <v>112</v>
      </c>
      <c r="D15" s="145"/>
      <c r="E15" s="165">
        <f>(D14-E14)/E10</f>
        <v>3187.5</v>
      </c>
    </row>
    <row r="16" spans="2:5" x14ac:dyDescent="0.25">
      <c r="D16" s="145"/>
      <c r="E16" s="145"/>
    </row>
    <row r="17" spans="2:5" x14ac:dyDescent="0.25">
      <c r="B17" t="s">
        <v>129</v>
      </c>
      <c r="D17" s="141"/>
      <c r="E17" s="141"/>
    </row>
    <row r="30" spans="2:5" x14ac:dyDescent="0.25">
      <c r="E30" s="138"/>
    </row>
    <row r="31" spans="2:5" x14ac:dyDescent="0.25">
      <c r="E31" s="1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Z106"/>
  <sheetViews>
    <sheetView zoomScale="75" zoomScaleNormal="70" workbookViewId="0">
      <selection activeCell="E7" sqref="E7:E8"/>
    </sheetView>
  </sheetViews>
  <sheetFormatPr defaultRowHeight="15" x14ac:dyDescent="0.25"/>
  <cols>
    <col min="1" max="1" width="4.28515625" customWidth="1"/>
    <col min="2" max="2" width="28.7109375" customWidth="1"/>
    <col min="3" max="3" width="13.7109375" customWidth="1"/>
    <col min="4" max="4" width="12.85546875" customWidth="1"/>
    <col min="5" max="5" width="21.140625" bestFit="1" customWidth="1"/>
    <col min="7" max="7" width="10" customWidth="1"/>
    <col min="9" max="9" width="36.28515625" customWidth="1"/>
    <col min="10" max="10" width="10.28515625" bestFit="1" customWidth="1"/>
    <col min="12" max="12" width="12.5703125" bestFit="1" customWidth="1"/>
    <col min="13" max="13" width="11" customWidth="1"/>
    <col min="17" max="17" width="9.85546875" customWidth="1"/>
    <col min="18" max="18" width="12" customWidth="1"/>
    <col min="21" max="21" width="10.140625" bestFit="1" customWidth="1"/>
  </cols>
  <sheetData>
    <row r="1" spans="1:25" s="2" customFormat="1" ht="24" x14ac:dyDescent="0.35">
      <c r="A1" s="153" t="s">
        <v>130</v>
      </c>
      <c r="B1" s="154"/>
      <c r="C1" s="154"/>
      <c r="D1" s="154"/>
      <c r="E1" s="155"/>
      <c r="I1" s="4" t="s">
        <v>0</v>
      </c>
    </row>
    <row r="2" spans="1:25" s="2" customFormat="1" ht="24.75" thickBot="1" x14ac:dyDescent="0.4">
      <c r="A2" s="5" t="s">
        <v>1</v>
      </c>
      <c r="C2" s="5"/>
      <c r="E2" s="3"/>
    </row>
    <row r="3" spans="1:25" s="2" customFormat="1" ht="15.75" x14ac:dyDescent="0.25">
      <c r="A3" s="6" t="s">
        <v>2</v>
      </c>
      <c r="C3" s="5"/>
      <c r="I3" s="7" t="s">
        <v>1</v>
      </c>
      <c r="J3" s="8" t="s">
        <v>128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25" s="2" customFormat="1" ht="16.5" thickBot="1" x14ac:dyDescent="0.3">
      <c r="C4" s="5"/>
      <c r="I4" s="11" t="str">
        <f>A3</f>
        <v>Replacement of lamps with LED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</row>
    <row r="5" spans="1:25" s="2" customFormat="1" ht="13.5" x14ac:dyDescent="0.25">
      <c r="A5" s="15" t="s">
        <v>3</v>
      </c>
      <c r="B5" s="16" t="s">
        <v>4</v>
      </c>
      <c r="C5" s="16" t="s">
        <v>5</v>
      </c>
      <c r="D5" s="16" t="s">
        <v>6</v>
      </c>
      <c r="E5" s="17" t="s">
        <v>7</v>
      </c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</row>
    <row r="6" spans="1:25" s="2" customFormat="1" ht="14.25" thickBot="1" x14ac:dyDescent="0.3">
      <c r="A6" s="19"/>
      <c r="B6" s="20" t="s">
        <v>8</v>
      </c>
      <c r="C6" s="20"/>
      <c r="D6" s="20"/>
      <c r="E6" s="21"/>
      <c r="I6" s="22" t="s">
        <v>9</v>
      </c>
      <c r="J6" s="23"/>
      <c r="K6" s="23"/>
      <c r="L6" s="13"/>
      <c r="M6" s="13"/>
      <c r="N6" s="12" t="s">
        <v>10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1:25" s="2" customFormat="1" ht="13.5" x14ac:dyDescent="0.25">
      <c r="A7" s="24" t="s">
        <v>11</v>
      </c>
      <c r="B7" s="25" t="s">
        <v>12</v>
      </c>
      <c r="C7" s="25" t="s">
        <v>95</v>
      </c>
      <c r="D7" s="26">
        <v>3.07</v>
      </c>
      <c r="E7" s="27" t="s">
        <v>136</v>
      </c>
      <c r="I7" s="28"/>
      <c r="J7" s="29"/>
      <c r="K7" s="29" t="s">
        <v>13</v>
      </c>
      <c r="L7" s="13"/>
      <c r="M7" s="13"/>
      <c r="N7" s="30"/>
      <c r="O7" s="31"/>
      <c r="P7" s="32"/>
      <c r="Q7" s="33"/>
      <c r="R7" s="34"/>
      <c r="S7" s="13"/>
      <c r="T7" s="13"/>
      <c r="U7" s="13"/>
      <c r="V7" s="13"/>
      <c r="W7" s="13"/>
      <c r="X7" s="13"/>
      <c r="Y7" s="14"/>
    </row>
    <row r="8" spans="1:25" s="2" customFormat="1" ht="14.25" thickBot="1" x14ac:dyDescent="0.3">
      <c r="A8" s="24" t="s">
        <v>14</v>
      </c>
      <c r="B8" s="25" t="s">
        <v>12</v>
      </c>
      <c r="C8" s="25" t="s">
        <v>96</v>
      </c>
      <c r="D8" s="157">
        <v>7.2999999999999995E-2</v>
      </c>
      <c r="E8" s="27" t="str">
        <f>E7</f>
        <v>tariff (no VAT), source psrc.am</v>
      </c>
      <c r="I8" s="36" t="s">
        <v>15</v>
      </c>
      <c r="J8" s="37" t="s">
        <v>16</v>
      </c>
      <c r="K8" s="37" t="s">
        <v>17</v>
      </c>
      <c r="L8" s="13"/>
      <c r="M8" s="13"/>
      <c r="N8" s="38" t="s">
        <v>15</v>
      </c>
      <c r="O8" s="36"/>
      <c r="P8" s="39"/>
      <c r="Q8" s="40" t="s">
        <v>16</v>
      </c>
      <c r="R8" s="41" t="s">
        <v>18</v>
      </c>
      <c r="S8" s="13"/>
      <c r="T8" s="13"/>
      <c r="U8" s="13"/>
      <c r="V8" s="13"/>
      <c r="W8" s="13"/>
      <c r="X8" s="13"/>
      <c r="Y8" s="14"/>
    </row>
    <row r="9" spans="1:25" s="2" customFormat="1" ht="14.25" x14ac:dyDescent="0.3">
      <c r="A9" s="18"/>
      <c r="B9" s="13"/>
      <c r="C9" s="13"/>
      <c r="D9" s="13"/>
      <c r="E9" s="14"/>
      <c r="I9" s="42" t="s">
        <v>19</v>
      </c>
      <c r="J9" s="43" t="s">
        <v>20</v>
      </c>
      <c r="K9" s="44">
        <f>D24</f>
        <v>0</v>
      </c>
      <c r="L9" s="45"/>
      <c r="M9" s="45"/>
      <c r="N9" s="46" t="s">
        <v>21</v>
      </c>
      <c r="O9" s="47"/>
      <c r="P9" s="48"/>
      <c r="Q9" s="49" t="s">
        <v>20</v>
      </c>
      <c r="R9" s="50">
        <f>SUM(J32:Y32)</f>
        <v>-20511.243147284215</v>
      </c>
      <c r="S9" s="45"/>
      <c r="T9" s="45"/>
      <c r="U9" s="45"/>
      <c r="V9" s="45"/>
      <c r="W9" s="45"/>
      <c r="X9" s="45"/>
      <c r="Y9" s="51"/>
    </row>
    <row r="10" spans="1:25" s="2" customFormat="1" ht="14.25" x14ac:dyDescent="0.3">
      <c r="A10" s="19"/>
      <c r="B10" s="20" t="s">
        <v>22</v>
      </c>
      <c r="C10" s="52"/>
      <c r="D10" s="52"/>
      <c r="E10" s="53"/>
      <c r="I10" s="54" t="s">
        <v>23</v>
      </c>
      <c r="J10" s="55" t="str">
        <f>J9</f>
        <v>EUR</v>
      </c>
      <c r="K10" s="56">
        <v>0</v>
      </c>
      <c r="L10" s="45"/>
      <c r="M10" s="45"/>
      <c r="N10" s="57" t="s">
        <v>24</v>
      </c>
      <c r="O10" s="58"/>
      <c r="P10" s="59"/>
      <c r="Q10" s="60" t="s">
        <v>25</v>
      </c>
      <c r="R10" s="61">
        <f>K13/(K11+K12+K15+K14)</f>
        <v>10.823529411764707</v>
      </c>
      <c r="S10" s="45"/>
      <c r="T10" s="45"/>
      <c r="U10" s="45"/>
      <c r="V10" s="45"/>
      <c r="W10" s="45"/>
      <c r="X10" s="45"/>
      <c r="Y10" s="51"/>
    </row>
    <row r="11" spans="1:25" s="2" customFormat="1" ht="27.75" x14ac:dyDescent="0.3">
      <c r="A11" s="24" t="s">
        <v>26</v>
      </c>
      <c r="B11" s="62" t="s">
        <v>27</v>
      </c>
      <c r="C11" s="25" t="s">
        <v>28</v>
      </c>
      <c r="D11" s="63">
        <f>'Exercise O&amp;M'!D4*36/1000</f>
        <v>108</v>
      </c>
      <c r="E11" s="64" t="s">
        <v>114</v>
      </c>
      <c r="I11" s="65" t="s">
        <v>29</v>
      </c>
      <c r="J11" s="66" t="str">
        <f>J10</f>
        <v>EUR</v>
      </c>
      <c r="K11" s="67">
        <f>+K10+K9+K14</f>
        <v>3187.5</v>
      </c>
      <c r="L11" s="45"/>
      <c r="M11" s="45"/>
      <c r="N11" s="57" t="s">
        <v>30</v>
      </c>
      <c r="O11" s="58"/>
      <c r="P11" s="59"/>
      <c r="Q11" s="60"/>
      <c r="R11" s="61">
        <f>SUM(K32:Y32)/(J31*-1)</f>
        <v>0.70273560656109846</v>
      </c>
      <c r="S11" s="45"/>
      <c r="T11" s="45"/>
      <c r="U11" s="45"/>
      <c r="V11" s="45"/>
      <c r="W11" s="45"/>
      <c r="X11" s="45"/>
      <c r="Y11" s="51"/>
    </row>
    <row r="12" spans="1:25" s="2" customFormat="1" ht="28.5" thickBot="1" x14ac:dyDescent="0.35">
      <c r="A12" s="24" t="s">
        <v>31</v>
      </c>
      <c r="B12" s="25" t="s">
        <v>32</v>
      </c>
      <c r="C12" s="25" t="s">
        <v>33</v>
      </c>
      <c r="D12" s="68">
        <f>'Exercise O&amp;M'!D12</f>
        <v>2130</v>
      </c>
      <c r="E12" s="64" t="s">
        <v>127</v>
      </c>
      <c r="I12" s="54" t="s">
        <v>34</v>
      </c>
      <c r="J12" s="55" t="str">
        <f>J11</f>
        <v>EUR</v>
      </c>
      <c r="K12" s="56">
        <v>0</v>
      </c>
      <c r="L12" s="45"/>
      <c r="M12" s="45"/>
      <c r="N12" s="69" t="s">
        <v>35</v>
      </c>
      <c r="O12" s="70"/>
      <c r="P12" s="71"/>
      <c r="Q12" s="72" t="s">
        <v>36</v>
      </c>
      <c r="R12" s="73">
        <f>IF(IRR(J31:Y31)&gt;0,IRR(J31:Y31),0)</f>
        <v>4.3869120228189118E-2</v>
      </c>
      <c r="S12" s="45"/>
      <c r="T12" s="45"/>
      <c r="U12" s="45"/>
      <c r="V12" s="45"/>
      <c r="W12" s="45"/>
      <c r="X12" s="45"/>
      <c r="Y12" s="51"/>
    </row>
    <row r="13" spans="1:25" s="2" customFormat="1" ht="14.25" x14ac:dyDescent="0.3">
      <c r="A13" s="24" t="s">
        <v>37</v>
      </c>
      <c r="B13" s="25" t="s">
        <v>38</v>
      </c>
      <c r="C13" s="25" t="s">
        <v>39</v>
      </c>
      <c r="D13" s="74">
        <f>D11*D12*'Exercise O&amp;M'!D17</f>
        <v>0</v>
      </c>
      <c r="E13" s="75" t="s">
        <v>40</v>
      </c>
      <c r="I13" s="54" t="s">
        <v>41</v>
      </c>
      <c r="J13" s="55" t="s">
        <v>20</v>
      </c>
      <c r="K13" s="56">
        <f>D31</f>
        <v>69000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51"/>
    </row>
    <row r="14" spans="1:25" s="2" customFormat="1" ht="14.25" x14ac:dyDescent="0.3">
      <c r="A14" s="76" t="s">
        <v>42</v>
      </c>
      <c r="B14" s="77" t="s">
        <v>43</v>
      </c>
      <c r="C14" s="77" t="s">
        <v>44</v>
      </c>
      <c r="D14" s="78">
        <f>D13*D8</f>
        <v>0</v>
      </c>
      <c r="E14" s="75" t="str">
        <f>CONCATENATE(A8," x ",A13)</f>
        <v>b x e</v>
      </c>
      <c r="I14" s="79" t="s">
        <v>45</v>
      </c>
      <c r="J14" s="80" t="str">
        <f>J13</f>
        <v>EUR</v>
      </c>
      <c r="K14" s="81">
        <f>D26</f>
        <v>3187.5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51"/>
    </row>
    <row r="15" spans="1:25" s="2" customFormat="1" ht="14.25" x14ac:dyDescent="0.3">
      <c r="A15" s="24"/>
      <c r="B15" s="25"/>
      <c r="C15" s="25"/>
      <c r="D15" s="74"/>
      <c r="E15" s="75"/>
      <c r="I15" s="54" t="s">
        <v>46</v>
      </c>
      <c r="J15" s="55" t="str">
        <f>J14</f>
        <v>EUR</v>
      </c>
      <c r="K15" s="56">
        <v>0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51"/>
    </row>
    <row r="16" spans="1:25" s="2" customFormat="1" ht="14.25" x14ac:dyDescent="0.3">
      <c r="A16" s="19"/>
      <c r="B16" s="20" t="s">
        <v>47</v>
      </c>
      <c r="C16" s="52"/>
      <c r="D16" s="52"/>
      <c r="E16" s="53"/>
      <c r="I16" s="54" t="s">
        <v>48</v>
      </c>
      <c r="J16" s="55" t="s">
        <v>36</v>
      </c>
      <c r="K16" s="158">
        <v>0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51"/>
    </row>
    <row r="17" spans="1:25" s="2" customFormat="1" ht="27.75" x14ac:dyDescent="0.3">
      <c r="A17" s="24" t="s">
        <v>49</v>
      </c>
      <c r="B17" s="62" t="s">
        <v>50</v>
      </c>
      <c r="C17" s="25" t="s">
        <v>28</v>
      </c>
      <c r="D17" s="82">
        <f>'Exercise O&amp;M'!E4*18/1000</f>
        <v>54</v>
      </c>
      <c r="E17" s="64" t="str">
        <f>E11</f>
        <v>installed capacity of lights (5000lamps)</v>
      </c>
      <c r="I17" s="54" t="s">
        <v>51</v>
      </c>
      <c r="J17" s="55" t="s">
        <v>25</v>
      </c>
      <c r="K17" s="55">
        <v>15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51"/>
    </row>
    <row r="18" spans="1:25" s="2" customFormat="1" ht="30.75" customHeight="1" x14ac:dyDescent="0.3">
      <c r="A18" s="18" t="s">
        <v>52</v>
      </c>
      <c r="B18" s="25" t="s">
        <v>32</v>
      </c>
      <c r="C18" s="25" t="s">
        <v>33</v>
      </c>
      <c r="D18" s="68">
        <f>D12</f>
        <v>2130</v>
      </c>
      <c r="E18" s="64" t="str">
        <f>E12</f>
        <v>1 shift, 15 days maint. Period</v>
      </c>
      <c r="I18" s="54" t="s">
        <v>53</v>
      </c>
      <c r="J18" s="55" t="s">
        <v>36</v>
      </c>
      <c r="K18" s="55">
        <v>0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51"/>
    </row>
    <row r="19" spans="1:25" s="2" customFormat="1" ht="14.25" x14ac:dyDescent="0.3">
      <c r="A19" s="24" t="s">
        <v>54</v>
      </c>
      <c r="B19" s="25" t="s">
        <v>38</v>
      </c>
      <c r="C19" s="25" t="s">
        <v>39</v>
      </c>
      <c r="D19" s="68">
        <f>D17*D18*'Exercise O&amp;M'!E17</f>
        <v>0</v>
      </c>
      <c r="E19" s="75" t="str">
        <f>CONCATENATE(A17," x ",A18, )</f>
        <v>g x h</v>
      </c>
      <c r="I19" s="54" t="s">
        <v>55</v>
      </c>
      <c r="J19" s="55" t="s">
        <v>36</v>
      </c>
      <c r="K19" s="156">
        <v>0.1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51"/>
    </row>
    <row r="20" spans="1:25" s="2" customFormat="1" ht="14.25" x14ac:dyDescent="0.3">
      <c r="A20" s="76" t="s">
        <v>56</v>
      </c>
      <c r="B20" s="77" t="s">
        <v>43</v>
      </c>
      <c r="C20" s="77" t="s">
        <v>44</v>
      </c>
      <c r="D20" s="78">
        <f>D19*D8</f>
        <v>0</v>
      </c>
      <c r="E20" s="75" t="str">
        <f>CONCATENATE(A19," x ",A8)</f>
        <v>i x b</v>
      </c>
      <c r="I20" s="8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51"/>
    </row>
    <row r="21" spans="1:25" s="2" customFormat="1" ht="14.25" x14ac:dyDescent="0.3">
      <c r="A21" s="24"/>
      <c r="B21" s="25"/>
      <c r="C21" s="25"/>
      <c r="D21" s="74"/>
      <c r="E21" s="75"/>
      <c r="I21" s="8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51"/>
    </row>
    <row r="22" spans="1:25" s="2" customFormat="1" ht="14.25" x14ac:dyDescent="0.3">
      <c r="A22" s="85"/>
      <c r="B22" s="86" t="s">
        <v>57</v>
      </c>
      <c r="C22" s="87"/>
      <c r="D22" s="87"/>
      <c r="E22" s="88"/>
      <c r="I22" s="89" t="s">
        <v>58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51"/>
    </row>
    <row r="23" spans="1:25" s="2" customFormat="1" ht="14.25" x14ac:dyDescent="0.3">
      <c r="A23" s="24" t="s">
        <v>59</v>
      </c>
      <c r="B23" s="25" t="s">
        <v>60</v>
      </c>
      <c r="C23" s="25" t="s">
        <v>61</v>
      </c>
      <c r="D23" s="74">
        <f>D13-D19</f>
        <v>0</v>
      </c>
      <c r="E23" s="75" t="str">
        <f>CONCATENATE(A13," - ",A19)</f>
        <v>e - i</v>
      </c>
      <c r="I23" s="90" t="s">
        <v>62</v>
      </c>
      <c r="J23" s="91">
        <v>0</v>
      </c>
      <c r="K23" s="91">
        <v>1</v>
      </c>
      <c r="L23" s="91">
        <v>2</v>
      </c>
      <c r="M23" s="91">
        <v>3</v>
      </c>
      <c r="N23" s="91">
        <v>4</v>
      </c>
      <c r="O23" s="91">
        <v>5</v>
      </c>
      <c r="P23" s="91">
        <v>6</v>
      </c>
      <c r="Q23" s="91">
        <v>7</v>
      </c>
      <c r="R23" s="91">
        <v>8</v>
      </c>
      <c r="S23" s="91">
        <v>9</v>
      </c>
      <c r="T23" s="91">
        <v>10</v>
      </c>
      <c r="U23" s="91">
        <v>11</v>
      </c>
      <c r="V23" s="91">
        <v>12</v>
      </c>
      <c r="W23" s="91">
        <v>13</v>
      </c>
      <c r="X23" s="91">
        <v>14</v>
      </c>
      <c r="Y23" s="92">
        <v>15</v>
      </c>
    </row>
    <row r="24" spans="1:25" s="2" customFormat="1" thickBot="1" x14ac:dyDescent="0.35">
      <c r="A24" s="24" t="s">
        <v>63</v>
      </c>
      <c r="B24" s="25" t="s">
        <v>64</v>
      </c>
      <c r="C24" s="25" t="s">
        <v>44</v>
      </c>
      <c r="D24" s="74">
        <f>D23*D8</f>
        <v>0</v>
      </c>
      <c r="E24" s="75" t="str">
        <f>CONCATENATE(A23," x ",A8)</f>
        <v>k x b</v>
      </c>
      <c r="I24" s="93" t="s">
        <v>65</v>
      </c>
      <c r="J24" s="94">
        <v>2015</v>
      </c>
      <c r="K24" s="94">
        <v>2016</v>
      </c>
      <c r="L24" s="94">
        <v>2017</v>
      </c>
      <c r="M24" s="94">
        <v>2018</v>
      </c>
      <c r="N24" s="94">
        <v>2019</v>
      </c>
      <c r="O24" s="94">
        <v>2020</v>
      </c>
      <c r="P24" s="94">
        <v>2021</v>
      </c>
      <c r="Q24" s="94">
        <v>2022</v>
      </c>
      <c r="R24" s="94">
        <v>2023</v>
      </c>
      <c r="S24" s="94">
        <v>2024</v>
      </c>
      <c r="T24" s="94">
        <v>2025</v>
      </c>
      <c r="U24" s="94">
        <v>2026</v>
      </c>
      <c r="V24" s="94">
        <v>2027</v>
      </c>
      <c r="W24" s="94">
        <v>2028</v>
      </c>
      <c r="X24" s="94">
        <v>2029</v>
      </c>
      <c r="Y24" s="161">
        <v>2030</v>
      </c>
    </row>
    <row r="25" spans="1:25" s="2" customFormat="1" thickTop="1" x14ac:dyDescent="0.3">
      <c r="A25" s="24" t="s">
        <v>66</v>
      </c>
      <c r="B25" s="25" t="s">
        <v>67</v>
      </c>
      <c r="C25" s="25" t="s">
        <v>36</v>
      </c>
      <c r="D25" s="95" t="e">
        <f>1-D20/D14</f>
        <v>#DIV/0!</v>
      </c>
      <c r="E25" s="96" t="s">
        <v>68</v>
      </c>
      <c r="I25" s="97" t="s">
        <v>69</v>
      </c>
      <c r="J25" s="98"/>
      <c r="K25" s="99">
        <f>K11</f>
        <v>3187.5</v>
      </c>
      <c r="L25" s="99">
        <f>K25*(1+$K$16)</f>
        <v>3187.5</v>
      </c>
      <c r="M25" s="99">
        <f t="shared" ref="M25:Y25" si="0">L25*(1+$K$16)</f>
        <v>3187.5</v>
      </c>
      <c r="N25" s="99">
        <f t="shared" si="0"/>
        <v>3187.5</v>
      </c>
      <c r="O25" s="99">
        <f t="shared" si="0"/>
        <v>3187.5</v>
      </c>
      <c r="P25" s="99">
        <f t="shared" si="0"/>
        <v>3187.5</v>
      </c>
      <c r="Q25" s="99">
        <f t="shared" si="0"/>
        <v>3187.5</v>
      </c>
      <c r="R25" s="99">
        <f t="shared" si="0"/>
        <v>3187.5</v>
      </c>
      <c r="S25" s="99">
        <f t="shared" si="0"/>
        <v>3187.5</v>
      </c>
      <c r="T25" s="99">
        <f t="shared" si="0"/>
        <v>3187.5</v>
      </c>
      <c r="U25" s="99">
        <f t="shared" si="0"/>
        <v>3187.5</v>
      </c>
      <c r="V25" s="99">
        <f t="shared" si="0"/>
        <v>3187.5</v>
      </c>
      <c r="W25" s="99">
        <f t="shared" si="0"/>
        <v>3187.5</v>
      </c>
      <c r="X25" s="99">
        <f t="shared" si="0"/>
        <v>3187.5</v>
      </c>
      <c r="Y25" s="100">
        <f t="shared" si="0"/>
        <v>3187.5</v>
      </c>
    </row>
    <row r="26" spans="1:25" s="2" customFormat="1" ht="14.25" x14ac:dyDescent="0.3">
      <c r="A26" s="24" t="s">
        <v>70</v>
      </c>
      <c r="B26" s="25" t="s">
        <v>45</v>
      </c>
      <c r="C26" s="25" t="s">
        <v>44</v>
      </c>
      <c r="D26" s="74">
        <f>'Exercise O&amp;M'!E15</f>
        <v>3187.5</v>
      </c>
      <c r="E26" s="75" t="s">
        <v>71</v>
      </c>
      <c r="I26" s="101" t="s">
        <v>34</v>
      </c>
      <c r="J26" s="102"/>
      <c r="K26" s="103">
        <f>K12</f>
        <v>0</v>
      </c>
      <c r="L26" s="104">
        <f t="shared" ref="L26:Y27" si="1">K26</f>
        <v>0</v>
      </c>
      <c r="M26" s="104">
        <f t="shared" si="1"/>
        <v>0</v>
      </c>
      <c r="N26" s="104">
        <f t="shared" si="1"/>
        <v>0</v>
      </c>
      <c r="O26" s="104">
        <f t="shared" si="1"/>
        <v>0</v>
      </c>
      <c r="P26" s="104">
        <f t="shared" si="1"/>
        <v>0</v>
      </c>
      <c r="Q26" s="104">
        <f t="shared" si="1"/>
        <v>0</v>
      </c>
      <c r="R26" s="104">
        <f t="shared" si="1"/>
        <v>0</v>
      </c>
      <c r="S26" s="104">
        <f t="shared" si="1"/>
        <v>0</v>
      </c>
      <c r="T26" s="104">
        <f t="shared" si="1"/>
        <v>0</v>
      </c>
      <c r="U26" s="104">
        <f t="shared" si="1"/>
        <v>0</v>
      </c>
      <c r="V26" s="104">
        <f t="shared" si="1"/>
        <v>0</v>
      </c>
      <c r="W26" s="104">
        <f t="shared" si="1"/>
        <v>0</v>
      </c>
      <c r="X26" s="104">
        <f t="shared" si="1"/>
        <v>0</v>
      </c>
      <c r="Y26" s="105">
        <f t="shared" si="1"/>
        <v>0</v>
      </c>
    </row>
    <row r="27" spans="1:25" s="2" customFormat="1" ht="14.25" x14ac:dyDescent="0.3">
      <c r="A27" s="24" t="s">
        <v>70</v>
      </c>
      <c r="B27" s="77" t="s">
        <v>72</v>
      </c>
      <c r="C27" s="77" t="s">
        <v>44</v>
      </c>
      <c r="D27" s="78">
        <f>D24+D26</f>
        <v>3187.5</v>
      </c>
      <c r="E27" s="75"/>
      <c r="I27" s="106" t="s">
        <v>73</v>
      </c>
      <c r="J27" s="107"/>
      <c r="K27" s="104">
        <f>K15</f>
        <v>0</v>
      </c>
      <c r="L27" s="104">
        <f t="shared" si="1"/>
        <v>0</v>
      </c>
      <c r="M27" s="104">
        <f t="shared" si="1"/>
        <v>0</v>
      </c>
      <c r="N27" s="104">
        <f t="shared" si="1"/>
        <v>0</v>
      </c>
      <c r="O27" s="104">
        <f t="shared" si="1"/>
        <v>0</v>
      </c>
      <c r="P27" s="104">
        <f t="shared" si="1"/>
        <v>0</v>
      </c>
      <c r="Q27" s="104">
        <f t="shared" si="1"/>
        <v>0</v>
      </c>
      <c r="R27" s="104">
        <f t="shared" si="1"/>
        <v>0</v>
      </c>
      <c r="S27" s="104">
        <f t="shared" si="1"/>
        <v>0</v>
      </c>
      <c r="T27" s="104">
        <f t="shared" si="1"/>
        <v>0</v>
      </c>
      <c r="U27" s="104">
        <f t="shared" si="1"/>
        <v>0</v>
      </c>
      <c r="V27" s="104">
        <f t="shared" si="1"/>
        <v>0</v>
      </c>
      <c r="W27" s="104">
        <f t="shared" si="1"/>
        <v>0</v>
      </c>
      <c r="X27" s="104">
        <f t="shared" si="1"/>
        <v>0</v>
      </c>
      <c r="Y27" s="105">
        <f t="shared" si="1"/>
        <v>0</v>
      </c>
    </row>
    <row r="28" spans="1:25" s="2" customFormat="1" ht="14.25" x14ac:dyDescent="0.3">
      <c r="A28" s="24"/>
      <c r="B28" s="25"/>
      <c r="C28" s="25"/>
      <c r="D28" s="25"/>
      <c r="E28" s="75"/>
      <c r="I28" s="108" t="str">
        <f>I14</f>
        <v>Reduction in O&amp;M costs</v>
      </c>
      <c r="J28" s="109"/>
      <c r="K28" s="110">
        <f>K14</f>
        <v>3187.5</v>
      </c>
      <c r="L28" s="110">
        <f>K28*(1+$K16)</f>
        <v>3187.5</v>
      </c>
      <c r="M28" s="110">
        <f t="shared" ref="M28:Y28" si="2">L28*(1+$K16)</f>
        <v>3187.5</v>
      </c>
      <c r="N28" s="110">
        <f t="shared" si="2"/>
        <v>3187.5</v>
      </c>
      <c r="O28" s="110">
        <f t="shared" si="2"/>
        <v>3187.5</v>
      </c>
      <c r="P28" s="110">
        <f t="shared" si="2"/>
        <v>3187.5</v>
      </c>
      <c r="Q28" s="110">
        <f t="shared" si="2"/>
        <v>3187.5</v>
      </c>
      <c r="R28" s="110">
        <f t="shared" si="2"/>
        <v>3187.5</v>
      </c>
      <c r="S28" s="110">
        <f t="shared" si="2"/>
        <v>3187.5</v>
      </c>
      <c r="T28" s="110">
        <f t="shared" si="2"/>
        <v>3187.5</v>
      </c>
      <c r="U28" s="110">
        <f t="shared" si="2"/>
        <v>3187.5</v>
      </c>
      <c r="V28" s="110">
        <f t="shared" si="2"/>
        <v>3187.5</v>
      </c>
      <c r="W28" s="110">
        <f t="shared" si="2"/>
        <v>3187.5</v>
      </c>
      <c r="X28" s="110">
        <f t="shared" si="2"/>
        <v>3187.5</v>
      </c>
      <c r="Y28" s="111">
        <f t="shared" si="2"/>
        <v>3187.5</v>
      </c>
    </row>
    <row r="29" spans="1:25" s="2" customFormat="1" ht="13.5" x14ac:dyDescent="0.25">
      <c r="A29" s="19"/>
      <c r="B29" s="20" t="s">
        <v>41</v>
      </c>
      <c r="C29" s="20"/>
      <c r="D29" s="20"/>
      <c r="E29" s="112"/>
      <c r="I29" s="113" t="s">
        <v>74</v>
      </c>
      <c r="J29" s="114"/>
      <c r="K29" s="115">
        <f t="shared" ref="K29:Y29" si="3">+K25+K26+K27+K28</f>
        <v>6375</v>
      </c>
      <c r="L29" s="115">
        <f t="shared" si="3"/>
        <v>6375</v>
      </c>
      <c r="M29" s="115">
        <f t="shared" si="3"/>
        <v>6375</v>
      </c>
      <c r="N29" s="115">
        <f t="shared" si="3"/>
        <v>6375</v>
      </c>
      <c r="O29" s="115">
        <f t="shared" si="3"/>
        <v>6375</v>
      </c>
      <c r="P29" s="115">
        <f t="shared" si="3"/>
        <v>6375</v>
      </c>
      <c r="Q29" s="115">
        <f t="shared" si="3"/>
        <v>6375</v>
      </c>
      <c r="R29" s="115">
        <f t="shared" si="3"/>
        <v>6375</v>
      </c>
      <c r="S29" s="115">
        <f t="shared" si="3"/>
        <v>6375</v>
      </c>
      <c r="T29" s="115">
        <f t="shared" si="3"/>
        <v>6375</v>
      </c>
      <c r="U29" s="115">
        <f t="shared" si="3"/>
        <v>6375</v>
      </c>
      <c r="V29" s="115">
        <f t="shared" si="3"/>
        <v>6375</v>
      </c>
      <c r="W29" s="115">
        <f t="shared" si="3"/>
        <v>6375</v>
      </c>
      <c r="X29" s="115">
        <f t="shared" si="3"/>
        <v>6375</v>
      </c>
      <c r="Y29" s="116">
        <f t="shared" si="3"/>
        <v>6375</v>
      </c>
    </row>
    <row r="30" spans="1:25" s="2" customFormat="1" ht="14.25" x14ac:dyDescent="0.3">
      <c r="A30" s="18"/>
      <c r="B30" s="13" t="s">
        <v>118</v>
      </c>
      <c r="C30" s="13" t="s">
        <v>122</v>
      </c>
      <c r="D30" s="160">
        <v>1.1000000000000001</v>
      </c>
      <c r="E30" s="14"/>
      <c r="I30" s="106" t="s">
        <v>78</v>
      </c>
      <c r="J30" s="104">
        <f>-K13</f>
        <v>-69000</v>
      </c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1"/>
    </row>
    <row r="31" spans="1:25" s="2" customFormat="1" ht="14.25" x14ac:dyDescent="0.3">
      <c r="A31" s="24" t="s">
        <v>75</v>
      </c>
      <c r="B31" s="25" t="s">
        <v>76</v>
      </c>
      <c r="C31" s="77" t="s">
        <v>77</v>
      </c>
      <c r="D31" s="68">
        <f>'Exercise O&amp;M'!E14</f>
        <v>69000</v>
      </c>
      <c r="E31" s="75"/>
      <c r="I31" s="106" t="s">
        <v>79</v>
      </c>
      <c r="J31" s="104">
        <f>J30</f>
        <v>-69000</v>
      </c>
      <c r="K31" s="104">
        <f t="shared" ref="K31:Y31" si="4">K29</f>
        <v>6375</v>
      </c>
      <c r="L31" s="104">
        <f t="shared" si="4"/>
        <v>6375</v>
      </c>
      <c r="M31" s="104">
        <f t="shared" si="4"/>
        <v>6375</v>
      </c>
      <c r="N31" s="104">
        <f t="shared" si="4"/>
        <v>6375</v>
      </c>
      <c r="O31" s="104">
        <f t="shared" si="4"/>
        <v>6375</v>
      </c>
      <c r="P31" s="104">
        <f t="shared" si="4"/>
        <v>6375</v>
      </c>
      <c r="Q31" s="104">
        <f t="shared" si="4"/>
        <v>6375</v>
      </c>
      <c r="R31" s="104">
        <f t="shared" si="4"/>
        <v>6375</v>
      </c>
      <c r="S31" s="104">
        <f t="shared" si="4"/>
        <v>6375</v>
      </c>
      <c r="T31" s="104">
        <f t="shared" si="4"/>
        <v>6375</v>
      </c>
      <c r="U31" s="104">
        <f t="shared" si="4"/>
        <v>6375</v>
      </c>
      <c r="V31" s="104">
        <f t="shared" si="4"/>
        <v>6375</v>
      </c>
      <c r="W31" s="104">
        <f t="shared" si="4"/>
        <v>6375</v>
      </c>
      <c r="X31" s="104">
        <f t="shared" si="4"/>
        <v>6375</v>
      </c>
      <c r="Y31" s="105">
        <f t="shared" si="4"/>
        <v>6375</v>
      </c>
    </row>
    <row r="32" spans="1:25" s="2" customFormat="1" ht="14.25" x14ac:dyDescent="0.3">
      <c r="A32" s="24"/>
      <c r="B32" s="25"/>
      <c r="C32" s="25"/>
      <c r="D32" s="25"/>
      <c r="E32" s="96"/>
      <c r="I32" s="106" t="s">
        <v>81</v>
      </c>
      <c r="J32" s="104">
        <f>J31</f>
        <v>-69000</v>
      </c>
      <c r="K32" s="104">
        <f>+(K31/((1+$K$19)^K23))</f>
        <v>5795.454545454545</v>
      </c>
      <c r="L32" s="104">
        <f t="shared" ref="L32:Y32" si="5">+(L31/((1+$K$19)^L23))</f>
        <v>5268.5950413223136</v>
      </c>
      <c r="M32" s="104">
        <f>+(M31/((1+$K$19)^M23))</f>
        <v>4789.631855747557</v>
      </c>
      <c r="N32" s="104">
        <f t="shared" si="5"/>
        <v>4354.2107779523249</v>
      </c>
      <c r="O32" s="104">
        <f t="shared" si="5"/>
        <v>3958.373434502113</v>
      </c>
      <c r="P32" s="104">
        <f t="shared" si="5"/>
        <v>3598.5213040928293</v>
      </c>
      <c r="Q32" s="104">
        <f t="shared" si="5"/>
        <v>3271.3830037207535</v>
      </c>
      <c r="R32" s="104">
        <f t="shared" si="5"/>
        <v>2973.9845488370488</v>
      </c>
      <c r="S32" s="104">
        <f t="shared" si="5"/>
        <v>2703.6223171245897</v>
      </c>
      <c r="T32" s="104">
        <f t="shared" si="5"/>
        <v>2457.8384701132632</v>
      </c>
      <c r="U32" s="104">
        <f t="shared" si="5"/>
        <v>2234.3986091938755</v>
      </c>
      <c r="V32" s="104">
        <f t="shared" si="5"/>
        <v>2031.2714629035231</v>
      </c>
      <c r="W32" s="104">
        <f t="shared" si="5"/>
        <v>1846.6104208213844</v>
      </c>
      <c r="X32" s="104">
        <f t="shared" si="5"/>
        <v>1678.7367462012583</v>
      </c>
      <c r="Y32" s="105">
        <f t="shared" si="5"/>
        <v>1526.1243147284167</v>
      </c>
    </row>
    <row r="33" spans="1:25" s="2" customFormat="1" ht="14.25" x14ac:dyDescent="0.3">
      <c r="A33" s="19"/>
      <c r="B33" s="20" t="s">
        <v>80</v>
      </c>
      <c r="C33" s="20"/>
      <c r="D33" s="20"/>
      <c r="E33" s="21"/>
      <c r="I33" s="84"/>
      <c r="J33" s="117"/>
      <c r="K33" s="117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51"/>
    </row>
    <row r="34" spans="1:25" s="2" customFormat="1" ht="15.75" thickBot="1" x14ac:dyDescent="0.35">
      <c r="A34" s="24" t="s">
        <v>82</v>
      </c>
      <c r="B34" s="25" t="s">
        <v>83</v>
      </c>
      <c r="C34" s="25" t="s">
        <v>84</v>
      </c>
      <c r="D34" s="35">
        <v>0.8</v>
      </c>
      <c r="E34" s="75" t="s">
        <v>85</v>
      </c>
      <c r="I34" s="123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5"/>
    </row>
    <row r="35" spans="1:25" s="2" customFormat="1" ht="15.75" thickBot="1" x14ac:dyDescent="0.35">
      <c r="A35" s="118" t="s">
        <v>86</v>
      </c>
      <c r="B35" s="119" t="s">
        <v>87</v>
      </c>
      <c r="C35" s="120" t="s">
        <v>88</v>
      </c>
      <c r="D35" s="121">
        <f>D34*D23/1000</f>
        <v>0</v>
      </c>
      <c r="E35" s="122" t="str">
        <f>CONCATENATE(A34," x ",A23)</f>
        <v>p x k</v>
      </c>
    </row>
    <row r="41" spans="1:25" x14ac:dyDescent="0.25">
      <c r="J41" s="126"/>
      <c r="K41" s="126" t="s">
        <v>89</v>
      </c>
      <c r="L41" s="127"/>
      <c r="M41" s="127"/>
      <c r="T41" s="126"/>
      <c r="U41" s="126" t="s">
        <v>78</v>
      </c>
      <c r="V41" s="126"/>
    </row>
    <row r="42" spans="1:25" ht="15.75" thickBot="1" x14ac:dyDescent="0.3">
      <c r="J42" s="128"/>
      <c r="K42" s="128" t="s">
        <v>90</v>
      </c>
      <c r="L42" s="128" t="s">
        <v>91</v>
      </c>
      <c r="M42" s="129"/>
      <c r="T42" s="126"/>
      <c r="U42" s="126" t="s">
        <v>92</v>
      </c>
      <c r="V42" s="126" t="s">
        <v>93</v>
      </c>
    </row>
    <row r="43" spans="1:25" ht="16.5" thickTop="1" thickBot="1" x14ac:dyDescent="0.3">
      <c r="J43" s="130"/>
      <c r="K43" s="131"/>
      <c r="L43" s="142">
        <f>R12</f>
        <v>4.3869120228189118E-2</v>
      </c>
      <c r="M43" s="132"/>
      <c r="N43" s="130"/>
      <c r="T43" s="133"/>
      <c r="U43" s="134"/>
      <c r="V43" s="134">
        <f>R12</f>
        <v>4.3869120228189118E-2</v>
      </c>
    </row>
    <row r="44" spans="1:25" ht="15.75" thickTop="1" x14ac:dyDescent="0.25">
      <c r="J44" s="130">
        <f t="shared" ref="J44:J54" si="6">J45+P$56</f>
        <v>0.39999999999999963</v>
      </c>
      <c r="K44" s="147">
        <f t="shared" ref="K44:K54" si="7">J44*P$55</f>
        <v>3.9999999999999966E-2</v>
      </c>
      <c r="L44" s="143">
        <f t="dataTable" ref="L44:L56" dt2D="0" dtr="0" r1="D8"/>
        <v>4.3869120228189118E-2</v>
      </c>
      <c r="M44" s="148">
        <f>K44/0.07</f>
        <v>0.57142857142857084</v>
      </c>
      <c r="N44" s="149"/>
      <c r="O44" s="149"/>
      <c r="P44" s="2"/>
      <c r="Q44" s="135"/>
      <c r="R44" s="135"/>
      <c r="T44" s="130">
        <f t="shared" ref="T44:T54" si="8">T45+Z$56</f>
        <v>1.6000000000000005</v>
      </c>
      <c r="U44" s="147">
        <f>T44*Z$55</f>
        <v>1.6000000000000005</v>
      </c>
      <c r="V44" s="150">
        <f t="dataTable" ref="V44:V56" dt2D="0" dtr="0" r1="D30"/>
        <v>4.3869120228189118E-2</v>
      </c>
    </row>
    <row r="45" spans="1:25" x14ac:dyDescent="0.25">
      <c r="J45" s="130">
        <f t="shared" si="6"/>
        <v>0.44999999999999962</v>
      </c>
      <c r="K45" s="147">
        <f t="shared" si="7"/>
        <v>4.4999999999999964E-2</v>
      </c>
      <c r="L45" s="143">
        <v>4.3869120228189118E-2</v>
      </c>
      <c r="M45" s="148">
        <f t="shared" ref="M45:M56" si="9">K45/0.07</f>
        <v>0.64285714285714224</v>
      </c>
      <c r="N45" s="149"/>
      <c r="O45" s="149"/>
      <c r="P45" s="149"/>
      <c r="Q45" s="135"/>
      <c r="R45" s="135"/>
      <c r="T45" s="130">
        <f t="shared" si="8"/>
        <v>1.5500000000000005</v>
      </c>
      <c r="U45" s="147">
        <f t="shared" ref="U45:U54" si="10">T45*Z$55</f>
        <v>1.5500000000000005</v>
      </c>
      <c r="V45" s="150">
        <v>4.3869120228189118E-2</v>
      </c>
    </row>
    <row r="46" spans="1:25" x14ac:dyDescent="0.25">
      <c r="J46" s="130">
        <f t="shared" si="6"/>
        <v>0.49999999999999961</v>
      </c>
      <c r="K46" s="147">
        <f t="shared" si="7"/>
        <v>4.9999999999999961E-2</v>
      </c>
      <c r="L46" s="143">
        <v>4.3869120228189118E-2</v>
      </c>
      <c r="M46" s="148">
        <f t="shared" si="9"/>
        <v>0.71428571428571364</v>
      </c>
      <c r="N46" s="149"/>
      <c r="O46" s="149"/>
      <c r="P46" s="149"/>
      <c r="Q46" s="135"/>
      <c r="R46" s="135"/>
      <c r="T46" s="130">
        <f t="shared" si="8"/>
        <v>1.5000000000000004</v>
      </c>
      <c r="U46" s="147">
        <f t="shared" si="10"/>
        <v>1.5000000000000004</v>
      </c>
      <c r="V46" s="150">
        <v>4.3869120228189118E-2</v>
      </c>
    </row>
    <row r="47" spans="1:25" x14ac:dyDescent="0.25">
      <c r="J47" s="130">
        <f t="shared" si="6"/>
        <v>0.5499999999999996</v>
      </c>
      <c r="K47" s="147">
        <f t="shared" si="7"/>
        <v>5.4999999999999966E-2</v>
      </c>
      <c r="L47" s="143">
        <v>4.3869120228189118E-2</v>
      </c>
      <c r="M47" s="148">
        <f t="shared" si="9"/>
        <v>0.78571428571428514</v>
      </c>
      <c r="N47" s="149"/>
      <c r="O47" s="149"/>
      <c r="P47" s="149"/>
      <c r="Q47" s="135"/>
      <c r="R47" s="135"/>
      <c r="T47" s="130">
        <f t="shared" si="8"/>
        <v>1.4500000000000004</v>
      </c>
      <c r="U47" s="147">
        <f t="shared" si="10"/>
        <v>1.4500000000000004</v>
      </c>
      <c r="V47" s="150">
        <v>4.3869120228189118E-2</v>
      </c>
    </row>
    <row r="48" spans="1:25" x14ac:dyDescent="0.25">
      <c r="J48" s="130">
        <f t="shared" si="6"/>
        <v>0.59999999999999964</v>
      </c>
      <c r="K48" s="147">
        <f t="shared" si="7"/>
        <v>5.999999999999997E-2</v>
      </c>
      <c r="L48" s="143">
        <v>4.3869120228189118E-2</v>
      </c>
      <c r="M48" s="148">
        <f t="shared" si="9"/>
        <v>0.85714285714285665</v>
      </c>
      <c r="N48" s="149"/>
      <c r="O48" s="149"/>
      <c r="P48" s="149"/>
      <c r="Q48" s="135"/>
      <c r="R48" s="135"/>
      <c r="T48" s="130">
        <f t="shared" si="8"/>
        <v>1.4000000000000004</v>
      </c>
      <c r="U48" s="147">
        <f t="shared" si="10"/>
        <v>1.4000000000000004</v>
      </c>
      <c r="V48" s="150">
        <v>4.3869120228189118E-2</v>
      </c>
    </row>
    <row r="49" spans="10:26" x14ac:dyDescent="0.25">
      <c r="J49" s="130">
        <f t="shared" si="6"/>
        <v>0.64999999999999969</v>
      </c>
      <c r="K49" s="147">
        <f t="shared" si="7"/>
        <v>6.4999999999999974E-2</v>
      </c>
      <c r="L49" s="143">
        <v>4.3869120228189118E-2</v>
      </c>
      <c r="M49" s="148">
        <f t="shared" si="9"/>
        <v>0.92857142857142816</v>
      </c>
      <c r="N49" s="149"/>
      <c r="O49" s="149"/>
      <c r="P49" s="149"/>
      <c r="Q49" s="135"/>
      <c r="R49" s="135"/>
      <c r="T49" s="130">
        <f t="shared" si="8"/>
        <v>1.3500000000000003</v>
      </c>
      <c r="U49" s="147">
        <f t="shared" si="10"/>
        <v>1.3500000000000003</v>
      </c>
      <c r="V49" s="150">
        <v>4.3869120228189118E-2</v>
      </c>
    </row>
    <row r="50" spans="10:26" x14ac:dyDescent="0.25">
      <c r="J50" s="130">
        <f t="shared" si="6"/>
        <v>0.69999999999999973</v>
      </c>
      <c r="K50" s="147">
        <f t="shared" si="7"/>
        <v>6.9999999999999979E-2</v>
      </c>
      <c r="L50" s="143">
        <v>4.3869120228189118E-2</v>
      </c>
      <c r="M50" s="148">
        <f t="shared" si="9"/>
        <v>0.99999999999999956</v>
      </c>
      <c r="N50" s="149"/>
      <c r="O50" s="149"/>
      <c r="P50" s="149"/>
      <c r="Q50" s="135"/>
      <c r="R50" s="135"/>
      <c r="T50" s="130">
        <f t="shared" si="8"/>
        <v>1.3000000000000003</v>
      </c>
      <c r="U50" s="147">
        <f t="shared" si="10"/>
        <v>1.3000000000000003</v>
      </c>
      <c r="V50" s="150">
        <v>4.3869120228189118E-2</v>
      </c>
    </row>
    <row r="51" spans="10:26" x14ac:dyDescent="0.25">
      <c r="J51" s="130">
        <f t="shared" si="6"/>
        <v>0.74999999999999978</v>
      </c>
      <c r="K51" s="147">
        <f t="shared" si="7"/>
        <v>7.4999999999999983E-2</v>
      </c>
      <c r="L51" s="143">
        <v>4.3869120228189118E-2</v>
      </c>
      <c r="M51" s="148">
        <f t="shared" si="9"/>
        <v>1.0714285714285712</v>
      </c>
      <c r="N51" s="149"/>
      <c r="O51" s="149"/>
      <c r="P51" s="149"/>
      <c r="Q51" s="135"/>
      <c r="R51" s="135"/>
      <c r="T51" s="130">
        <f t="shared" si="8"/>
        <v>1.2500000000000002</v>
      </c>
      <c r="U51" s="147">
        <f t="shared" si="10"/>
        <v>1.2500000000000002</v>
      </c>
      <c r="V51" s="150">
        <v>4.3869120228189118E-2</v>
      </c>
    </row>
    <row r="52" spans="10:26" x14ac:dyDescent="0.25">
      <c r="J52" s="130">
        <f t="shared" si="6"/>
        <v>0.79999999999999982</v>
      </c>
      <c r="K52" s="147">
        <f t="shared" si="7"/>
        <v>7.9999999999999988E-2</v>
      </c>
      <c r="L52" s="143">
        <v>4.3869120228189118E-2</v>
      </c>
      <c r="M52" s="148">
        <f t="shared" si="9"/>
        <v>1.1428571428571426</v>
      </c>
      <c r="N52" s="149"/>
      <c r="O52" s="149"/>
      <c r="P52" s="149"/>
      <c r="Q52" s="135"/>
      <c r="R52" s="135"/>
      <c r="T52" s="130">
        <f t="shared" si="8"/>
        <v>1.2000000000000002</v>
      </c>
      <c r="U52" s="147">
        <f t="shared" si="10"/>
        <v>1.2000000000000002</v>
      </c>
      <c r="V52" s="150">
        <v>4.3869120228189118E-2</v>
      </c>
    </row>
    <row r="53" spans="10:26" x14ac:dyDescent="0.25">
      <c r="J53" s="130">
        <f t="shared" si="6"/>
        <v>0.84999999999999987</v>
      </c>
      <c r="K53" s="147">
        <f t="shared" si="7"/>
        <v>8.4999999999999992E-2</v>
      </c>
      <c r="L53" s="143">
        <v>4.3869120228189118E-2</v>
      </c>
      <c r="M53" s="148">
        <f t="shared" si="9"/>
        <v>1.214285714285714</v>
      </c>
      <c r="N53" s="149"/>
      <c r="O53" s="149"/>
      <c r="P53" s="149"/>
      <c r="Q53" s="135"/>
      <c r="R53" s="135"/>
      <c r="T53" s="130">
        <f t="shared" si="8"/>
        <v>1.1500000000000001</v>
      </c>
      <c r="U53" s="147">
        <f t="shared" si="10"/>
        <v>1.1500000000000001</v>
      </c>
      <c r="V53" s="150">
        <v>4.3869120228189118E-2</v>
      </c>
    </row>
    <row r="54" spans="10:26" x14ac:dyDescent="0.25">
      <c r="J54" s="130">
        <f t="shared" si="6"/>
        <v>0.89999999999999991</v>
      </c>
      <c r="K54" s="147">
        <f t="shared" si="7"/>
        <v>0.09</v>
      </c>
      <c r="L54" s="143">
        <v>4.3869120228189118E-2</v>
      </c>
      <c r="M54" s="148">
        <f t="shared" si="9"/>
        <v>1.2857142857142856</v>
      </c>
      <c r="N54" s="149"/>
      <c r="O54" s="149"/>
      <c r="P54" s="149"/>
      <c r="Q54" s="135"/>
      <c r="R54" s="135"/>
      <c r="T54" s="130">
        <f t="shared" si="8"/>
        <v>1.1000000000000001</v>
      </c>
      <c r="U54" s="147">
        <f t="shared" si="10"/>
        <v>1.1000000000000001</v>
      </c>
      <c r="V54" s="150">
        <v>4.3869120228189118E-2</v>
      </c>
    </row>
    <row r="55" spans="10:26" x14ac:dyDescent="0.25">
      <c r="J55" s="130">
        <f>J56+P$56</f>
        <v>0.95</v>
      </c>
      <c r="K55" s="147">
        <f>J55*P$55</f>
        <v>9.5000000000000001E-2</v>
      </c>
      <c r="L55" s="143">
        <v>4.3869120228189118E-2</v>
      </c>
      <c r="M55" s="148">
        <f t="shared" si="9"/>
        <v>1.357142857142857</v>
      </c>
      <c r="N55" s="149"/>
      <c r="O55" s="145" t="s">
        <v>116</v>
      </c>
      <c r="P55" s="146">
        <v>0.1</v>
      </c>
      <c r="Q55" s="135"/>
      <c r="R55" s="135"/>
      <c r="T55" s="130">
        <f>T56+Z$56</f>
        <v>1.05</v>
      </c>
      <c r="U55" s="147">
        <f>T55*Z$55</f>
        <v>1.05</v>
      </c>
      <c r="V55" s="150">
        <v>4.3869120228189118E-2</v>
      </c>
      <c r="Y55" s="145" t="s">
        <v>116</v>
      </c>
      <c r="Z55" s="146">
        <v>1</v>
      </c>
    </row>
    <row r="56" spans="10:26" x14ac:dyDescent="0.25">
      <c r="J56" s="130">
        <v>1</v>
      </c>
      <c r="K56" s="147">
        <f>J56*P$55</f>
        <v>0.1</v>
      </c>
      <c r="L56" s="143">
        <v>4.3869120228189118E-2</v>
      </c>
      <c r="M56" s="148">
        <f t="shared" si="9"/>
        <v>1.4285714285714286</v>
      </c>
      <c r="N56" s="149"/>
      <c r="O56" s="145" t="s">
        <v>117</v>
      </c>
      <c r="P56" s="146">
        <v>-0.05</v>
      </c>
      <c r="Q56" s="135"/>
      <c r="R56" s="135"/>
      <c r="T56" s="130">
        <v>1</v>
      </c>
      <c r="U56" s="147">
        <f>T56*Z$55</f>
        <v>1</v>
      </c>
      <c r="V56" s="150">
        <v>4.3869120228189118E-2</v>
      </c>
      <c r="Y56" s="145" t="s">
        <v>117</v>
      </c>
      <c r="Z56" s="146">
        <v>0.05</v>
      </c>
    </row>
    <row r="57" spans="10:26" x14ac:dyDescent="0.25">
      <c r="L57" s="144"/>
    </row>
    <row r="82" spans="11:24" x14ac:dyDescent="0.25">
      <c r="M82" t="str">
        <f>CONCATENATE("Project ",$C$2," IRR vs electricity price")</f>
        <v>Project  IRR vs electricity price</v>
      </c>
      <c r="X82" t="str">
        <f>CONCATENATE("Project ",$C$2," IRR vs Investment Cost ")</f>
        <v xml:space="preserve">Project  IRR vs Investment Cost </v>
      </c>
    </row>
    <row r="87" spans="11:24" x14ac:dyDescent="0.25">
      <c r="L87" s="139"/>
    </row>
    <row r="88" spans="11:24" x14ac:dyDescent="0.25">
      <c r="K88" s="159"/>
      <c r="L88" s="139"/>
    </row>
    <row r="89" spans="11:24" x14ac:dyDescent="0.25">
      <c r="K89" s="159"/>
      <c r="L89" s="139"/>
    </row>
    <row r="90" spans="11:24" x14ac:dyDescent="0.25">
      <c r="K90" s="159"/>
      <c r="L90" s="139"/>
    </row>
    <row r="91" spans="11:24" x14ac:dyDescent="0.25">
      <c r="K91" s="159"/>
      <c r="L91" s="139"/>
    </row>
    <row r="92" spans="11:24" x14ac:dyDescent="0.25">
      <c r="K92" s="159"/>
      <c r="L92" s="139"/>
    </row>
    <row r="93" spans="11:24" x14ac:dyDescent="0.25">
      <c r="K93" s="159"/>
      <c r="L93" s="139"/>
    </row>
    <row r="94" spans="11:24" x14ac:dyDescent="0.25">
      <c r="K94" s="159"/>
      <c r="L94" s="139"/>
    </row>
    <row r="95" spans="11:24" x14ac:dyDescent="0.25">
      <c r="K95" s="159"/>
      <c r="L95" s="139"/>
    </row>
    <row r="96" spans="11:24" x14ac:dyDescent="0.25">
      <c r="K96" s="159"/>
      <c r="L96" s="139"/>
    </row>
    <row r="97" spans="11:12" x14ac:dyDescent="0.25">
      <c r="K97" s="159"/>
      <c r="L97" s="139"/>
    </row>
    <row r="98" spans="11:12" x14ac:dyDescent="0.25">
      <c r="K98" s="159"/>
      <c r="L98" s="139"/>
    </row>
    <row r="99" spans="11:12" x14ac:dyDescent="0.25">
      <c r="K99" s="159"/>
      <c r="L99" s="139"/>
    </row>
    <row r="100" spans="11:12" x14ac:dyDescent="0.25">
      <c r="K100" s="159"/>
      <c r="L100" s="139"/>
    </row>
    <row r="101" spans="11:12" x14ac:dyDescent="0.25">
      <c r="K101" s="159"/>
      <c r="L101" s="139"/>
    </row>
    <row r="102" spans="11:12" x14ac:dyDescent="0.25">
      <c r="K102" s="159"/>
      <c r="L102" s="139"/>
    </row>
    <row r="103" spans="11:12" x14ac:dyDescent="0.25">
      <c r="K103" s="159"/>
      <c r="L103" s="139"/>
    </row>
    <row r="104" spans="11:12" x14ac:dyDescent="0.25">
      <c r="K104" s="159"/>
      <c r="L104" s="139"/>
    </row>
    <row r="105" spans="11:12" x14ac:dyDescent="0.25">
      <c r="K105" s="159"/>
      <c r="L105" s="139"/>
    </row>
    <row r="106" spans="11:12" x14ac:dyDescent="0.25">
      <c r="K106" s="159"/>
      <c r="L106" s="1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LED Question</vt:lpstr>
      <vt:lpstr>Exercise LED O&amp;M Q</vt:lpstr>
      <vt:lpstr>O&amp;M Solutions</vt:lpstr>
      <vt:lpstr>Exercise solution</vt:lpstr>
      <vt:lpstr>Exercise O&amp;M</vt:lpstr>
      <vt:lpstr>Exercise &amp;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</dc:creator>
  <cp:lastModifiedBy>Kristina Ghahramanyan</cp:lastModifiedBy>
  <dcterms:created xsi:type="dcterms:W3CDTF">2014-09-23T07:50:29Z</dcterms:created>
  <dcterms:modified xsi:type="dcterms:W3CDTF">2021-04-06T11:03:34Z</dcterms:modified>
</cp:coreProperties>
</file>