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60" yWindow="6400" windowWidth="31080" windowHeight="2172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2" l="1"/>
  <c r="C11" i="2"/>
  <c r="D17" i="2"/>
  <c r="C19" i="2"/>
  <c r="D19" i="2"/>
  <c r="D21" i="2"/>
  <c r="C21" i="2"/>
  <c r="D22" i="2"/>
  <c r="D23" i="2"/>
  <c r="C20" i="2"/>
  <c r="C6" i="2"/>
  <c r="C16" i="2"/>
  <c r="C13" i="2"/>
  <c r="C12" i="2"/>
  <c r="C17" i="2"/>
  <c r="C14" i="2"/>
  <c r="F21" i="2"/>
  <c r="F22" i="2"/>
  <c r="E21" i="2"/>
  <c r="E22" i="2"/>
  <c r="D20" i="2"/>
  <c r="B17" i="1"/>
  <c r="B18" i="1"/>
  <c r="B10" i="1"/>
  <c r="C23" i="1"/>
  <c r="B24" i="1"/>
  <c r="C25" i="1"/>
  <c r="C22" i="1"/>
  <c r="C27" i="1"/>
  <c r="D28" i="1"/>
  <c r="B12" i="1"/>
  <c r="B35" i="1"/>
  <c r="B42" i="1"/>
  <c r="G23" i="1"/>
  <c r="G11" i="1"/>
  <c r="G13" i="1"/>
  <c r="G25" i="1"/>
  <c r="G32" i="1"/>
  <c r="G22" i="1"/>
  <c r="G33" i="1"/>
  <c r="C11" i="1"/>
  <c r="C13" i="1"/>
  <c r="D14" i="1"/>
  <c r="E30" i="1"/>
</calcChain>
</file>

<file path=xl/sharedStrings.xml><?xml version="1.0" encoding="utf-8"?>
<sst xmlns="http://schemas.openxmlformats.org/spreadsheetml/2006/main" count="76" uniqueCount="72">
  <si>
    <t>耳軸から筒底までの長さ[m]</t>
    <rPh sb="0" eb="2">
      <t>ミミジク</t>
    </rPh>
    <rPh sb="4" eb="6">
      <t>ツツソコ</t>
    </rPh>
    <rPh sb="9" eb="10">
      <t>ナガ</t>
    </rPh>
    <phoneticPr fontId="1"/>
  </si>
  <si>
    <t>ボイド管の単位質量[kg/m]</t>
    <rPh sb="3" eb="4">
      <t>クダ</t>
    </rPh>
    <rPh sb="5" eb="7">
      <t>タンイ</t>
    </rPh>
    <rPh sb="7" eb="9">
      <t>シツリョウ</t>
    </rPh>
    <phoneticPr fontId="1"/>
  </si>
  <si>
    <t>耳軸から斜鏡までの距離[m]</t>
    <rPh sb="0" eb="2">
      <t>ミミジク</t>
    </rPh>
    <rPh sb="4" eb="5">
      <t>ナナメ</t>
    </rPh>
    <rPh sb="5" eb="6">
      <t>カガミ</t>
    </rPh>
    <rPh sb="9" eb="11">
      <t>キョリ</t>
    </rPh>
    <phoneticPr fontId="1"/>
  </si>
  <si>
    <t>耳軸から筒先までの長さ[m]</t>
    <rPh sb="0" eb="2">
      <t>ミミジク</t>
    </rPh>
    <rPh sb="4" eb="6">
      <t>ツツサキ</t>
    </rPh>
    <rPh sb="9" eb="10">
      <t>ナガ</t>
    </rPh>
    <phoneticPr fontId="1"/>
  </si>
  <si>
    <t>主鏡モーメント</t>
    <rPh sb="0" eb="2">
      <t>シュキョウ</t>
    </rPh>
    <phoneticPr fontId="1"/>
  </si>
  <si>
    <t>主鏡側の筒のモーメント</t>
    <rPh sb="0" eb="3">
      <t>シュキョウガワ</t>
    </rPh>
    <rPh sb="4" eb="5">
      <t>ツツ</t>
    </rPh>
    <phoneticPr fontId="1"/>
  </si>
  <si>
    <t>主鏡側モーメント合計</t>
    <rPh sb="0" eb="3">
      <t>シュキョウガワ</t>
    </rPh>
    <rPh sb="8" eb="10">
      <t>ゴウケイ</t>
    </rPh>
    <phoneticPr fontId="1"/>
  </si>
  <si>
    <t>斜鏡モーメント</t>
    <rPh sb="0" eb="1">
      <t>ナナメ</t>
    </rPh>
    <rPh sb="1" eb="2">
      <t>カガミ</t>
    </rPh>
    <phoneticPr fontId="1"/>
  </si>
  <si>
    <t>斜鏡側の筒のモーメント</t>
    <rPh sb="0" eb="1">
      <t>ナナメ</t>
    </rPh>
    <rPh sb="1" eb="2">
      <t>カガミ</t>
    </rPh>
    <rPh sb="2" eb="3">
      <t>ガワ</t>
    </rPh>
    <rPh sb="4" eb="5">
      <t>ツツ</t>
    </rPh>
    <phoneticPr fontId="1"/>
  </si>
  <si>
    <t>斜鏡側モーメント合計</t>
    <rPh sb="0" eb="1">
      <t>ナナメ</t>
    </rPh>
    <rPh sb="1" eb="2">
      <t>カガミ</t>
    </rPh>
    <rPh sb="2" eb="3">
      <t>ガワ</t>
    </rPh>
    <rPh sb="8" eb="10">
      <t>ゴウケイ</t>
    </rPh>
    <phoneticPr fontId="1"/>
  </si>
  <si>
    <t>斜鏡モーメントー主鏡モーメント(負であること)</t>
    <rPh sb="0" eb="1">
      <t>ナナメ</t>
    </rPh>
    <rPh sb="1" eb="2">
      <t>カガミ</t>
    </rPh>
    <rPh sb="8" eb="10">
      <t>シュキョウ</t>
    </rPh>
    <rPh sb="16" eb="17">
      <t>フ</t>
    </rPh>
    <phoneticPr fontId="1"/>
  </si>
  <si>
    <t>主鏡表面と斜鏡中心の間の距離[m]</t>
    <rPh sb="0" eb="2">
      <t>シュキョウ</t>
    </rPh>
    <rPh sb="2" eb="4">
      <t>ヒョウメン</t>
    </rPh>
    <rPh sb="5" eb="6">
      <t>ナナメ</t>
    </rPh>
    <rPh sb="6" eb="7">
      <t>カガミ</t>
    </rPh>
    <rPh sb="7" eb="9">
      <t>チュウシン</t>
    </rPh>
    <rPh sb="10" eb="11">
      <t>アイダ</t>
    </rPh>
    <rPh sb="12" eb="14">
      <t>キョリ</t>
    </rPh>
    <phoneticPr fontId="1"/>
  </si>
  <si>
    <t>主鏡表面から重心位置までの距離[m]</t>
    <rPh sb="0" eb="2">
      <t>シュキョウ</t>
    </rPh>
    <rPh sb="2" eb="4">
      <t>ヒョウメン</t>
    </rPh>
    <rPh sb="6" eb="10">
      <t>ジュウシンイチ</t>
    </rPh>
    <rPh sb="13" eb="15">
      <t>キョリ</t>
    </rPh>
    <phoneticPr fontId="1"/>
  </si>
  <si>
    <t>耳軸から主鏡表面までの距離[m]</t>
    <rPh sb="0" eb="2">
      <t>ミミジク</t>
    </rPh>
    <rPh sb="4" eb="6">
      <t>シュキョウ</t>
    </rPh>
    <rPh sb="6" eb="8">
      <t>ヒョウメン</t>
    </rPh>
    <rPh sb="11" eb="13">
      <t>キョリ</t>
    </rPh>
    <phoneticPr fontId="1"/>
  </si>
  <si>
    <t>ファインダーの重量[kg]</t>
    <rPh sb="7" eb="9">
      <t>ジュウリョウ</t>
    </rPh>
    <phoneticPr fontId="1"/>
  </si>
  <si>
    <t>斜鏡と支持装置と接眼部[kg]</t>
    <rPh sb="0" eb="1">
      <t>ナナメ</t>
    </rPh>
    <rPh sb="1" eb="2">
      <t>カガミ</t>
    </rPh>
    <rPh sb="3" eb="7">
      <t>シジソウチ</t>
    </rPh>
    <rPh sb="8" eb="10">
      <t>セツガン</t>
    </rPh>
    <rPh sb="10" eb="11">
      <t>ブ</t>
    </rPh>
    <phoneticPr fontId="1"/>
  </si>
  <si>
    <t>水平時モーメント</t>
    <rPh sb="0" eb="2">
      <t>スイヘイ</t>
    </rPh>
    <rPh sb="2" eb="3">
      <t>ジ</t>
    </rPh>
    <phoneticPr fontId="1"/>
  </si>
  <si>
    <t>垂直時モーメント</t>
    <rPh sb="0" eb="2">
      <t>スイチョク</t>
    </rPh>
    <rPh sb="2" eb="3">
      <t>ジ</t>
    </rPh>
    <phoneticPr fontId="1"/>
  </si>
  <si>
    <t>光軸からファインダーのオフセット</t>
    <rPh sb="0" eb="2">
      <t>koujiku</t>
    </rPh>
    <phoneticPr fontId="1"/>
  </si>
  <si>
    <t>光軸から耳軸のオフセット</t>
    <rPh sb="0" eb="2">
      <t>コウジク</t>
    </rPh>
    <rPh sb="4" eb="6">
      <t>ミミジク</t>
    </rPh>
    <phoneticPr fontId="1"/>
  </si>
  <si>
    <t>ファインダーのモーメント</t>
    <phoneticPr fontId="1"/>
  </si>
  <si>
    <t>鏡筒のモーメント</t>
    <rPh sb="0" eb="3">
      <t>kyoutouンo</t>
    </rPh>
    <phoneticPr fontId="1"/>
  </si>
  <si>
    <t>鏡筒のモーメントーファインダーのモーメント(0であること)</t>
    <rPh sb="0" eb="2">
      <t>キョウトウ</t>
    </rPh>
    <phoneticPr fontId="1"/>
  </si>
  <si>
    <t>RCF</t>
    <phoneticPr fontId="1"/>
  </si>
  <si>
    <t>filter slider</t>
    <phoneticPr fontId="1"/>
  </si>
  <si>
    <t>斜鏡支持</t>
    <rPh sb="0" eb="1">
      <t>ナナ</t>
    </rPh>
    <rPh sb="1" eb="2">
      <t>カガミ</t>
    </rPh>
    <rPh sb="2" eb="4">
      <t>シジ</t>
    </rPh>
    <phoneticPr fontId="1"/>
  </si>
  <si>
    <t>斜鏡</t>
    <rPh sb="0" eb="1">
      <t>ナナ</t>
    </rPh>
    <rPh sb="1" eb="2">
      <t>カガミ</t>
    </rPh>
    <phoneticPr fontId="1"/>
  </si>
  <si>
    <t>アイピース</t>
    <phoneticPr fontId="1"/>
  </si>
  <si>
    <t>耳軸からファインダーまでの距離[m]</t>
    <rPh sb="0" eb="2">
      <t>ミミジク</t>
    </rPh>
    <rPh sb="13" eb="15">
      <t>キョリ</t>
    </rPh>
    <phoneticPr fontId="1"/>
  </si>
  <si>
    <t>主鏡表面から筒底までの長さ</t>
    <rPh sb="0" eb="2">
      <t>シュキョウ</t>
    </rPh>
    <rPh sb="2" eb="4">
      <t>ヒョウメン</t>
    </rPh>
    <rPh sb="6" eb="8">
      <t>ツツソコ</t>
    </rPh>
    <rPh sb="11" eb="12">
      <t>ナガ</t>
    </rPh>
    <phoneticPr fontId="1"/>
  </si>
  <si>
    <t>斜鏡から筒先までの長さ</t>
    <rPh sb="0" eb="1">
      <t>ナナ</t>
    </rPh>
    <rPh sb="1" eb="2">
      <t>カガミ</t>
    </rPh>
    <rPh sb="4" eb="6">
      <t>ツツサキ</t>
    </rPh>
    <rPh sb="9" eb="10">
      <t>ナガ</t>
    </rPh>
    <phoneticPr fontId="1"/>
  </si>
  <si>
    <t>鏡筒の長さ</t>
    <rPh sb="0" eb="2">
      <t>キョウトウ</t>
    </rPh>
    <rPh sb="3" eb="4">
      <t>ナガ</t>
    </rPh>
    <phoneticPr fontId="1"/>
  </si>
  <si>
    <t>フードの重量[kg]</t>
    <rPh sb="4" eb="6">
      <t>ジュウリョウ</t>
    </rPh>
    <phoneticPr fontId="1"/>
  </si>
  <si>
    <t>フードのモーメント</t>
    <phoneticPr fontId="1"/>
  </si>
  <si>
    <t>主鏡と支持装置と筒強化の重量[kg]</t>
    <rPh sb="0" eb="2">
      <t>シュキョウ</t>
    </rPh>
    <rPh sb="3" eb="7">
      <t>シジソウチ</t>
    </rPh>
    <rPh sb="8" eb="9">
      <t>ツツ</t>
    </rPh>
    <rPh sb="9" eb="11">
      <t>キョウカ</t>
    </rPh>
    <rPh sb="12" eb="14">
      <t>ジュウリョウ</t>
    </rPh>
    <phoneticPr fontId="1"/>
  </si>
  <si>
    <t>光軸(筒先＋)</t>
    <rPh sb="1" eb="3">
      <t>koujiku</t>
    </rPh>
    <rPh sb="4" eb="6">
      <t>ツツサキ</t>
    </rPh>
    <phoneticPr fontId="1"/>
  </si>
  <si>
    <t>耳軸(手前＋)</t>
    <rPh sb="0" eb="1">
      <t>ミミ</t>
    </rPh>
    <rPh sb="1" eb="3">
      <t>koujiku</t>
    </rPh>
    <rPh sb="3" eb="5">
      <t>テマエ</t>
    </rPh>
    <rPh sb="5" eb="6">
      <t>ツツサキ</t>
    </rPh>
    <phoneticPr fontId="1"/>
  </si>
  <si>
    <t>縦(上＋)</t>
    <rPh sb="0" eb="1">
      <t>タテ</t>
    </rPh>
    <rPh sb="1" eb="2">
      <t>koujiku</t>
    </rPh>
    <rPh sb="2" eb="3">
      <t>ウエ</t>
    </rPh>
    <rPh sb="3" eb="4">
      <t>ツツサキ</t>
    </rPh>
    <phoneticPr fontId="1"/>
  </si>
  <si>
    <t>鏡筒が水平向き</t>
    <rPh sb="0" eb="2">
      <t>kyoutou</t>
    </rPh>
    <rPh sb="3" eb="6">
      <t>スイヘイム</t>
    </rPh>
    <phoneticPr fontId="1"/>
  </si>
  <si>
    <t>主鏡</t>
    <rPh sb="0" eb="1">
      <t>シュキョウ</t>
    </rPh>
    <rPh sb="1" eb="2">
      <t>カガミ</t>
    </rPh>
    <phoneticPr fontId="1"/>
  </si>
  <si>
    <t>副鏡</t>
    <rPh sb="0" eb="1">
      <t>フク</t>
    </rPh>
    <rPh sb="1" eb="2">
      <t>カガミ</t>
    </rPh>
    <phoneticPr fontId="1"/>
  </si>
  <si>
    <t>接眼部</t>
    <rPh sb="0" eb="3">
      <t>セツガンブ</t>
    </rPh>
    <phoneticPr fontId="1"/>
  </si>
  <si>
    <t>アイピース</t>
    <phoneticPr fontId="1"/>
  </si>
  <si>
    <t>副鏡支持</t>
    <rPh sb="0" eb="2">
      <t>フクカガミ</t>
    </rPh>
    <rPh sb="2" eb="4">
      <t>siji</t>
    </rPh>
    <phoneticPr fontId="1"/>
  </si>
  <si>
    <t>ファインダー台</t>
    <rPh sb="6" eb="7">
      <t>dai</t>
    </rPh>
    <phoneticPr fontId="1"/>
  </si>
  <si>
    <t>ファインダー</t>
    <phoneticPr fontId="1"/>
  </si>
  <si>
    <t>フード</t>
    <phoneticPr fontId="1"/>
  </si>
  <si>
    <t>重さ(kg)</t>
    <rPh sb="0" eb="1">
      <t>オモ</t>
    </rPh>
    <phoneticPr fontId="1"/>
  </si>
  <si>
    <t>鏡筒</t>
    <rPh sb="0" eb="2">
      <t>キョウトウ</t>
    </rPh>
    <phoneticPr fontId="1"/>
  </si>
  <si>
    <t>フード長さ</t>
    <rPh sb="3" eb="4">
      <t>ナガ</t>
    </rPh>
    <phoneticPr fontId="1"/>
  </si>
  <si>
    <t>フードの単位質量[kg/m]</t>
    <rPh sb="4" eb="8">
      <t>タンイシツリョウ</t>
    </rPh>
    <phoneticPr fontId="1"/>
  </si>
  <si>
    <t>主鏡表面</t>
    <rPh sb="0" eb="1">
      <t>syukyou</t>
    </rPh>
    <rPh sb="1" eb="3">
      <t>ヒョウメン</t>
    </rPh>
    <phoneticPr fontId="1"/>
  </si>
  <si>
    <t>鏡筒中心</t>
    <rPh sb="0" eb="1">
      <t>キョウトウ</t>
    </rPh>
    <rPh sb="1" eb="3">
      <t>チュウシン</t>
    </rPh>
    <phoneticPr fontId="1"/>
  </si>
  <si>
    <t>合計(重量, モーメント)</t>
    <rPh sb="0" eb="2">
      <t>ゴウケイ</t>
    </rPh>
    <rPh sb="3" eb="5">
      <t>ジュウリョウ</t>
    </rPh>
    <phoneticPr fontId="1"/>
  </si>
  <si>
    <t>重心</t>
    <rPh sb="0" eb="2">
      <t>ジュウシン</t>
    </rPh>
    <phoneticPr fontId="1"/>
  </si>
  <si>
    <t>裏打ち金具 66g</t>
    <rPh sb="0" eb="2">
      <t>ウラウ</t>
    </rPh>
    <rPh sb="3" eb="5">
      <t>カナグ</t>
    </rPh>
    <phoneticPr fontId="1"/>
  </si>
  <si>
    <t>裏打ち金具 162g</t>
    <rPh sb="0" eb="2">
      <t>ウラウ</t>
    </rPh>
    <rPh sb="3" eb="5">
      <t>カナグ</t>
    </rPh>
    <phoneticPr fontId="1"/>
  </si>
  <si>
    <t>SX 192g</t>
    <phoneticPr fontId="1"/>
  </si>
  <si>
    <t>台 353g</t>
    <rPh sb="0" eb="1">
      <t>dai</t>
    </rPh>
    <phoneticPr fontId="1"/>
  </si>
  <si>
    <t>RCF 400g</t>
    <phoneticPr fontId="1"/>
  </si>
  <si>
    <t>枠 1306g</t>
    <rPh sb="0" eb="1">
      <t>ワク</t>
    </rPh>
    <phoneticPr fontId="1"/>
  </si>
  <si>
    <t>筒 1640g</t>
    <rPh sb="0" eb="1">
      <t>ツツ</t>
    </rPh>
    <phoneticPr fontId="1"/>
  </si>
  <si>
    <t>金具 385g</t>
    <rPh sb="0" eb="2">
      <t>カナグ</t>
    </rPh>
    <phoneticPr fontId="1"/>
  </si>
  <si>
    <t>ホルダー 117g</t>
    <phoneticPr fontId="1"/>
  </si>
  <si>
    <t>金具 1045g</t>
    <rPh sb="0" eb="2">
      <t>カナグ</t>
    </rPh>
    <phoneticPr fontId="1"/>
  </si>
  <si>
    <t>Quik Finder</t>
    <phoneticPr fontId="1"/>
  </si>
  <si>
    <t>800g/m^2</t>
    <phoneticPr fontId="1"/>
  </si>
  <si>
    <t>外周 1.49m</t>
    <rPh sb="0" eb="2">
      <t>ガイシュウ</t>
    </rPh>
    <phoneticPr fontId="1"/>
  </si>
  <si>
    <t>対面 周長0.91m</t>
    <rPh sb="0" eb="2">
      <t>タイメン</t>
    </rPh>
    <rPh sb="3" eb="5">
      <t>syuuchou</t>
    </rPh>
    <phoneticPr fontId="1"/>
  </si>
  <si>
    <t>フード取り付け長さ</t>
    <rPh sb="3" eb="7">
      <t>torituke</t>
    </rPh>
    <rPh sb="7" eb="8">
      <t>ナガ</t>
    </rPh>
    <phoneticPr fontId="1"/>
  </si>
  <si>
    <t>枠 1200g</t>
    <rPh sb="0" eb="1">
      <t>ワク</t>
    </rPh>
    <phoneticPr fontId="1"/>
  </si>
  <si>
    <t>主鏡 12.3kg</t>
    <rPh sb="0" eb="2">
      <t>シュキョウ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</si>
</sst>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1" xfId="0" quotePrefix="1" applyBorder="1"/>
    <xf numFmtId="0" fontId="0" fillId="0" borderId="2" xfId="0" applyBorder="1"/>
    <xf numFmtId="0" fontId="0" fillId="0" borderId="4" xfId="0" applyBorder="1"/>
    <xf numFmtId="0" fontId="0" fillId="0" borderId="5" xfId="0" quotePrefix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5" xfId="0" applyBorder="1"/>
    <xf numFmtId="0" fontId="0" fillId="0" borderId="16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35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activeCell="B10" sqref="B10"/>
    </sheetView>
  </sheetViews>
  <sheetFormatPr baseColWidth="12" defaultRowHeight="18" x14ac:dyDescent="0"/>
  <cols>
    <col min="1" max="1" width="43.6640625" bestFit="1" customWidth="1"/>
  </cols>
  <sheetData>
    <row r="1" spans="1:7">
      <c r="C1" t="s">
        <v>16</v>
      </c>
      <c r="G1" t="s">
        <v>17</v>
      </c>
    </row>
    <row r="2" spans="1:7">
      <c r="A2" t="s">
        <v>12</v>
      </c>
      <c r="B2">
        <v>0.02</v>
      </c>
    </row>
    <row r="3" spans="1:7">
      <c r="A3" t="s">
        <v>11</v>
      </c>
      <c r="B3">
        <v>1.52</v>
      </c>
    </row>
    <row r="5" spans="1:7">
      <c r="A5" t="s">
        <v>1</v>
      </c>
      <c r="B5">
        <v>8.1</v>
      </c>
    </row>
    <row r="7" spans="1:7">
      <c r="A7" t="s">
        <v>29</v>
      </c>
      <c r="B7">
        <v>0.09</v>
      </c>
    </row>
    <row r="8" spans="1:7">
      <c r="A8" t="s">
        <v>13</v>
      </c>
      <c r="B8" s="1">
        <v>0.52</v>
      </c>
    </row>
    <row r="9" spans="1:7">
      <c r="A9" t="s">
        <v>19</v>
      </c>
      <c r="F9" s="1">
        <v>3.2000000000000001E-2</v>
      </c>
    </row>
    <row r="10" spans="1:7">
      <c r="A10" t="s">
        <v>34</v>
      </c>
      <c r="B10">
        <f>12.5+2+1</f>
        <v>15.5</v>
      </c>
    </row>
    <row r="11" spans="1:7">
      <c r="A11" t="s">
        <v>4</v>
      </c>
      <c r="C11">
        <f>(B8+B2)*B10</f>
        <v>8.370000000000001</v>
      </c>
      <c r="G11">
        <f>F9*B10</f>
        <v>0.496</v>
      </c>
    </row>
    <row r="12" spans="1:7">
      <c r="A12" t="s">
        <v>0</v>
      </c>
      <c r="B12">
        <f>B7+B8</f>
        <v>0.61</v>
      </c>
    </row>
    <row r="13" spans="1:7">
      <c r="A13" t="s">
        <v>5</v>
      </c>
      <c r="C13">
        <f>B12*B5*B12/2</f>
        <v>1.5070049999999999</v>
      </c>
      <c r="G13">
        <f>B12*B5*F9</f>
        <v>0.158112</v>
      </c>
    </row>
    <row r="14" spans="1:7">
      <c r="A14" t="s">
        <v>6</v>
      </c>
      <c r="D14">
        <f>C11+C13</f>
        <v>9.8770050000000005</v>
      </c>
    </row>
    <row r="16" spans="1:7">
      <c r="A16" t="s">
        <v>30</v>
      </c>
      <c r="B16">
        <v>0.12</v>
      </c>
    </row>
    <row r="17" spans="1:7">
      <c r="A17" t="s">
        <v>2</v>
      </c>
      <c r="B17">
        <f>B3-B8</f>
        <v>1</v>
      </c>
    </row>
    <row r="18" spans="1:7">
      <c r="A18" t="s">
        <v>28</v>
      </c>
      <c r="B18">
        <f>B17-0.37</f>
        <v>0.63</v>
      </c>
    </row>
    <row r="19" spans="1:7">
      <c r="A19" t="s">
        <v>18</v>
      </c>
      <c r="F19">
        <v>0.35099999999999998</v>
      </c>
    </row>
    <row r="20" spans="1:7">
      <c r="A20" t="s">
        <v>14</v>
      </c>
      <c r="B20">
        <v>3</v>
      </c>
    </row>
    <row r="21" spans="1:7">
      <c r="A21" t="s">
        <v>15</v>
      </c>
      <c r="B21">
        <v>2</v>
      </c>
    </row>
    <row r="22" spans="1:7">
      <c r="A22" s="1" t="s">
        <v>20</v>
      </c>
      <c r="B22" s="1"/>
      <c r="C22" s="1">
        <f>B18*B20</f>
        <v>1.8900000000000001</v>
      </c>
      <c r="D22" s="1"/>
      <c r="E22" s="1"/>
      <c r="F22" s="1"/>
      <c r="G22" s="1">
        <f>B20*(F19-F9)</f>
        <v>0.95699999999999985</v>
      </c>
    </row>
    <row r="23" spans="1:7">
      <c r="A23" t="s">
        <v>7</v>
      </c>
      <c r="C23">
        <f>B17*B21</f>
        <v>2</v>
      </c>
      <c r="G23">
        <f>B21*F9</f>
        <v>6.4000000000000001E-2</v>
      </c>
    </row>
    <row r="24" spans="1:7">
      <c r="A24" t="s">
        <v>3</v>
      </c>
      <c r="B24">
        <f>B16+B17</f>
        <v>1.1200000000000001</v>
      </c>
    </row>
    <row r="25" spans="1:7">
      <c r="A25" t="s">
        <v>8</v>
      </c>
      <c r="C25">
        <f>B24*B5*B24/2</f>
        <v>5.0803200000000013</v>
      </c>
      <c r="G25">
        <f>B24*B5*F9</f>
        <v>0.29030400000000006</v>
      </c>
    </row>
    <row r="26" spans="1:7">
      <c r="A26" t="s">
        <v>32</v>
      </c>
      <c r="B26">
        <v>0.5</v>
      </c>
    </row>
    <row r="27" spans="1:7">
      <c r="A27" t="s">
        <v>33</v>
      </c>
      <c r="C27">
        <f>B24*B26</f>
        <v>0.56000000000000005</v>
      </c>
    </row>
    <row r="28" spans="1:7">
      <c r="A28" t="s">
        <v>9</v>
      </c>
      <c r="D28">
        <f>C23+C25+C22+C27</f>
        <v>9.5303200000000015</v>
      </c>
    </row>
    <row r="30" spans="1:7">
      <c r="A30" t="s">
        <v>10</v>
      </c>
      <c r="E30">
        <f>D28-D14</f>
        <v>-0.34668499999999902</v>
      </c>
    </row>
    <row r="32" spans="1:7">
      <c r="A32" t="s">
        <v>21</v>
      </c>
      <c r="G32">
        <f>G11+G13+G23+G25</f>
        <v>1.0084160000000002</v>
      </c>
    </row>
    <row r="33" spans="1:7">
      <c r="A33" t="s">
        <v>22</v>
      </c>
      <c r="G33">
        <f>G32-G22</f>
        <v>5.141600000000035E-2</v>
      </c>
    </row>
    <row r="35" spans="1:7">
      <c r="A35" t="s">
        <v>31</v>
      </c>
      <c r="B35">
        <f>B12+B24</f>
        <v>1.73</v>
      </c>
    </row>
    <row r="37" spans="1:7">
      <c r="A37" t="s">
        <v>23</v>
      </c>
      <c r="B37">
        <v>365</v>
      </c>
    </row>
    <row r="38" spans="1:7">
      <c r="A38" t="s">
        <v>24</v>
      </c>
      <c r="B38">
        <v>225</v>
      </c>
    </row>
    <row r="39" spans="1:7">
      <c r="A39" t="s">
        <v>25</v>
      </c>
      <c r="B39">
        <v>252</v>
      </c>
    </row>
    <row r="40" spans="1:7">
      <c r="A40" t="s">
        <v>26</v>
      </c>
      <c r="B40">
        <v>393</v>
      </c>
    </row>
    <row r="41" spans="1:7">
      <c r="A41" t="s">
        <v>27</v>
      </c>
      <c r="B41">
        <v>500</v>
      </c>
    </row>
    <row r="42" spans="1:7">
      <c r="B42">
        <f>SUM(B37:B41)</f>
        <v>1735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tabSelected="1" workbookViewId="0">
      <selection activeCell="D17" sqref="D17"/>
    </sheetView>
  </sheetViews>
  <sheetFormatPr baseColWidth="12" defaultRowHeight="18" x14ac:dyDescent="0"/>
  <cols>
    <col min="2" max="2" width="26.33203125" bestFit="1" customWidth="1"/>
    <col min="7" max="7" width="15.83203125" bestFit="1" customWidth="1"/>
    <col min="8" max="8" width="17" bestFit="1" customWidth="1"/>
  </cols>
  <sheetData>
    <row r="1" spans="2:9">
      <c r="B1" t="s">
        <v>29</v>
      </c>
      <c r="C1">
        <v>90</v>
      </c>
    </row>
    <row r="2" spans="2:9">
      <c r="B2" t="s">
        <v>31</v>
      </c>
      <c r="C2">
        <v>1730</v>
      </c>
    </row>
    <row r="3" spans="2:9">
      <c r="B3" t="s">
        <v>1</v>
      </c>
      <c r="C3">
        <v>8.3000000000000007</v>
      </c>
      <c r="G3" t="s">
        <v>67</v>
      </c>
    </row>
    <row r="4" spans="2:9">
      <c r="B4" t="s">
        <v>49</v>
      </c>
      <c r="C4">
        <v>300</v>
      </c>
    </row>
    <row r="5" spans="2:9">
      <c r="B5" t="s">
        <v>69</v>
      </c>
      <c r="C5">
        <v>50</v>
      </c>
    </row>
    <row r="6" spans="2:9">
      <c r="B6" t="s">
        <v>50</v>
      </c>
      <c r="C6">
        <f>0.91*0.8</f>
        <v>0.72800000000000009</v>
      </c>
      <c r="G6" t="s">
        <v>66</v>
      </c>
      <c r="H6" t="s">
        <v>68</v>
      </c>
    </row>
    <row r="7" spans="2:9" ht="19" thickBot="1"/>
    <row r="8" spans="2:9">
      <c r="B8" s="19"/>
      <c r="C8" s="4"/>
      <c r="D8" s="17" t="s">
        <v>38</v>
      </c>
      <c r="E8" s="17"/>
      <c r="F8" s="18"/>
    </row>
    <row r="9" spans="2:9">
      <c r="B9" s="20"/>
      <c r="C9" s="2" t="s">
        <v>47</v>
      </c>
      <c r="D9" s="3" t="s">
        <v>35</v>
      </c>
      <c r="E9" s="3" t="s">
        <v>36</v>
      </c>
      <c r="F9" s="6" t="s">
        <v>37</v>
      </c>
    </row>
    <row r="10" spans="2:9">
      <c r="B10" s="21"/>
      <c r="C10" s="2"/>
      <c r="D10" s="3" t="s">
        <v>51</v>
      </c>
      <c r="E10" s="3" t="s">
        <v>52</v>
      </c>
      <c r="F10" s="6" t="s">
        <v>52</v>
      </c>
    </row>
    <row r="11" spans="2:9">
      <c r="B11" s="5" t="s">
        <v>39</v>
      </c>
      <c r="C11" s="2">
        <f>12.3+1.045+1.5</f>
        <v>14.845000000000001</v>
      </c>
      <c r="D11" s="2">
        <v>-20</v>
      </c>
      <c r="E11" s="2">
        <v>0</v>
      </c>
      <c r="F11" s="7">
        <v>0</v>
      </c>
      <c r="G11" t="s">
        <v>64</v>
      </c>
      <c r="H11" t="s">
        <v>70</v>
      </c>
      <c r="I11" t="s">
        <v>71</v>
      </c>
    </row>
    <row r="12" spans="2:9">
      <c r="B12" s="5" t="s">
        <v>43</v>
      </c>
      <c r="C12" s="2">
        <f>0.385+0.117</f>
        <v>0.502</v>
      </c>
      <c r="D12" s="2">
        <v>1600</v>
      </c>
      <c r="E12" s="2">
        <v>0</v>
      </c>
      <c r="F12" s="7">
        <v>0</v>
      </c>
      <c r="G12" t="s">
        <v>62</v>
      </c>
      <c r="H12" t="s">
        <v>63</v>
      </c>
    </row>
    <row r="13" spans="2:9">
      <c r="B13" s="5" t="s">
        <v>40</v>
      </c>
      <c r="C13" s="2">
        <f>0.393</f>
        <v>0.39300000000000002</v>
      </c>
      <c r="D13" s="2">
        <v>1520</v>
      </c>
      <c r="E13" s="2">
        <v>-3</v>
      </c>
      <c r="F13" s="7">
        <v>0</v>
      </c>
    </row>
    <row r="14" spans="2:9">
      <c r="B14" s="5" t="s">
        <v>41</v>
      </c>
      <c r="C14" s="2">
        <f>0.4+0.066</f>
        <v>0.46600000000000003</v>
      </c>
      <c r="D14" s="2">
        <v>1520</v>
      </c>
      <c r="E14" s="2">
        <v>250</v>
      </c>
      <c r="F14" s="7">
        <v>0</v>
      </c>
      <c r="G14" t="s">
        <v>55</v>
      </c>
      <c r="H14" t="s">
        <v>59</v>
      </c>
    </row>
    <row r="15" spans="2:9">
      <c r="B15" s="5" t="s">
        <v>42</v>
      </c>
      <c r="C15" s="2">
        <v>0.5</v>
      </c>
      <c r="D15" s="2">
        <v>1520</v>
      </c>
      <c r="E15" s="2">
        <v>300</v>
      </c>
      <c r="F15" s="7">
        <v>0</v>
      </c>
    </row>
    <row r="16" spans="2:9">
      <c r="B16" s="5" t="s">
        <v>44</v>
      </c>
      <c r="C16" s="2">
        <f>0.353+0.162+0.192</f>
        <v>0.70700000000000007</v>
      </c>
      <c r="D16" s="2">
        <f>1160+35</f>
        <v>1195</v>
      </c>
      <c r="E16" s="2">
        <v>120</v>
      </c>
      <c r="F16" s="7">
        <v>210</v>
      </c>
      <c r="G16" t="s">
        <v>56</v>
      </c>
      <c r="H16" t="s">
        <v>57</v>
      </c>
      <c r="I16" t="s">
        <v>58</v>
      </c>
    </row>
    <row r="17" spans="2:8">
      <c r="B17" s="5" t="s">
        <v>45</v>
      </c>
      <c r="C17" s="2">
        <f>1.306+1.64</f>
        <v>2.9459999999999997</v>
      </c>
      <c r="D17" s="2">
        <f>D16</f>
        <v>1195</v>
      </c>
      <c r="E17" s="2">
        <v>175</v>
      </c>
      <c r="F17" s="7">
        <v>304</v>
      </c>
      <c r="G17" t="s">
        <v>60</v>
      </c>
      <c r="H17" t="s">
        <v>61</v>
      </c>
    </row>
    <row r="18" spans="2:8">
      <c r="B18" s="5" t="s">
        <v>65</v>
      </c>
      <c r="C18" s="2">
        <v>0.08</v>
      </c>
      <c r="D18" s="2">
        <v>1600</v>
      </c>
      <c r="E18" s="2">
        <v>235</v>
      </c>
      <c r="F18" s="7">
        <v>136</v>
      </c>
    </row>
    <row r="19" spans="2:8">
      <c r="B19" s="5" t="s">
        <v>46</v>
      </c>
      <c r="C19" s="2">
        <f>(C4+C5)/1000*C6</f>
        <v>0.25480000000000003</v>
      </c>
      <c r="D19" s="2">
        <f>C2-C1-C5+(C4+C5)/2</f>
        <v>1765</v>
      </c>
      <c r="E19" s="2">
        <v>0</v>
      </c>
      <c r="F19" s="7">
        <v>0</v>
      </c>
    </row>
    <row r="20" spans="2:8" ht="19" thickBot="1">
      <c r="B20" s="8" t="s">
        <v>48</v>
      </c>
      <c r="C20" s="9">
        <f>C2/1000*C3</f>
        <v>14.359000000000002</v>
      </c>
      <c r="D20" s="9">
        <f>C2/2-C1</f>
        <v>775</v>
      </c>
      <c r="E20" s="9">
        <v>0</v>
      </c>
      <c r="F20" s="10">
        <v>0</v>
      </c>
    </row>
    <row r="21" spans="2:8" ht="19" thickBot="1">
      <c r="B21" s="14" t="s">
        <v>53</v>
      </c>
      <c r="C21" s="15">
        <f>SUM(C11:C20)</f>
        <v>35.052800000000005</v>
      </c>
      <c r="D21" s="15">
        <f>SUMPRODUCT(C11:C20,D11:D20)/1000</f>
        <v>18.643262000000004</v>
      </c>
      <c r="E21" s="15">
        <f>SUMPRODUCT(C11:C20,E11:E20)/1000</f>
        <v>0.88451099999999994</v>
      </c>
      <c r="F21" s="16">
        <f>SUMPRODUCT(C11:C20,F11:F20)/1000</f>
        <v>1.0549340000000003</v>
      </c>
    </row>
    <row r="22" spans="2:8" ht="19" thickBot="1">
      <c r="B22" s="11" t="s">
        <v>54</v>
      </c>
      <c r="C22" s="12"/>
      <c r="D22" s="12">
        <f>D21/C21*1000</f>
        <v>531.862276337411</v>
      </c>
      <c r="E22" s="12">
        <f>E21/C21*1000</f>
        <v>25.23367605440934</v>
      </c>
      <c r="F22" s="13">
        <f>F21/C21*1000</f>
        <v>30.09557011137484</v>
      </c>
    </row>
    <row r="23" spans="2:8">
      <c r="D23">
        <f>D22+C1</f>
        <v>621.862276337411</v>
      </c>
    </row>
  </sheetData>
  <mergeCells count="2">
    <mergeCell ref="D8:F8"/>
    <mergeCell ref="B8:B10"/>
  </mergeCells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高知工科大学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酒居 敬一</dc:creator>
  <cp:lastModifiedBy>酒居 敬一</cp:lastModifiedBy>
  <dcterms:created xsi:type="dcterms:W3CDTF">2017-03-12T08:00:45Z</dcterms:created>
  <dcterms:modified xsi:type="dcterms:W3CDTF">2017-08-22T11:46:55Z</dcterms:modified>
</cp:coreProperties>
</file>